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gulatory_Affairs\Wyman\Rate Case\2018 UG 181053 Washington\Rate Spread Rate Design\Testimony &amp; Exhibits\Workpapers\"/>
    </mc:Choice>
  </mc:AlternateContent>
  <bookViews>
    <workbookView xWindow="0" yWindow="0" windowWidth="28800" windowHeight="12360"/>
  </bookViews>
  <sheets>
    <sheet name="Index" sheetId="78" r:id="rId1"/>
    <sheet name="Model Inputs" sheetId="1" r:id="rId2"/>
    <sheet name="Rev Req" sheetId="69" r:id="rId3"/>
    <sheet name="AMA Rate Base" sheetId="70" r:id="rId4"/>
    <sheet name="O&amp;M" sheetId="71" r:id="rId5"/>
    <sheet name="Adjust Issues" sheetId="72" r:id="rId6"/>
    <sheet name="Revenue &amp; Gas Cost" sheetId="73" r:id="rId7"/>
    <sheet name="Misc Rev Adjs" sheetId="74" r:id="rId8"/>
    <sheet name="WP - Other Rev &amp; Tax" sheetId="75" r:id="rId9"/>
    <sheet name="Labor" sheetId="62" r:id="rId10"/>
    <sheet name="Plant" sheetId="76" r:id="rId11"/>
    <sheet name="Reserve" sheetId="77" r:id="rId12"/>
    <sheet name="TY Capital Adds" sheetId="35" r:id="rId13"/>
    <sheet name="Depr_New Rates" sheetId="17" r:id="rId14"/>
    <sheet name="Allocators" sheetId="2" r:id="rId15"/>
    <sheet name="Services" sheetId="21" r:id="rId16"/>
    <sheet name="Design Day" sheetId="12" r:id="rId17"/>
    <sheet name="Customers" sheetId="65" r:id="rId18"/>
    <sheet name="Volumes" sheetId="66" r:id="rId19"/>
    <sheet name="Total Revenue" sheetId="67" r:id="rId20"/>
    <sheet name="Monthly Margin" sheetId="68" r:id="rId21"/>
    <sheet name="Meter_Invest" sheetId="36" r:id="rId22"/>
    <sheet name="O&amp;M Net of Exclusions" sheetId="61" r:id="rId23"/>
    <sheet name="904" sheetId="11" r:id="rId24"/>
    <sheet name="Inc Customer O&amp;M" sheetId="48" r:id="rId25"/>
    <sheet name="Direct Assign" sheetId="64" r:id="rId26"/>
  </sheets>
  <externalReferences>
    <externalReference r:id="rId27"/>
  </externalReferences>
  <definedNames>
    <definedName name="_AtRisk_FitDataRange_FIT_36E1E_42B43" localSheetId="21" hidden="1">#REF!</definedName>
    <definedName name="_AtRisk_FitDataRange_FIT_36E1E_42B43" hidden="1">#REF!</definedName>
    <definedName name="_AtRisk_FitDataRange_FIT_95FD2_942D2" localSheetId="21" hidden="1">#REF!</definedName>
    <definedName name="_AtRisk_FitDataRange_FIT_95FD2_942D2" hidden="1">#REF!</definedName>
    <definedName name="_AtRisk_FitDataRange_FIT_B5E8B_D24B5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22" hidden="1">'O&amp;M Net of Exclusions'!$A$23:$O$23</definedName>
    <definedName name="_Order1" hidden="1">255</definedName>
    <definedName name="_Order2" hidden="1">255</definedName>
    <definedName name="Line_Loss" hidden="1">'[1]Input - Rates'!$I$35</definedName>
    <definedName name="Pal_Workbook_GUID" localSheetId="24" hidden="1">"BB4W2MDK8L28BDP7ZM28RT7Q"</definedName>
    <definedName name="Pal_Workbook_GUID" localSheetId="21" hidden="1">"27J7X3C4APY7PEEA18A4VDG5"</definedName>
    <definedName name="Pal_Workbook_GUID" hidden="1">"VX3CWJGNQX2CCGI81U4N2V76"</definedName>
    <definedName name="_xlnm.Print_Area" localSheetId="5">'Adjust Issues'!$A$1:$V$49</definedName>
    <definedName name="_xlnm.Print_Area" localSheetId="3">'AMA Rate Base'!$A$1:$Q$92</definedName>
    <definedName name="_xlnm.Print_Area" localSheetId="17">Customers!$A$1:$E$28</definedName>
    <definedName name="_xlnm.Print_Area" localSheetId="21">Meter_Invest!$I$21:$AD$140</definedName>
    <definedName name="_xlnm.Print_Area" localSheetId="7">'Misc Rev Adjs'!$A$1:$E$35</definedName>
    <definedName name="_xlnm.Print_Area" localSheetId="20">'Monthly Margin'!$A$1:$G$105</definedName>
    <definedName name="_xlnm.Print_Area" localSheetId="4">'O&amp;M'!$A$1:$G$112</definedName>
    <definedName name="_xlnm.Print_Area" localSheetId="2">'Rev Req'!$A$1:$G$40</definedName>
    <definedName name="_xlnm.Print_Area" localSheetId="6">'Revenue &amp; Gas Cost'!$A$1:$K$37</definedName>
    <definedName name="_xlnm.Print_Area" localSheetId="19">'Total Revenue'!$A$87:$D$102</definedName>
    <definedName name="_xlnm.Print_Area" localSheetId="8">'WP - Other Rev &amp; Tax'!$A$1:$H$49</definedName>
    <definedName name="_xlnm.Print_Titles" localSheetId="5">'Adjust Issues'!$A:$B</definedName>
    <definedName name="_xlnm.Print_Titles" localSheetId="3">'AMA Rate Base'!$1:$6</definedName>
    <definedName name="_xlnm.Print_Titles" localSheetId="17">Customers!$1:$4</definedName>
    <definedName name="_xlnm.Print_Titles" localSheetId="20">'Monthly Margin'!$1:$4</definedName>
    <definedName name="_xlnm.Print_Titles" localSheetId="4">'O&amp;M'!$1:$6</definedName>
    <definedName name="_xlnm.Print_Titles" localSheetId="19">'Total Revenue'!$1:$4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24" hidden="1">7</definedName>
    <definedName name="RiskHasSettings" localSheetId="21" hidden="1">7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localSheetId="24" hidden="1">1000</definedName>
    <definedName name="RiskNumIterations" localSheetId="21" hidden="1">1000</definedName>
    <definedName name="RiskNumIterations" hidden="1">100</definedName>
    <definedName name="RiskNumSimulations" localSheetId="24" hidden="1">11</definedName>
    <definedName name="RiskNumSimulations" localSheetId="21" hidden="1">11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64" l="1"/>
  <c r="H43" i="64"/>
  <c r="M23" i="36"/>
  <c r="C18" i="21"/>
  <c r="E28" i="75" l="1"/>
  <c r="G27" i="75"/>
  <c r="G26" i="75"/>
  <c r="G25" i="75"/>
  <c r="G24" i="75"/>
  <c r="F23" i="75"/>
  <c r="F28" i="75" s="1"/>
  <c r="G22" i="75"/>
  <c r="G21" i="75"/>
  <c r="G28" i="75" s="1"/>
  <c r="F17" i="75"/>
  <c r="G16" i="75"/>
  <c r="G15" i="75"/>
  <c r="G14" i="75"/>
  <c r="G13" i="75"/>
  <c r="G12" i="75"/>
  <c r="G11" i="75"/>
  <c r="G10" i="75"/>
  <c r="A10" i="75"/>
  <c r="A11" i="75" s="1"/>
  <c r="A12" i="75" s="1"/>
  <c r="A13" i="75" s="1"/>
  <c r="A14" i="75" s="1"/>
  <c r="A15" i="75" s="1"/>
  <c r="A16" i="75" s="1"/>
  <c r="A17" i="75" s="1"/>
  <c r="A18" i="75" s="1"/>
  <c r="A21" i="75" s="1"/>
  <c r="A22" i="75" s="1"/>
  <c r="A23" i="75" s="1"/>
  <c r="A24" i="75" s="1"/>
  <c r="A25" i="75" s="1"/>
  <c r="A26" i="75" s="1"/>
  <c r="A27" i="75" s="1"/>
  <c r="A28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3" i="75" s="1"/>
  <c r="A44" i="75" s="1"/>
  <c r="A45" i="75" s="1"/>
  <c r="A46" i="75" s="1"/>
  <c r="A47" i="75" s="1"/>
  <c r="A48" i="75" s="1"/>
  <c r="A49" i="75" s="1"/>
  <c r="G9" i="75"/>
  <c r="G18" i="75" s="1"/>
  <c r="F18" i="75"/>
  <c r="E18" i="75"/>
  <c r="D31" i="74"/>
  <c r="E31" i="74" s="1"/>
  <c r="C31" i="74"/>
  <c r="D30" i="74"/>
  <c r="E30" i="74" s="1"/>
  <c r="C30" i="74"/>
  <c r="D29" i="74"/>
  <c r="E29" i="74" s="1"/>
  <c r="C29" i="74"/>
  <c r="D28" i="74"/>
  <c r="E28" i="74" s="1"/>
  <c r="C28" i="74"/>
  <c r="D27" i="74"/>
  <c r="E27" i="74" s="1"/>
  <c r="C27" i="74"/>
  <c r="E26" i="74"/>
  <c r="D26" i="74"/>
  <c r="C26" i="74"/>
  <c r="R25" i="74"/>
  <c r="Q25" i="74" s="1"/>
  <c r="P25" i="74"/>
  <c r="D25" i="74"/>
  <c r="E25" i="74" s="1"/>
  <c r="C25" i="74"/>
  <c r="R24" i="74"/>
  <c r="Q24" i="74"/>
  <c r="P24" i="74"/>
  <c r="D24" i="74"/>
  <c r="C24" i="74"/>
  <c r="E24" i="74" s="1"/>
  <c r="R23" i="74"/>
  <c r="Q23" i="74" s="1"/>
  <c r="P23" i="74"/>
  <c r="D23" i="74"/>
  <c r="E23" i="74" s="1"/>
  <c r="C23" i="74"/>
  <c r="R22" i="74"/>
  <c r="Q22" i="74"/>
  <c r="P22" i="74"/>
  <c r="E22" i="74"/>
  <c r="D22" i="74"/>
  <c r="C22" i="74"/>
  <c r="R21" i="74"/>
  <c r="Q21" i="74" s="1"/>
  <c r="P21" i="74"/>
  <c r="D21" i="74"/>
  <c r="E21" i="74" s="1"/>
  <c r="C21" i="74"/>
  <c r="R20" i="74"/>
  <c r="Q20" i="74"/>
  <c r="P20" i="74"/>
  <c r="D20" i="74"/>
  <c r="C20" i="74"/>
  <c r="E20" i="74" s="1"/>
  <c r="R19" i="74"/>
  <c r="Q19" i="74" s="1"/>
  <c r="P19" i="74"/>
  <c r="D19" i="74"/>
  <c r="E19" i="74" s="1"/>
  <c r="C19" i="74"/>
  <c r="R18" i="74"/>
  <c r="R26" i="74" s="1"/>
  <c r="Q18" i="74"/>
  <c r="Q26" i="74" s="1"/>
  <c r="P18" i="74"/>
  <c r="P26" i="74" s="1"/>
  <c r="E18" i="74"/>
  <c r="D18" i="74"/>
  <c r="C18" i="74"/>
  <c r="E17" i="74"/>
  <c r="E33" i="74" s="1"/>
  <c r="E35" i="74" s="1"/>
  <c r="D17" i="74"/>
  <c r="D33" i="74" s="1"/>
  <c r="D35" i="74" s="1"/>
  <c r="C17" i="74"/>
  <c r="C33" i="74" s="1"/>
  <c r="C35" i="74" s="1"/>
  <c r="D13" i="74"/>
  <c r="C13" i="74"/>
  <c r="E11" i="74"/>
  <c r="E13" i="74" s="1"/>
  <c r="A11" i="74"/>
  <c r="A13" i="74" s="1"/>
  <c r="A17" i="74" s="1"/>
  <c r="A18" i="74" s="1"/>
  <c r="A19" i="74" s="1"/>
  <c r="A20" i="74" s="1"/>
  <c r="A21" i="74" s="1"/>
  <c r="A22" i="74" s="1"/>
  <c r="A23" i="74" s="1"/>
  <c r="A24" i="74" s="1"/>
  <c r="A25" i="74" s="1"/>
  <c r="E10" i="74"/>
  <c r="E35" i="73"/>
  <c r="K35" i="73" s="1"/>
  <c r="K25" i="73"/>
  <c r="E25" i="73"/>
  <c r="C25" i="73"/>
  <c r="D23" i="73"/>
  <c r="D22" i="73"/>
  <c r="D21" i="73"/>
  <c r="K17" i="73"/>
  <c r="E15" i="73"/>
  <c r="E27" i="73" s="1"/>
  <c r="C15" i="73"/>
  <c r="C27" i="73" s="1"/>
  <c r="D13" i="73"/>
  <c r="D12" i="73"/>
  <c r="A12" i="73"/>
  <c r="A13" i="73" s="1"/>
  <c r="A15" i="73" s="1"/>
  <c r="A17" i="73" s="1"/>
  <c r="A18" i="73" s="1"/>
  <c r="A21" i="73" s="1"/>
  <c r="A22" i="73" s="1"/>
  <c r="A23" i="73" s="1"/>
  <c r="A25" i="73" s="1"/>
  <c r="A27" i="73" s="1"/>
  <c r="A31" i="73" s="1"/>
  <c r="A32" i="73" s="1"/>
  <c r="A33" i="73" s="1"/>
  <c r="A35" i="73" s="1"/>
  <c r="A37" i="73" s="1"/>
  <c r="D11" i="73"/>
  <c r="A11" i="73"/>
  <c r="D10" i="73"/>
  <c r="T47" i="72"/>
  <c r="P47" i="72"/>
  <c r="D47" i="72"/>
  <c r="U45" i="72"/>
  <c r="V45" i="72" s="1"/>
  <c r="M45" i="72"/>
  <c r="U44" i="72"/>
  <c r="M44" i="72"/>
  <c r="V44" i="72" s="1"/>
  <c r="U43" i="72"/>
  <c r="V43" i="72" s="1"/>
  <c r="M43" i="72"/>
  <c r="V42" i="72"/>
  <c r="U42" i="72"/>
  <c r="M42" i="72"/>
  <c r="T40" i="72"/>
  <c r="S40" i="72"/>
  <c r="S47" i="72" s="1"/>
  <c r="Q40" i="72"/>
  <c r="Q47" i="72" s="1"/>
  <c r="P40" i="72"/>
  <c r="O40" i="72"/>
  <c r="O47" i="72" s="1"/>
  <c r="N40" i="72"/>
  <c r="N47" i="72" s="1"/>
  <c r="K40" i="72"/>
  <c r="K47" i="72" s="1"/>
  <c r="I40" i="72"/>
  <c r="I47" i="72" s="1"/>
  <c r="G40" i="72"/>
  <c r="G47" i="72" s="1"/>
  <c r="F40" i="72"/>
  <c r="F47" i="72" s="1"/>
  <c r="E40" i="72"/>
  <c r="E47" i="72" s="1"/>
  <c r="D40" i="72"/>
  <c r="C40" i="72"/>
  <c r="C47" i="72" s="1"/>
  <c r="U38" i="72"/>
  <c r="V38" i="72" s="1"/>
  <c r="M38" i="72"/>
  <c r="R40" i="72"/>
  <c r="R47" i="72" s="1"/>
  <c r="U37" i="72"/>
  <c r="L40" i="72"/>
  <c r="L47" i="72" s="1"/>
  <c r="J40" i="72"/>
  <c r="J47" i="72" s="1"/>
  <c r="H40" i="72"/>
  <c r="H47" i="72" s="1"/>
  <c r="M37" i="72"/>
  <c r="M40" i="72" s="1"/>
  <c r="M47" i="72" s="1"/>
  <c r="U30" i="72"/>
  <c r="V30" i="72" s="1"/>
  <c r="M30" i="72"/>
  <c r="U29" i="72"/>
  <c r="U28" i="72"/>
  <c r="V28" i="72" s="1"/>
  <c r="M28" i="72"/>
  <c r="U27" i="72"/>
  <c r="M27" i="72"/>
  <c r="R24" i="72"/>
  <c r="R32" i="72" s="1"/>
  <c r="Q24" i="72"/>
  <c r="Q32" i="72" s="1"/>
  <c r="Q34" i="72" s="1"/>
  <c r="P24" i="72"/>
  <c r="P32" i="72" s="1"/>
  <c r="I24" i="72"/>
  <c r="I32" i="72" s="1"/>
  <c r="I34" i="72" s="1"/>
  <c r="H24" i="72"/>
  <c r="H32" i="72" s="1"/>
  <c r="F24" i="72"/>
  <c r="F32" i="72" s="1"/>
  <c r="E24" i="72"/>
  <c r="E32" i="72" s="1"/>
  <c r="E34" i="72" s="1"/>
  <c r="D24" i="72"/>
  <c r="T24" i="72"/>
  <c r="T32" i="72" s="1"/>
  <c r="S24" i="72"/>
  <c r="S32" i="72" s="1"/>
  <c r="O24" i="72"/>
  <c r="O32" i="72" s="1"/>
  <c r="U22" i="72"/>
  <c r="V22" i="72" s="1"/>
  <c r="L24" i="72"/>
  <c r="L32" i="72" s="1"/>
  <c r="K24" i="72"/>
  <c r="K32" i="72" s="1"/>
  <c r="J24" i="72"/>
  <c r="J32" i="72" s="1"/>
  <c r="M22" i="72"/>
  <c r="U21" i="72"/>
  <c r="U24" i="72" s="1"/>
  <c r="U32" i="72" s="1"/>
  <c r="G24" i="72"/>
  <c r="G32" i="72" s="1"/>
  <c r="U20" i="72"/>
  <c r="T17" i="72"/>
  <c r="T34" i="72" s="1"/>
  <c r="S17" i="72"/>
  <c r="R17" i="72"/>
  <c r="R34" i="72" s="1"/>
  <c r="Q17" i="72"/>
  <c r="P17" i="72"/>
  <c r="P34" i="72" s="1"/>
  <c r="O17" i="72"/>
  <c r="O34" i="72" s="1"/>
  <c r="N17" i="72"/>
  <c r="L17" i="72"/>
  <c r="L34" i="72" s="1"/>
  <c r="K17" i="72"/>
  <c r="K34" i="72" s="1"/>
  <c r="J17" i="72"/>
  <c r="J34" i="72" s="1"/>
  <c r="I17" i="72"/>
  <c r="H17" i="72"/>
  <c r="H34" i="72" s="1"/>
  <c r="G17" i="72"/>
  <c r="G34" i="72" s="1"/>
  <c r="F17" i="72"/>
  <c r="E17" i="72"/>
  <c r="U15" i="72"/>
  <c r="D17" i="72"/>
  <c r="U14" i="72"/>
  <c r="M14" i="72"/>
  <c r="V14" i="72" s="1"/>
  <c r="U13" i="72"/>
  <c r="U17" i="72" s="1"/>
  <c r="M13" i="72"/>
  <c r="G108" i="71"/>
  <c r="F108" i="71"/>
  <c r="Q84" i="70"/>
  <c r="Q89" i="70" s="1"/>
  <c r="Q82" i="70"/>
  <c r="Q81" i="70"/>
  <c r="Q80" i="70"/>
  <c r="Q79" i="70"/>
  <c r="P77" i="70"/>
  <c r="O77" i="70"/>
  <c r="N77" i="70"/>
  <c r="M77" i="70"/>
  <c r="L77" i="70"/>
  <c r="K77" i="70"/>
  <c r="J77" i="70"/>
  <c r="I77" i="70"/>
  <c r="H77" i="70"/>
  <c r="G77" i="70"/>
  <c r="F77" i="70"/>
  <c r="E77" i="70"/>
  <c r="D77" i="70"/>
  <c r="Q75" i="70"/>
  <c r="Q74" i="70"/>
  <c r="Q73" i="70"/>
  <c r="Q72" i="70"/>
  <c r="Q71" i="70"/>
  <c r="Q70" i="70"/>
  <c r="Q69" i="70"/>
  <c r="Q68" i="70"/>
  <c r="Q67" i="70"/>
  <c r="Q66" i="70"/>
  <c r="Q77" i="70" s="1"/>
  <c r="P63" i="70"/>
  <c r="P86" i="70" s="1"/>
  <c r="O63" i="70"/>
  <c r="O86" i="70" s="1"/>
  <c r="N63" i="70"/>
  <c r="N86" i="70" s="1"/>
  <c r="M63" i="70"/>
  <c r="L63" i="70"/>
  <c r="L86" i="70" s="1"/>
  <c r="K63" i="70"/>
  <c r="K86" i="70" s="1"/>
  <c r="J63" i="70"/>
  <c r="J86" i="70" s="1"/>
  <c r="I63" i="70"/>
  <c r="H63" i="70"/>
  <c r="H86" i="70" s="1"/>
  <c r="G63" i="70"/>
  <c r="G86" i="70" s="1"/>
  <c r="F63" i="70"/>
  <c r="F86" i="70" s="1"/>
  <c r="E63" i="70"/>
  <c r="E86" i="70" s="1"/>
  <c r="D63" i="70"/>
  <c r="D86" i="70" s="1"/>
  <c r="Q61" i="70"/>
  <c r="Q60" i="70"/>
  <c r="Q59" i="70"/>
  <c r="Q58" i="70"/>
  <c r="Q57" i="70"/>
  <c r="Q56" i="70"/>
  <c r="Q55" i="70"/>
  <c r="Q54" i="70"/>
  <c r="Q53" i="70"/>
  <c r="Q52" i="70"/>
  <c r="Q63" i="70" s="1"/>
  <c r="Q86" i="70" s="1"/>
  <c r="Q88" i="70" s="1"/>
  <c r="Q47" i="70"/>
  <c r="Q39" i="70"/>
  <c r="Q38" i="70"/>
  <c r="Q37" i="70"/>
  <c r="Q36" i="70"/>
  <c r="P34" i="70"/>
  <c r="P43" i="70" s="1"/>
  <c r="O34" i="70"/>
  <c r="O43" i="70" s="1"/>
  <c r="N34" i="70"/>
  <c r="M34" i="70"/>
  <c r="L34" i="70"/>
  <c r="L43" i="70" s="1"/>
  <c r="K34" i="70"/>
  <c r="K43" i="70" s="1"/>
  <c r="J34" i="70"/>
  <c r="I34" i="70"/>
  <c r="H34" i="70"/>
  <c r="H43" i="70" s="1"/>
  <c r="G34" i="70"/>
  <c r="G43" i="70" s="1"/>
  <c r="F34" i="70"/>
  <c r="E34" i="70"/>
  <c r="E43" i="70" s="1"/>
  <c r="D34" i="70"/>
  <c r="D43" i="70" s="1"/>
  <c r="Q32" i="70"/>
  <c r="Q31" i="70"/>
  <c r="Q30" i="70"/>
  <c r="Q29" i="70"/>
  <c r="Q28" i="70"/>
  <c r="Q27" i="70"/>
  <c r="Q26" i="70"/>
  <c r="Q25" i="70"/>
  <c r="Q24" i="70"/>
  <c r="Q23" i="70"/>
  <c r="Q34" i="70" s="1"/>
  <c r="Q18" i="70"/>
  <c r="Q17" i="70"/>
  <c r="Q16" i="70"/>
  <c r="Q15" i="70"/>
  <c r="Q14" i="70"/>
  <c r="Q13" i="70"/>
  <c r="Q12" i="70"/>
  <c r="Q11" i="70"/>
  <c r="Q10" i="70"/>
  <c r="Q9" i="70"/>
  <c r="Q20" i="70" s="1"/>
  <c r="I6" i="70"/>
  <c r="J6" i="70" s="1"/>
  <c r="K6" i="70" s="1"/>
  <c r="L6" i="70" s="1"/>
  <c r="M6" i="70" s="1"/>
  <c r="N6" i="70" s="1"/>
  <c r="O6" i="70" s="1"/>
  <c r="P6" i="70" s="1"/>
  <c r="E6" i="70"/>
  <c r="F6" i="70" s="1"/>
  <c r="G6" i="70" s="1"/>
  <c r="E35" i="69"/>
  <c r="G35" i="69" s="1"/>
  <c r="E29" i="69"/>
  <c r="G29" i="69" s="1"/>
  <c r="E28" i="69"/>
  <c r="E26" i="69"/>
  <c r="E20" i="69"/>
  <c r="D23" i="69"/>
  <c r="D31" i="69" s="1"/>
  <c r="E19" i="69"/>
  <c r="E14" i="69"/>
  <c r="G14" i="69" s="1"/>
  <c r="E13" i="69"/>
  <c r="G13" i="69" s="1"/>
  <c r="D16" i="69"/>
  <c r="A33" i="74" l="1"/>
  <c r="A35" i="74" s="1"/>
  <c r="A26" i="74"/>
  <c r="A27" i="74" s="1"/>
  <c r="A28" i="74" s="1"/>
  <c r="A29" i="74" s="1"/>
  <c r="A30" i="74" s="1"/>
  <c r="A31" i="74" s="1"/>
  <c r="E37" i="73"/>
  <c r="K27" i="73"/>
  <c r="K15" i="73"/>
  <c r="U34" i="72"/>
  <c r="C24" i="72"/>
  <c r="D32" i="72"/>
  <c r="D34" i="72" s="1"/>
  <c r="V13" i="72"/>
  <c r="F34" i="72"/>
  <c r="S34" i="72"/>
  <c r="V27" i="72"/>
  <c r="V37" i="72"/>
  <c r="V40" i="72" s="1"/>
  <c r="V47" i="72" s="1"/>
  <c r="U40" i="72"/>
  <c r="U47" i="72" s="1"/>
  <c r="V49" i="72"/>
  <c r="C17" i="72"/>
  <c r="M21" i="72"/>
  <c r="V21" i="72"/>
  <c r="N24" i="72"/>
  <c r="N32" i="72" s="1"/>
  <c r="N34" i="72" s="1"/>
  <c r="M15" i="72"/>
  <c r="V15" i="72" s="1"/>
  <c r="M20" i="72"/>
  <c r="I43" i="70"/>
  <c r="M43" i="70"/>
  <c r="Q43" i="70"/>
  <c r="Q45" i="70" s="1"/>
  <c r="Q48" i="70" s="1"/>
  <c r="F43" i="70"/>
  <c r="J43" i="70"/>
  <c r="N43" i="70"/>
  <c r="I86" i="70"/>
  <c r="M86" i="70"/>
  <c r="Q41" i="70"/>
  <c r="Q46" i="70" s="1"/>
  <c r="Q90" i="70"/>
  <c r="Q91" i="70" s="1"/>
  <c r="D55" i="69"/>
  <c r="D33" i="69"/>
  <c r="G19" i="69"/>
  <c r="E12" i="69"/>
  <c r="E16" i="69" s="1"/>
  <c r="C16" i="69"/>
  <c r="E21" i="69"/>
  <c r="G21" i="69" s="1"/>
  <c r="E27" i="69"/>
  <c r="G27" i="69" s="1"/>
  <c r="M29" i="72" l="1"/>
  <c r="V29" i="72" s="1"/>
  <c r="M17" i="72"/>
  <c r="M24" i="72"/>
  <c r="V20" i="72"/>
  <c r="V24" i="72" s="1"/>
  <c r="V32" i="72" s="1"/>
  <c r="V17" i="72"/>
  <c r="E33" i="69"/>
  <c r="E38" i="69" s="1"/>
  <c r="C23" i="69"/>
  <c r="C31" i="69" s="1"/>
  <c r="C33" i="69" s="1"/>
  <c r="C38" i="69" s="1"/>
  <c r="E23" i="69"/>
  <c r="E31" i="69" s="1"/>
  <c r="D56" i="69"/>
  <c r="F395" i="1"/>
  <c r="V34" i="72" l="1"/>
  <c r="C32" i="72"/>
  <c r="C34" i="72" s="1"/>
  <c r="M32" i="72"/>
  <c r="M34" i="72" s="1"/>
  <c r="G28" i="69"/>
  <c r="F12" i="69"/>
  <c r="G20" i="69" l="1"/>
  <c r="G23" i="69" s="1"/>
  <c r="F23" i="69"/>
  <c r="G26" i="69"/>
  <c r="D51" i="69" s="1"/>
  <c r="F16" i="69"/>
  <c r="G12" i="69"/>
  <c r="G16" i="69" s="1"/>
  <c r="I42" i="1"/>
  <c r="I51" i="1"/>
  <c r="F31" i="69" l="1"/>
  <c r="F33" i="69" s="1"/>
  <c r="G31" i="69"/>
  <c r="G33" i="69" s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29" i="1"/>
  <c r="E128" i="1"/>
  <c r="E127" i="1"/>
  <c r="E126" i="1"/>
  <c r="E125" i="1"/>
  <c r="E124" i="1"/>
  <c r="E120" i="1"/>
  <c r="E119" i="1"/>
  <c r="E118" i="1"/>
  <c r="E117" i="1"/>
  <c r="E116" i="1"/>
  <c r="E115" i="1"/>
  <c r="E114" i="1"/>
  <c r="E113" i="1"/>
  <c r="E112" i="1"/>
  <c r="E108" i="1"/>
  <c r="E107" i="1"/>
  <c r="E106" i="1"/>
  <c r="E105" i="1"/>
  <c r="E104" i="1"/>
  <c r="E103" i="1"/>
  <c r="E102" i="1"/>
  <c r="E101" i="1"/>
  <c r="E97" i="1"/>
  <c r="E96" i="1"/>
  <c r="E95" i="1"/>
  <c r="E94" i="1"/>
  <c r="E93" i="1"/>
  <c r="E92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0" i="1"/>
  <c r="G49" i="1"/>
  <c r="G48" i="1"/>
  <c r="G47" i="1"/>
  <c r="G46" i="1"/>
  <c r="G45" i="1"/>
  <c r="G41" i="1"/>
  <c r="G40" i="1"/>
  <c r="G39" i="1"/>
  <c r="G38" i="1"/>
  <c r="G37" i="1"/>
  <c r="G36" i="1"/>
  <c r="G35" i="1"/>
  <c r="G34" i="1"/>
  <c r="G33" i="1"/>
  <c r="G29" i="1"/>
  <c r="G28" i="1"/>
  <c r="G27" i="1"/>
  <c r="G26" i="1"/>
  <c r="G25" i="1"/>
  <c r="G24" i="1"/>
  <c r="G23" i="1"/>
  <c r="G22" i="1"/>
  <c r="G18" i="1"/>
  <c r="G17" i="1"/>
  <c r="G16" i="1"/>
  <c r="G15" i="1"/>
  <c r="G14" i="1"/>
  <c r="G13" i="1"/>
  <c r="Q246" i="77"/>
  <c r="Q245" i="77"/>
  <c r="Q244" i="77"/>
  <c r="Q243" i="77"/>
  <c r="Q242" i="77"/>
  <c r="Q241" i="77"/>
  <c r="Q240" i="77"/>
  <c r="Q239" i="77"/>
  <c r="Q238" i="77"/>
  <c r="Q237" i="77"/>
  <c r="Q236" i="77"/>
  <c r="Q235" i="77"/>
  <c r="Q234" i="77"/>
  <c r="Q233" i="77"/>
  <c r="Q232" i="77"/>
  <c r="Q231" i="77"/>
  <c r="Q230" i="77"/>
  <c r="Q229" i="77"/>
  <c r="Q228" i="77"/>
  <c r="Q227" i="77"/>
  <c r="Q226" i="77"/>
  <c r="Q225" i="77"/>
  <c r="Q224" i="77"/>
  <c r="Q223" i="77"/>
  <c r="Q222" i="77"/>
  <c r="Q221" i="77"/>
  <c r="Q220" i="77"/>
  <c r="Q219" i="77"/>
  <c r="Q218" i="77"/>
  <c r="Q217" i="77"/>
  <c r="Q216" i="77"/>
  <c r="Q215" i="77"/>
  <c r="Q214" i="77"/>
  <c r="Q213" i="77"/>
  <c r="Q212" i="77"/>
  <c r="Q211" i="77"/>
  <c r="Q210" i="77"/>
  <c r="Q209" i="77"/>
  <c r="Q208" i="77"/>
  <c r="Q207" i="77"/>
  <c r="Q206" i="77"/>
  <c r="Q205" i="77"/>
  <c r="Q204" i="77"/>
  <c r="Q203" i="77"/>
  <c r="Q202" i="77"/>
  <c r="Q201" i="77"/>
  <c r="Q200" i="77"/>
  <c r="Q199" i="77"/>
  <c r="Q198" i="77"/>
  <c r="Q197" i="77"/>
  <c r="Q196" i="77"/>
  <c r="Q195" i="77"/>
  <c r="Q194" i="77"/>
  <c r="Q193" i="77"/>
  <c r="Q192" i="77"/>
  <c r="Q191" i="77"/>
  <c r="Q190" i="77"/>
  <c r="Q189" i="77"/>
  <c r="Q188" i="77"/>
  <c r="Q187" i="77"/>
  <c r="Q186" i="77"/>
  <c r="Q185" i="77"/>
  <c r="Q184" i="77"/>
  <c r="Q183" i="77"/>
  <c r="Q182" i="77"/>
  <c r="Q181" i="77"/>
  <c r="Q180" i="77"/>
  <c r="Q179" i="77"/>
  <c r="Q178" i="77"/>
  <c r="Q177" i="77"/>
  <c r="Q176" i="77"/>
  <c r="Q175" i="77"/>
  <c r="Q174" i="77"/>
  <c r="Q173" i="77"/>
  <c r="Q172" i="77"/>
  <c r="Q171" i="77"/>
  <c r="Q170" i="77"/>
  <c r="Q169" i="77"/>
  <c r="Q168" i="77"/>
  <c r="Q167" i="77"/>
  <c r="Q166" i="77"/>
  <c r="Q165" i="77"/>
  <c r="Q164" i="77"/>
  <c r="Q163" i="77"/>
  <c r="Q162" i="77"/>
  <c r="Q161" i="77"/>
  <c r="Q160" i="77"/>
  <c r="Q159" i="77"/>
  <c r="Q158" i="77"/>
  <c r="Q157" i="77"/>
  <c r="Q156" i="77"/>
  <c r="Q155" i="77"/>
  <c r="Q154" i="77"/>
  <c r="Q153" i="77"/>
  <c r="Q152" i="77"/>
  <c r="Q151" i="77"/>
  <c r="Q150" i="77"/>
  <c r="Q149" i="77"/>
  <c r="Q148" i="77"/>
  <c r="Q147" i="77"/>
  <c r="Q146" i="77"/>
  <c r="Q145" i="77"/>
  <c r="Q144" i="77"/>
  <c r="Q143" i="77"/>
  <c r="Q142" i="77"/>
  <c r="Q141" i="77"/>
  <c r="Q140" i="77"/>
  <c r="Q139" i="77"/>
  <c r="Q138" i="77"/>
  <c r="Q137" i="77"/>
  <c r="Q136" i="77"/>
  <c r="Q135" i="77"/>
  <c r="Q134" i="77"/>
  <c r="Q133" i="77"/>
  <c r="Q132" i="77"/>
  <c r="Q131" i="77"/>
  <c r="Q130" i="77"/>
  <c r="Q129" i="77"/>
  <c r="Q128" i="77"/>
  <c r="Q246" i="76"/>
  <c r="Q245" i="76"/>
  <c r="Q244" i="76"/>
  <c r="Q243" i="76"/>
  <c r="Q242" i="76"/>
  <c r="Q241" i="76"/>
  <c r="Q240" i="76"/>
  <c r="Q239" i="76"/>
  <c r="Q238" i="76"/>
  <c r="Q237" i="76"/>
  <c r="Q236" i="76"/>
  <c r="Q235" i="76"/>
  <c r="Q234" i="76"/>
  <c r="Q233" i="76"/>
  <c r="Q232" i="76"/>
  <c r="Q231" i="76"/>
  <c r="Q230" i="76"/>
  <c r="Q229" i="76"/>
  <c r="Q228" i="76"/>
  <c r="Q227" i="76"/>
  <c r="Q226" i="76"/>
  <c r="Q225" i="76"/>
  <c r="Q224" i="76"/>
  <c r="Q223" i="76"/>
  <c r="Q222" i="76"/>
  <c r="Q221" i="76"/>
  <c r="Q220" i="76"/>
  <c r="Q219" i="76"/>
  <c r="Q218" i="76"/>
  <c r="Q217" i="76"/>
  <c r="Q216" i="76"/>
  <c r="Q215" i="76"/>
  <c r="Q214" i="76"/>
  <c r="Q213" i="76"/>
  <c r="Q212" i="76"/>
  <c r="Q211" i="76"/>
  <c r="Q210" i="76"/>
  <c r="Q209" i="76"/>
  <c r="Q208" i="76"/>
  <c r="Q207" i="76"/>
  <c r="Q206" i="76"/>
  <c r="Q205" i="76"/>
  <c r="Q204" i="76"/>
  <c r="Q203" i="76"/>
  <c r="Q202" i="76"/>
  <c r="Q201" i="76"/>
  <c r="Q200" i="76"/>
  <c r="Q199" i="76"/>
  <c r="Q198" i="76"/>
  <c r="Q197" i="76"/>
  <c r="Q196" i="76"/>
  <c r="Q195" i="76"/>
  <c r="Q194" i="76"/>
  <c r="Q193" i="76"/>
  <c r="Q192" i="76"/>
  <c r="Q191" i="76"/>
  <c r="Q190" i="76"/>
  <c r="Q189" i="76"/>
  <c r="Q188" i="76"/>
  <c r="Q187" i="76"/>
  <c r="Q186" i="76"/>
  <c r="Q185" i="76"/>
  <c r="Q184" i="76"/>
  <c r="Q183" i="76"/>
  <c r="Q182" i="76"/>
  <c r="Q181" i="76"/>
  <c r="Q180" i="76"/>
  <c r="Q179" i="76"/>
  <c r="Q178" i="76"/>
  <c r="Q177" i="76"/>
  <c r="Q176" i="76"/>
  <c r="Q175" i="76"/>
  <c r="Q174" i="76"/>
  <c r="Q173" i="76"/>
  <c r="Q172" i="76"/>
  <c r="Q171" i="76"/>
  <c r="Q170" i="76"/>
  <c r="Q169" i="76"/>
  <c r="Q168" i="76"/>
  <c r="Q167" i="76"/>
  <c r="Q166" i="76"/>
  <c r="Q165" i="76"/>
  <c r="Q164" i="76"/>
  <c r="Q163" i="76"/>
  <c r="Q162" i="76"/>
  <c r="Q161" i="76"/>
  <c r="Q160" i="76"/>
  <c r="Q159" i="76"/>
  <c r="Q158" i="76"/>
  <c r="Q157" i="76"/>
  <c r="Q156" i="76"/>
  <c r="Q155" i="76"/>
  <c r="Q154" i="76"/>
  <c r="Q153" i="76"/>
  <c r="Q152" i="76"/>
  <c r="Q151" i="76"/>
  <c r="Q150" i="76"/>
  <c r="Q149" i="76"/>
  <c r="Q148" i="76"/>
  <c r="Q147" i="76"/>
  <c r="Q146" i="76"/>
  <c r="Q145" i="76"/>
  <c r="Q144" i="76"/>
  <c r="Q143" i="76"/>
  <c r="Q142" i="76"/>
  <c r="Q141" i="76"/>
  <c r="Q140" i="76"/>
  <c r="Q139" i="76"/>
  <c r="Q138" i="76"/>
  <c r="Q137" i="76"/>
  <c r="Q136" i="76"/>
  <c r="Q135" i="76"/>
  <c r="Q134" i="76"/>
  <c r="Q133" i="76"/>
  <c r="Q132" i="76"/>
  <c r="Q131" i="76"/>
  <c r="Q130" i="76"/>
  <c r="Q129" i="76"/>
  <c r="Q128" i="76"/>
  <c r="M410" i="77"/>
  <c r="K409" i="77"/>
  <c r="I408" i="77"/>
  <c r="G407" i="77"/>
  <c r="E406" i="77"/>
  <c r="O403" i="77"/>
  <c r="M402" i="77"/>
  <c r="K401" i="77"/>
  <c r="G398" i="77"/>
  <c r="G399" i="77" s="1"/>
  <c r="O396" i="77"/>
  <c r="N396" i="77"/>
  <c r="M396" i="77"/>
  <c r="L396" i="77"/>
  <c r="K396" i="77"/>
  <c r="J396" i="77"/>
  <c r="I396" i="77"/>
  <c r="H396" i="77"/>
  <c r="G396" i="77"/>
  <c r="F396" i="77"/>
  <c r="E396" i="77"/>
  <c r="D396" i="77"/>
  <c r="C396" i="77"/>
  <c r="O395" i="77"/>
  <c r="N395" i="77"/>
  <c r="M395" i="77"/>
  <c r="L395" i="77"/>
  <c r="K395" i="77"/>
  <c r="J395" i="77"/>
  <c r="I395" i="77"/>
  <c r="H395" i="77"/>
  <c r="G395" i="77"/>
  <c r="F395" i="77"/>
  <c r="E395" i="77"/>
  <c r="D395" i="77"/>
  <c r="C395" i="77"/>
  <c r="O394" i="77"/>
  <c r="N394" i="77"/>
  <c r="M394" i="77"/>
  <c r="L394" i="77"/>
  <c r="K394" i="77"/>
  <c r="J394" i="77"/>
  <c r="I394" i="77"/>
  <c r="H394" i="77"/>
  <c r="G394" i="77"/>
  <c r="F394" i="77"/>
  <c r="E394" i="77"/>
  <c r="D394" i="77"/>
  <c r="C394" i="77"/>
  <c r="O393" i="77"/>
  <c r="N393" i="77"/>
  <c r="M393" i="77"/>
  <c r="L393" i="77"/>
  <c r="K393" i="77"/>
  <c r="J393" i="77"/>
  <c r="I393" i="77"/>
  <c r="H393" i="77"/>
  <c r="G393" i="77"/>
  <c r="F393" i="77"/>
  <c r="E393" i="77"/>
  <c r="D393" i="77"/>
  <c r="C393" i="77"/>
  <c r="O392" i="77"/>
  <c r="N392" i="77"/>
  <c r="M392" i="77"/>
  <c r="L392" i="77"/>
  <c r="K392" i="77"/>
  <c r="J392" i="77"/>
  <c r="I392" i="77"/>
  <c r="H392" i="77"/>
  <c r="G392" i="77"/>
  <c r="F392" i="77"/>
  <c r="E392" i="77"/>
  <c r="D392" i="77"/>
  <c r="C392" i="77"/>
  <c r="O391" i="77"/>
  <c r="N391" i="77"/>
  <c r="M391" i="77"/>
  <c r="L391" i="77"/>
  <c r="K391" i="77"/>
  <c r="J391" i="77"/>
  <c r="I391" i="77"/>
  <c r="H391" i="77"/>
  <c r="G391" i="77"/>
  <c r="F391" i="77"/>
  <c r="E391" i="77"/>
  <c r="D391" i="77"/>
  <c r="C391" i="77"/>
  <c r="O390" i="77"/>
  <c r="N390" i="77"/>
  <c r="M390" i="77"/>
  <c r="L390" i="77"/>
  <c r="K390" i="77"/>
  <c r="J390" i="77"/>
  <c r="I390" i="77"/>
  <c r="H390" i="77"/>
  <c r="G390" i="77"/>
  <c r="F390" i="77"/>
  <c r="E390" i="77"/>
  <c r="D390" i="77"/>
  <c r="C390" i="77"/>
  <c r="O389" i="77"/>
  <c r="N389" i="77"/>
  <c r="M389" i="77"/>
  <c r="L389" i="77"/>
  <c r="K389" i="77"/>
  <c r="J389" i="77"/>
  <c r="I389" i="77"/>
  <c r="H389" i="77"/>
  <c r="G389" i="77"/>
  <c r="F389" i="77"/>
  <c r="E389" i="77"/>
  <c r="D389" i="77"/>
  <c r="C389" i="77"/>
  <c r="O388" i="77"/>
  <c r="N388" i="77"/>
  <c r="M388" i="77"/>
  <c r="L388" i="77"/>
  <c r="K388" i="77"/>
  <c r="J388" i="77"/>
  <c r="I388" i="77"/>
  <c r="H388" i="77"/>
  <c r="G388" i="77"/>
  <c r="F388" i="77"/>
  <c r="E388" i="77"/>
  <c r="D388" i="77"/>
  <c r="C388" i="77"/>
  <c r="O387" i="77"/>
  <c r="O398" i="77" s="1"/>
  <c r="O399" i="77" s="1"/>
  <c r="N387" i="77"/>
  <c r="N398" i="77" s="1"/>
  <c r="M387" i="77"/>
  <c r="L387" i="77"/>
  <c r="L398" i="77" s="1"/>
  <c r="K387" i="77"/>
  <c r="K398" i="77" s="1"/>
  <c r="K399" i="77" s="1"/>
  <c r="J387" i="77"/>
  <c r="J398" i="77" s="1"/>
  <c r="I387" i="77"/>
  <c r="H387" i="77"/>
  <c r="H398" i="77" s="1"/>
  <c r="G387" i="77"/>
  <c r="F387" i="77"/>
  <c r="F398" i="77" s="1"/>
  <c r="E387" i="77"/>
  <c r="D387" i="77"/>
  <c r="D398" i="77" s="1"/>
  <c r="C387" i="77"/>
  <c r="C398" i="77" s="1"/>
  <c r="C399" i="77" s="1"/>
  <c r="K384" i="77"/>
  <c r="K385" i="77" s="1"/>
  <c r="O382" i="77"/>
  <c r="N382" i="77"/>
  <c r="M382" i="77"/>
  <c r="L382" i="77"/>
  <c r="K382" i="77"/>
  <c r="J382" i="77"/>
  <c r="I382" i="77"/>
  <c r="H382" i="77"/>
  <c r="G382" i="77"/>
  <c r="F382" i="77"/>
  <c r="E382" i="77"/>
  <c r="D382" i="77"/>
  <c r="C382" i="77"/>
  <c r="O381" i="77"/>
  <c r="N381" i="77"/>
  <c r="M381" i="77"/>
  <c r="L381" i="77"/>
  <c r="K381" i="77"/>
  <c r="J381" i="77"/>
  <c r="I381" i="77"/>
  <c r="H381" i="77"/>
  <c r="G381" i="77"/>
  <c r="F381" i="77"/>
  <c r="E381" i="77"/>
  <c r="D381" i="77"/>
  <c r="C381" i="77"/>
  <c r="O380" i="77"/>
  <c r="N380" i="77"/>
  <c r="M380" i="77"/>
  <c r="L380" i="77"/>
  <c r="K380" i="77"/>
  <c r="J380" i="77"/>
  <c r="I380" i="77"/>
  <c r="H380" i="77"/>
  <c r="G380" i="77"/>
  <c r="F380" i="77"/>
  <c r="E380" i="77"/>
  <c r="D380" i="77"/>
  <c r="C380" i="77"/>
  <c r="O379" i="77"/>
  <c r="N379" i="77"/>
  <c r="M379" i="77"/>
  <c r="L379" i="77"/>
  <c r="K379" i="77"/>
  <c r="J379" i="77"/>
  <c r="I379" i="77"/>
  <c r="H379" i="77"/>
  <c r="G379" i="77"/>
  <c r="F379" i="77"/>
  <c r="E379" i="77"/>
  <c r="D379" i="77"/>
  <c r="C379" i="77"/>
  <c r="O378" i="77"/>
  <c r="N378" i="77"/>
  <c r="M378" i="77"/>
  <c r="L378" i="77"/>
  <c r="K378" i="77"/>
  <c r="J378" i="77"/>
  <c r="I378" i="77"/>
  <c r="H378" i="77"/>
  <c r="G378" i="77"/>
  <c r="F378" i="77"/>
  <c r="E378" i="77"/>
  <c r="D378" i="77"/>
  <c r="C378" i="77"/>
  <c r="O377" i="77"/>
  <c r="N377" i="77"/>
  <c r="M377" i="77"/>
  <c r="L377" i="77"/>
  <c r="K377" i="77"/>
  <c r="J377" i="77"/>
  <c r="I377" i="77"/>
  <c r="H377" i="77"/>
  <c r="G377" i="77"/>
  <c r="F377" i="77"/>
  <c r="E377" i="77"/>
  <c r="D377" i="77"/>
  <c r="C377" i="77"/>
  <c r="O376" i="77"/>
  <c r="N376" i="77"/>
  <c r="M376" i="77"/>
  <c r="L376" i="77"/>
  <c r="K376" i="77"/>
  <c r="J376" i="77"/>
  <c r="I376" i="77"/>
  <c r="H376" i="77"/>
  <c r="G376" i="77"/>
  <c r="F376" i="77"/>
  <c r="E376" i="77"/>
  <c r="D376" i="77"/>
  <c r="C376" i="77"/>
  <c r="O375" i="77"/>
  <c r="N375" i="77"/>
  <c r="M375" i="77"/>
  <c r="L375" i="77"/>
  <c r="K375" i="77"/>
  <c r="J375" i="77"/>
  <c r="I375" i="77"/>
  <c r="H375" i="77"/>
  <c r="G375" i="77"/>
  <c r="F375" i="77"/>
  <c r="E375" i="77"/>
  <c r="D375" i="77"/>
  <c r="C375" i="77"/>
  <c r="O374" i="77"/>
  <c r="N374" i="77"/>
  <c r="M374" i="77"/>
  <c r="L374" i="77"/>
  <c r="K374" i="77"/>
  <c r="J374" i="77"/>
  <c r="I374" i="77"/>
  <c r="H374" i="77"/>
  <c r="G374" i="77"/>
  <c r="F374" i="77"/>
  <c r="E374" i="77"/>
  <c r="D374" i="77"/>
  <c r="C374" i="77"/>
  <c r="O373" i="77"/>
  <c r="O384" i="77" s="1"/>
  <c r="N373" i="77"/>
  <c r="N384" i="77" s="1"/>
  <c r="M373" i="77"/>
  <c r="L373" i="77"/>
  <c r="L384" i="77" s="1"/>
  <c r="K373" i="77"/>
  <c r="J373" i="77"/>
  <c r="J384" i="77" s="1"/>
  <c r="I373" i="77"/>
  <c r="H373" i="77"/>
  <c r="H384" i="77" s="1"/>
  <c r="G373" i="77"/>
  <c r="G384" i="77" s="1"/>
  <c r="F373" i="77"/>
  <c r="F384" i="77" s="1"/>
  <c r="E373" i="77"/>
  <c r="D373" i="77"/>
  <c r="D384" i="77" s="1"/>
  <c r="C373" i="77"/>
  <c r="C384" i="77" s="1"/>
  <c r="O368" i="77"/>
  <c r="N368" i="77"/>
  <c r="M368" i="77"/>
  <c r="L368" i="77"/>
  <c r="K368" i="77"/>
  <c r="J368" i="77"/>
  <c r="I368" i="77"/>
  <c r="H368" i="77"/>
  <c r="G368" i="77"/>
  <c r="F368" i="77"/>
  <c r="E368" i="77"/>
  <c r="D368" i="77"/>
  <c r="C368" i="77"/>
  <c r="P368" i="77" s="1"/>
  <c r="O367" i="77"/>
  <c r="N367" i="77"/>
  <c r="M367" i="77"/>
  <c r="L367" i="77"/>
  <c r="K367" i="77"/>
  <c r="J367" i="77"/>
  <c r="I367" i="77"/>
  <c r="H367" i="77"/>
  <c r="G367" i="77"/>
  <c r="F367" i="77"/>
  <c r="E367" i="77"/>
  <c r="D367" i="77"/>
  <c r="C367" i="77"/>
  <c r="O366" i="77"/>
  <c r="N366" i="77"/>
  <c r="M366" i="77"/>
  <c r="L366" i="77"/>
  <c r="K366" i="77"/>
  <c r="J366" i="77"/>
  <c r="I366" i="77"/>
  <c r="H366" i="77"/>
  <c r="G366" i="77"/>
  <c r="F366" i="77"/>
  <c r="E366" i="77"/>
  <c r="D366" i="77"/>
  <c r="C366" i="77"/>
  <c r="P366" i="77" s="1"/>
  <c r="O365" i="77"/>
  <c r="N365" i="77"/>
  <c r="M365" i="77"/>
  <c r="L365" i="77"/>
  <c r="K365" i="77"/>
  <c r="J365" i="77"/>
  <c r="I365" i="77"/>
  <c r="H365" i="77"/>
  <c r="G365" i="77"/>
  <c r="F365" i="77"/>
  <c r="E365" i="77"/>
  <c r="D365" i="77"/>
  <c r="C365" i="77"/>
  <c r="P365" i="77" s="1"/>
  <c r="O364" i="77"/>
  <c r="N364" i="77"/>
  <c r="M364" i="77"/>
  <c r="L364" i="77"/>
  <c r="K364" i="77"/>
  <c r="J364" i="77"/>
  <c r="I364" i="77"/>
  <c r="H364" i="77"/>
  <c r="G364" i="77"/>
  <c r="F364" i="77"/>
  <c r="E364" i="77"/>
  <c r="D364" i="77"/>
  <c r="C364" i="77"/>
  <c r="P364" i="77" s="1"/>
  <c r="O363" i="77"/>
  <c r="N363" i="77"/>
  <c r="M363" i="77"/>
  <c r="L363" i="77"/>
  <c r="K363" i="77"/>
  <c r="J363" i="77"/>
  <c r="I363" i="77"/>
  <c r="H363" i="77"/>
  <c r="G363" i="77"/>
  <c r="F363" i="77"/>
  <c r="E363" i="77"/>
  <c r="D363" i="77"/>
  <c r="C363" i="77"/>
  <c r="O362" i="77"/>
  <c r="N362" i="77"/>
  <c r="M362" i="77"/>
  <c r="L362" i="77"/>
  <c r="K362" i="77"/>
  <c r="J362" i="77"/>
  <c r="I362" i="77"/>
  <c r="H362" i="77"/>
  <c r="G362" i="77"/>
  <c r="F362" i="77"/>
  <c r="E362" i="77"/>
  <c r="D362" i="77"/>
  <c r="C362" i="77"/>
  <c r="P362" i="77" s="1"/>
  <c r="O361" i="77"/>
  <c r="N361" i="77"/>
  <c r="M361" i="77"/>
  <c r="L361" i="77"/>
  <c r="K361" i="77"/>
  <c r="J361" i="77"/>
  <c r="I361" i="77"/>
  <c r="H361" i="77"/>
  <c r="G361" i="77"/>
  <c r="F361" i="77"/>
  <c r="E361" i="77"/>
  <c r="D361" i="77"/>
  <c r="C361" i="77"/>
  <c r="P361" i="77" s="1"/>
  <c r="O360" i="77"/>
  <c r="N360" i="77"/>
  <c r="M360" i="77"/>
  <c r="L360" i="77"/>
  <c r="K360" i="77"/>
  <c r="J360" i="77"/>
  <c r="I360" i="77"/>
  <c r="H360" i="77"/>
  <c r="G360" i="77"/>
  <c r="F360" i="77"/>
  <c r="E360" i="77"/>
  <c r="D360" i="77"/>
  <c r="C360" i="77"/>
  <c r="P360" i="77" s="1"/>
  <c r="O359" i="77"/>
  <c r="N359" i="77"/>
  <c r="M359" i="77"/>
  <c r="L359" i="77"/>
  <c r="K359" i="77"/>
  <c r="J359" i="77"/>
  <c r="I359" i="77"/>
  <c r="H359" i="77"/>
  <c r="G359" i="77"/>
  <c r="F359" i="77"/>
  <c r="E359" i="77"/>
  <c r="D359" i="77"/>
  <c r="C359" i="77"/>
  <c r="O358" i="77"/>
  <c r="N358" i="77"/>
  <c r="M358" i="77"/>
  <c r="L358" i="77"/>
  <c r="K358" i="77"/>
  <c r="J358" i="77"/>
  <c r="I358" i="77"/>
  <c r="H358" i="77"/>
  <c r="G358" i="77"/>
  <c r="F358" i="77"/>
  <c r="E358" i="77"/>
  <c r="D358" i="77"/>
  <c r="C358" i="77"/>
  <c r="P358" i="77" s="1"/>
  <c r="O357" i="77"/>
  <c r="N357" i="77"/>
  <c r="M357" i="77"/>
  <c r="L357" i="77"/>
  <c r="K357" i="77"/>
  <c r="J357" i="77"/>
  <c r="I357" i="77"/>
  <c r="H357" i="77"/>
  <c r="G357" i="77"/>
  <c r="F357" i="77"/>
  <c r="E357" i="77"/>
  <c r="D357" i="77"/>
  <c r="C357" i="77"/>
  <c r="P357" i="77" s="1"/>
  <c r="O356" i="77"/>
  <c r="N356" i="77"/>
  <c r="M356" i="77"/>
  <c r="L356" i="77"/>
  <c r="K356" i="77"/>
  <c r="J356" i="77"/>
  <c r="I356" i="77"/>
  <c r="H356" i="77"/>
  <c r="G356" i="77"/>
  <c r="F356" i="77"/>
  <c r="E356" i="77"/>
  <c r="D356" i="77"/>
  <c r="C356" i="77"/>
  <c r="P356" i="77" s="1"/>
  <c r="O355" i="77"/>
  <c r="N355" i="77"/>
  <c r="M355" i="77"/>
  <c r="L355" i="77"/>
  <c r="K355" i="77"/>
  <c r="J355" i="77"/>
  <c r="I355" i="77"/>
  <c r="H355" i="77"/>
  <c r="G355" i="77"/>
  <c r="F355" i="77"/>
  <c r="E355" i="77"/>
  <c r="D355" i="77"/>
  <c r="C355" i="77"/>
  <c r="O354" i="77"/>
  <c r="N354" i="77"/>
  <c r="M354" i="77"/>
  <c r="L354" i="77"/>
  <c r="K354" i="77"/>
  <c r="J354" i="77"/>
  <c r="I354" i="77"/>
  <c r="H354" i="77"/>
  <c r="G354" i="77"/>
  <c r="F354" i="77"/>
  <c r="E354" i="77"/>
  <c r="D354" i="77"/>
  <c r="C354" i="77"/>
  <c r="P354" i="77" s="1"/>
  <c r="O353" i="77"/>
  <c r="N353" i="77"/>
  <c r="M353" i="77"/>
  <c r="L353" i="77"/>
  <c r="K353" i="77"/>
  <c r="J353" i="77"/>
  <c r="I353" i="77"/>
  <c r="H353" i="77"/>
  <c r="G353" i="77"/>
  <c r="F353" i="77"/>
  <c r="E353" i="77"/>
  <c r="D353" i="77"/>
  <c r="C353" i="77"/>
  <c r="P353" i="77" s="1"/>
  <c r="O352" i="77"/>
  <c r="N352" i="77"/>
  <c r="M352" i="77"/>
  <c r="L352" i="77"/>
  <c r="K352" i="77"/>
  <c r="J352" i="77"/>
  <c r="I352" i="77"/>
  <c r="H352" i="77"/>
  <c r="G352" i="77"/>
  <c r="F352" i="77"/>
  <c r="E352" i="77"/>
  <c r="D352" i="77"/>
  <c r="C352" i="77"/>
  <c r="P352" i="77" s="1"/>
  <c r="O351" i="77"/>
  <c r="N351" i="77"/>
  <c r="M351" i="77"/>
  <c r="L351" i="77"/>
  <c r="K351" i="77"/>
  <c r="J351" i="77"/>
  <c r="I351" i="77"/>
  <c r="H351" i="77"/>
  <c r="G351" i="77"/>
  <c r="F351" i="77"/>
  <c r="E351" i="77"/>
  <c r="D351" i="77"/>
  <c r="C351" i="77"/>
  <c r="O350" i="77"/>
  <c r="N350" i="77"/>
  <c r="M350" i="77"/>
  <c r="L350" i="77"/>
  <c r="K350" i="77"/>
  <c r="J350" i="77"/>
  <c r="I350" i="77"/>
  <c r="H350" i="77"/>
  <c r="G350" i="77"/>
  <c r="F350" i="77"/>
  <c r="E350" i="77"/>
  <c r="D350" i="77"/>
  <c r="C350" i="77"/>
  <c r="P350" i="77" s="1"/>
  <c r="O349" i="77"/>
  <c r="N349" i="77"/>
  <c r="M349" i="77"/>
  <c r="M406" i="77" s="1"/>
  <c r="L349" i="77"/>
  <c r="K349" i="77"/>
  <c r="J349" i="77"/>
  <c r="I349" i="77"/>
  <c r="I406" i="77" s="1"/>
  <c r="H349" i="77"/>
  <c r="G349" i="77"/>
  <c r="F349" i="77"/>
  <c r="E349" i="77"/>
  <c r="D349" i="77"/>
  <c r="C349" i="77"/>
  <c r="P349" i="77" s="1"/>
  <c r="O348" i="77"/>
  <c r="O406" i="77" s="1"/>
  <c r="N348" i="77"/>
  <c r="N406" i="77" s="1"/>
  <c r="M348" i="77"/>
  <c r="L348" i="77"/>
  <c r="L406" i="77" s="1"/>
  <c r="K348" i="77"/>
  <c r="K406" i="77" s="1"/>
  <c r="J348" i="77"/>
  <c r="J406" i="77" s="1"/>
  <c r="I348" i="77"/>
  <c r="H348" i="77"/>
  <c r="H406" i="77" s="1"/>
  <c r="G348" i="77"/>
  <c r="G406" i="77" s="1"/>
  <c r="F348" i="77"/>
  <c r="F406" i="77" s="1"/>
  <c r="E348" i="77"/>
  <c r="D348" i="77"/>
  <c r="D406" i="77" s="1"/>
  <c r="C348" i="77"/>
  <c r="O347" i="77"/>
  <c r="O408" i="77" s="1"/>
  <c r="N347" i="77"/>
  <c r="N408" i="77" s="1"/>
  <c r="M347" i="77"/>
  <c r="M408" i="77" s="1"/>
  <c r="L347" i="77"/>
  <c r="L408" i="77" s="1"/>
  <c r="K347" i="77"/>
  <c r="K408" i="77" s="1"/>
  <c r="J347" i="77"/>
  <c r="J408" i="77" s="1"/>
  <c r="I347" i="77"/>
  <c r="H347" i="77"/>
  <c r="H408" i="77" s="1"/>
  <c r="G347" i="77"/>
  <c r="G408" i="77" s="1"/>
  <c r="F347" i="77"/>
  <c r="F408" i="77" s="1"/>
  <c r="E347" i="77"/>
  <c r="E408" i="77" s="1"/>
  <c r="D347" i="77"/>
  <c r="D408" i="77" s="1"/>
  <c r="C347" i="77"/>
  <c r="O346" i="77"/>
  <c r="O407" i="77" s="1"/>
  <c r="N346" i="77"/>
  <c r="N407" i="77" s="1"/>
  <c r="M346" i="77"/>
  <c r="M407" i="77" s="1"/>
  <c r="L346" i="77"/>
  <c r="L407" i="77" s="1"/>
  <c r="K346" i="77"/>
  <c r="K407" i="77" s="1"/>
  <c r="J346" i="77"/>
  <c r="J407" i="77" s="1"/>
  <c r="I346" i="77"/>
  <c r="I407" i="77" s="1"/>
  <c r="H346" i="77"/>
  <c r="H407" i="77" s="1"/>
  <c r="G346" i="77"/>
  <c r="F346" i="77"/>
  <c r="F407" i="77" s="1"/>
  <c r="E346" i="77"/>
  <c r="E407" i="77" s="1"/>
  <c r="D346" i="77"/>
  <c r="D407" i="77" s="1"/>
  <c r="C346" i="77"/>
  <c r="P346" i="77" s="1"/>
  <c r="P407" i="77" s="1"/>
  <c r="O345" i="77"/>
  <c r="N345" i="77"/>
  <c r="M345" i="77"/>
  <c r="L345" i="77"/>
  <c r="K345" i="77"/>
  <c r="J345" i="77"/>
  <c r="I345" i="77"/>
  <c r="H345" i="77"/>
  <c r="G345" i="77"/>
  <c r="F345" i="77"/>
  <c r="E345" i="77"/>
  <c r="D345" i="77"/>
  <c r="C345" i="77"/>
  <c r="P345" i="77" s="1"/>
  <c r="O344" i="77"/>
  <c r="N344" i="77"/>
  <c r="M344" i="77"/>
  <c r="L344" i="77"/>
  <c r="K344" i="77"/>
  <c r="J344" i="77"/>
  <c r="I344" i="77"/>
  <c r="H344" i="77"/>
  <c r="G344" i="77"/>
  <c r="F344" i="77"/>
  <c r="E344" i="77"/>
  <c r="D344" i="77"/>
  <c r="C344" i="77"/>
  <c r="P344" i="77" s="1"/>
  <c r="O343" i="77"/>
  <c r="N343" i="77"/>
  <c r="M343" i="77"/>
  <c r="L343" i="77"/>
  <c r="K343" i="77"/>
  <c r="J343" i="77"/>
  <c r="I343" i="77"/>
  <c r="H343" i="77"/>
  <c r="G343" i="77"/>
  <c r="F343" i="77"/>
  <c r="E343" i="77"/>
  <c r="D343" i="77"/>
  <c r="C343" i="77"/>
  <c r="O342" i="77"/>
  <c r="N342" i="77"/>
  <c r="M342" i="77"/>
  <c r="L342" i="77"/>
  <c r="K342" i="77"/>
  <c r="J342" i="77"/>
  <c r="I342" i="77"/>
  <c r="H342" i="77"/>
  <c r="G342" i="77"/>
  <c r="F342" i="77"/>
  <c r="E342" i="77"/>
  <c r="D342" i="77"/>
  <c r="C342" i="77"/>
  <c r="P342" i="77" s="1"/>
  <c r="O341" i="77"/>
  <c r="N341" i="77"/>
  <c r="M341" i="77"/>
  <c r="L341" i="77"/>
  <c r="K341" i="77"/>
  <c r="J341" i="77"/>
  <c r="I341" i="77"/>
  <c r="H341" i="77"/>
  <c r="G341" i="77"/>
  <c r="F341" i="77"/>
  <c r="E341" i="77"/>
  <c r="D341" i="77"/>
  <c r="C341" i="77"/>
  <c r="P341" i="77" s="1"/>
  <c r="O340" i="77"/>
  <c r="N340" i="77"/>
  <c r="M340" i="77"/>
  <c r="L340" i="77"/>
  <c r="K340" i="77"/>
  <c r="J340" i="77"/>
  <c r="I340" i="77"/>
  <c r="H340" i="77"/>
  <c r="G340" i="77"/>
  <c r="F340" i="77"/>
  <c r="E340" i="77"/>
  <c r="D340" i="77"/>
  <c r="C340" i="77"/>
  <c r="P340" i="77" s="1"/>
  <c r="O339" i="77"/>
  <c r="N339" i="77"/>
  <c r="M339" i="77"/>
  <c r="L339" i="77"/>
  <c r="K339" i="77"/>
  <c r="J339" i="77"/>
  <c r="I339" i="77"/>
  <c r="H339" i="77"/>
  <c r="G339" i="77"/>
  <c r="F339" i="77"/>
  <c r="E339" i="77"/>
  <c r="D339" i="77"/>
  <c r="C339" i="77"/>
  <c r="O338" i="77"/>
  <c r="N338" i="77"/>
  <c r="M338" i="77"/>
  <c r="L338" i="77"/>
  <c r="K338" i="77"/>
  <c r="J338" i="77"/>
  <c r="I338" i="77"/>
  <c r="H338" i="77"/>
  <c r="G338" i="77"/>
  <c r="F338" i="77"/>
  <c r="E338" i="77"/>
  <c r="D338" i="77"/>
  <c r="C338" i="77"/>
  <c r="O337" i="77"/>
  <c r="N337" i="77"/>
  <c r="M337" i="77"/>
  <c r="L337" i="77"/>
  <c r="K337" i="77"/>
  <c r="J337" i="77"/>
  <c r="I337" i="77"/>
  <c r="H337" i="77"/>
  <c r="G337" i="77"/>
  <c r="F337" i="77"/>
  <c r="E337" i="77"/>
  <c r="D337" i="77"/>
  <c r="P337" i="77" s="1"/>
  <c r="C337" i="77"/>
  <c r="O336" i="77"/>
  <c r="N336" i="77"/>
  <c r="M336" i="77"/>
  <c r="L336" i="77"/>
  <c r="K336" i="77"/>
  <c r="J336" i="77"/>
  <c r="I336" i="77"/>
  <c r="H336" i="77"/>
  <c r="G336" i="77"/>
  <c r="F336" i="77"/>
  <c r="E336" i="77"/>
  <c r="D336" i="77"/>
  <c r="C336" i="77"/>
  <c r="P336" i="77" s="1"/>
  <c r="O335" i="77"/>
  <c r="N335" i="77"/>
  <c r="M335" i="77"/>
  <c r="L335" i="77"/>
  <c r="K335" i="77"/>
  <c r="J335" i="77"/>
  <c r="I335" i="77"/>
  <c r="H335" i="77"/>
  <c r="G335" i="77"/>
  <c r="F335" i="77"/>
  <c r="E335" i="77"/>
  <c r="D335" i="77"/>
  <c r="P335" i="77" s="1"/>
  <c r="C335" i="77"/>
  <c r="O334" i="77"/>
  <c r="N334" i="77"/>
  <c r="M334" i="77"/>
  <c r="L334" i="77"/>
  <c r="K334" i="77"/>
  <c r="J334" i="77"/>
  <c r="I334" i="77"/>
  <c r="H334" i="77"/>
  <c r="G334" i="77"/>
  <c r="F334" i="77"/>
  <c r="E334" i="77"/>
  <c r="D334" i="77"/>
  <c r="C334" i="77"/>
  <c r="O333" i="77"/>
  <c r="N333" i="77"/>
  <c r="M333" i="77"/>
  <c r="L333" i="77"/>
  <c r="K333" i="77"/>
  <c r="J333" i="77"/>
  <c r="I333" i="77"/>
  <c r="H333" i="77"/>
  <c r="G333" i="77"/>
  <c r="F333" i="77"/>
  <c r="E333" i="77"/>
  <c r="D333" i="77"/>
  <c r="P333" i="77" s="1"/>
  <c r="C333" i="77"/>
  <c r="O332" i="77"/>
  <c r="N332" i="77"/>
  <c r="M332" i="77"/>
  <c r="L332" i="77"/>
  <c r="K332" i="77"/>
  <c r="J332" i="77"/>
  <c r="I332" i="77"/>
  <c r="H332" i="77"/>
  <c r="G332" i="77"/>
  <c r="F332" i="77"/>
  <c r="E332" i="77"/>
  <c r="D332" i="77"/>
  <c r="C332" i="77"/>
  <c r="O331" i="77"/>
  <c r="N331" i="77"/>
  <c r="M331" i="77"/>
  <c r="L331" i="77"/>
  <c r="K331" i="77"/>
  <c r="J331" i="77"/>
  <c r="I331" i="77"/>
  <c r="H331" i="77"/>
  <c r="G331" i="77"/>
  <c r="F331" i="77"/>
  <c r="E331" i="77"/>
  <c r="D331" i="77"/>
  <c r="P331" i="77" s="1"/>
  <c r="C331" i="77"/>
  <c r="O330" i="77"/>
  <c r="N330" i="77"/>
  <c r="M330" i="77"/>
  <c r="L330" i="77"/>
  <c r="K330" i="77"/>
  <c r="J330" i="77"/>
  <c r="I330" i="77"/>
  <c r="H330" i="77"/>
  <c r="G330" i="77"/>
  <c r="F330" i="77"/>
  <c r="E330" i="77"/>
  <c r="D330" i="77"/>
  <c r="C330" i="77"/>
  <c r="O329" i="77"/>
  <c r="N329" i="77"/>
  <c r="M329" i="77"/>
  <c r="L329" i="77"/>
  <c r="K329" i="77"/>
  <c r="J329" i="77"/>
  <c r="I329" i="77"/>
  <c r="H329" i="77"/>
  <c r="G329" i="77"/>
  <c r="F329" i="77"/>
  <c r="E329" i="77"/>
  <c r="D329" i="77"/>
  <c r="P329" i="77" s="1"/>
  <c r="C329" i="77"/>
  <c r="O328" i="77"/>
  <c r="N328" i="77"/>
  <c r="M328" i="77"/>
  <c r="L328" i="77"/>
  <c r="K328" i="77"/>
  <c r="J328" i="77"/>
  <c r="I328" i="77"/>
  <c r="H328" i="77"/>
  <c r="G328" i="77"/>
  <c r="F328" i="77"/>
  <c r="E328" i="77"/>
  <c r="D328" i="77"/>
  <c r="C328" i="77"/>
  <c r="P328" i="77" s="1"/>
  <c r="O327" i="77"/>
  <c r="N327" i="77"/>
  <c r="M327" i="77"/>
  <c r="L327" i="77"/>
  <c r="K327" i="77"/>
  <c r="J327" i="77"/>
  <c r="I327" i="77"/>
  <c r="H327" i="77"/>
  <c r="G327" i="77"/>
  <c r="F327" i="77"/>
  <c r="E327" i="77"/>
  <c r="D327" i="77"/>
  <c r="P327" i="77" s="1"/>
  <c r="C327" i="77"/>
  <c r="O326" i="77"/>
  <c r="N326" i="77"/>
  <c r="M326" i="77"/>
  <c r="L326" i="77"/>
  <c r="K326" i="77"/>
  <c r="J326" i="77"/>
  <c r="I326" i="77"/>
  <c r="H326" i="77"/>
  <c r="G326" i="77"/>
  <c r="F326" i="77"/>
  <c r="E326" i="77"/>
  <c r="D326" i="77"/>
  <c r="C326" i="77"/>
  <c r="O325" i="77"/>
  <c r="N325" i="77"/>
  <c r="M325" i="77"/>
  <c r="L325" i="77"/>
  <c r="K325" i="77"/>
  <c r="J325" i="77"/>
  <c r="I325" i="77"/>
  <c r="H325" i="77"/>
  <c r="G325" i="77"/>
  <c r="F325" i="77"/>
  <c r="E325" i="77"/>
  <c r="D325" i="77"/>
  <c r="P325" i="77" s="1"/>
  <c r="C325" i="77"/>
  <c r="O324" i="77"/>
  <c r="N324" i="77"/>
  <c r="M324" i="77"/>
  <c r="L324" i="77"/>
  <c r="K324" i="77"/>
  <c r="J324" i="77"/>
  <c r="I324" i="77"/>
  <c r="H324" i="77"/>
  <c r="G324" i="77"/>
  <c r="F324" i="77"/>
  <c r="E324" i="77"/>
  <c r="D324" i="77"/>
  <c r="C324" i="77"/>
  <c r="O323" i="77"/>
  <c r="N323" i="77"/>
  <c r="M323" i="77"/>
  <c r="L323" i="77"/>
  <c r="K323" i="77"/>
  <c r="J323" i="77"/>
  <c r="I323" i="77"/>
  <c r="H323" i="77"/>
  <c r="G323" i="77"/>
  <c r="F323" i="77"/>
  <c r="E323" i="77"/>
  <c r="D323" i="77"/>
  <c r="P323" i="77" s="1"/>
  <c r="C323" i="77"/>
  <c r="O322" i="77"/>
  <c r="N322" i="77"/>
  <c r="M322" i="77"/>
  <c r="L322" i="77"/>
  <c r="K322" i="77"/>
  <c r="J322" i="77"/>
  <c r="I322" i="77"/>
  <c r="H322" i="77"/>
  <c r="G322" i="77"/>
  <c r="F322" i="77"/>
  <c r="E322" i="77"/>
  <c r="D322" i="77"/>
  <c r="C322" i="77"/>
  <c r="O321" i="77"/>
  <c r="N321" i="77"/>
  <c r="M321" i="77"/>
  <c r="L321" i="77"/>
  <c r="K321" i="77"/>
  <c r="J321" i="77"/>
  <c r="I321" i="77"/>
  <c r="H321" i="77"/>
  <c r="G321" i="77"/>
  <c r="F321" i="77"/>
  <c r="E321" i="77"/>
  <c r="D321" i="77"/>
  <c r="P321" i="77" s="1"/>
  <c r="C321" i="77"/>
  <c r="O320" i="77"/>
  <c r="N320" i="77"/>
  <c r="M320" i="77"/>
  <c r="L320" i="77"/>
  <c r="K320" i="77"/>
  <c r="J320" i="77"/>
  <c r="I320" i="77"/>
  <c r="H320" i="77"/>
  <c r="G320" i="77"/>
  <c r="F320" i="77"/>
  <c r="E320" i="77"/>
  <c r="D320" i="77"/>
  <c r="P320" i="77" s="1"/>
  <c r="C320" i="77"/>
  <c r="O319" i="77"/>
  <c r="N319" i="77"/>
  <c r="M319" i="77"/>
  <c r="L319" i="77"/>
  <c r="K319" i="77"/>
  <c r="J319" i="77"/>
  <c r="I319" i="77"/>
  <c r="H319" i="77"/>
  <c r="G319" i="77"/>
  <c r="F319" i="77"/>
  <c r="E319" i="77"/>
  <c r="D319" i="77"/>
  <c r="P319" i="77" s="1"/>
  <c r="C319" i="77"/>
  <c r="O318" i="77"/>
  <c r="N318" i="77"/>
  <c r="M318" i="77"/>
  <c r="L318" i="77"/>
  <c r="K318" i="77"/>
  <c r="J318" i="77"/>
  <c r="I318" i="77"/>
  <c r="H318" i="77"/>
  <c r="G318" i="77"/>
  <c r="F318" i="77"/>
  <c r="E318" i="77"/>
  <c r="D318" i="77"/>
  <c r="C318" i="77"/>
  <c r="O317" i="77"/>
  <c r="O409" i="77" s="1"/>
  <c r="N317" i="77"/>
  <c r="M317" i="77"/>
  <c r="L317" i="77"/>
  <c r="K317" i="77"/>
  <c r="J317" i="77"/>
  <c r="I317" i="77"/>
  <c r="H317" i="77"/>
  <c r="G317" i="77"/>
  <c r="G409" i="77" s="1"/>
  <c r="F317" i="77"/>
  <c r="E317" i="77"/>
  <c r="D317" i="77"/>
  <c r="C317" i="77"/>
  <c r="C409" i="77" s="1"/>
  <c r="O316" i="77"/>
  <c r="N316" i="77"/>
  <c r="M316" i="77"/>
  <c r="L316" i="77"/>
  <c r="K316" i="77"/>
  <c r="J316" i="77"/>
  <c r="I316" i="77"/>
  <c r="H316" i="77"/>
  <c r="G316" i="77"/>
  <c r="F316" i="77"/>
  <c r="E316" i="77"/>
  <c r="D316" i="77"/>
  <c r="C316" i="77"/>
  <c r="O315" i="77"/>
  <c r="N315" i="77"/>
  <c r="M315" i="77"/>
  <c r="L315" i="77"/>
  <c r="K315" i="77"/>
  <c r="J315" i="77"/>
  <c r="I315" i="77"/>
  <c r="H315" i="77"/>
  <c r="G315" i="77"/>
  <c r="F315" i="77"/>
  <c r="E315" i="77"/>
  <c r="D315" i="77"/>
  <c r="P315" i="77" s="1"/>
  <c r="C315" i="77"/>
  <c r="O314" i="77"/>
  <c r="N314" i="77"/>
  <c r="M314" i="77"/>
  <c r="L314" i="77"/>
  <c r="K314" i="77"/>
  <c r="J314" i="77"/>
  <c r="I314" i="77"/>
  <c r="H314" i="77"/>
  <c r="G314" i="77"/>
  <c r="F314" i="77"/>
  <c r="E314" i="77"/>
  <c r="D314" i="77"/>
  <c r="P314" i="77" s="1"/>
  <c r="C314" i="77"/>
  <c r="O313" i="77"/>
  <c r="N313" i="77"/>
  <c r="M313" i="77"/>
  <c r="M404" i="77" s="1"/>
  <c r="L313" i="77"/>
  <c r="K313" i="77"/>
  <c r="J313" i="77"/>
  <c r="I313" i="77"/>
  <c r="I404" i="77" s="1"/>
  <c r="H313" i="77"/>
  <c r="G313" i="77"/>
  <c r="F313" i="77"/>
  <c r="E313" i="77"/>
  <c r="E404" i="77" s="1"/>
  <c r="D313" i="77"/>
  <c r="C313" i="77"/>
  <c r="O312" i="77"/>
  <c r="N312" i="77"/>
  <c r="M312" i="77"/>
  <c r="L312" i="77"/>
  <c r="K312" i="77"/>
  <c r="J312" i="77"/>
  <c r="I312" i="77"/>
  <c r="H312" i="77"/>
  <c r="G312" i="77"/>
  <c r="F312" i="77"/>
  <c r="E312" i="77"/>
  <c r="D312" i="77"/>
  <c r="P312" i="77" s="1"/>
  <c r="C312" i="77"/>
  <c r="O311" i="77"/>
  <c r="N311" i="77"/>
  <c r="M311" i="77"/>
  <c r="L311" i="77"/>
  <c r="L410" i="77" s="1"/>
  <c r="K311" i="77"/>
  <c r="J311" i="77"/>
  <c r="I311" i="77"/>
  <c r="I410" i="77" s="1"/>
  <c r="H311" i="77"/>
  <c r="H410" i="77" s="1"/>
  <c r="G311" i="77"/>
  <c r="F311" i="77"/>
  <c r="E311" i="77"/>
  <c r="E410" i="77" s="1"/>
  <c r="D311" i="77"/>
  <c r="D410" i="77" s="1"/>
  <c r="C311" i="77"/>
  <c r="O310" i="77"/>
  <c r="N310" i="77"/>
  <c r="M310" i="77"/>
  <c r="L310" i="77"/>
  <c r="K310" i="77"/>
  <c r="J310" i="77"/>
  <c r="I310" i="77"/>
  <c r="H310" i="77"/>
  <c r="G310" i="77"/>
  <c r="F310" i="77"/>
  <c r="E310" i="77"/>
  <c r="D310" i="77"/>
  <c r="C310" i="77"/>
  <c r="O309" i="77"/>
  <c r="N309" i="77"/>
  <c r="M309" i="77"/>
  <c r="L309" i="77"/>
  <c r="K309" i="77"/>
  <c r="J309" i="77"/>
  <c r="I309" i="77"/>
  <c r="H309" i="77"/>
  <c r="G309" i="77"/>
  <c r="F309" i="77"/>
  <c r="E309" i="77"/>
  <c r="D309" i="77"/>
  <c r="P309" i="77" s="1"/>
  <c r="C309" i="77"/>
  <c r="O308" i="77"/>
  <c r="N308" i="77"/>
  <c r="M308" i="77"/>
  <c r="L308" i="77"/>
  <c r="K308" i="77"/>
  <c r="J308" i="77"/>
  <c r="I308" i="77"/>
  <c r="H308" i="77"/>
  <c r="G308" i="77"/>
  <c r="F308" i="77"/>
  <c r="E308" i="77"/>
  <c r="D308" i="77"/>
  <c r="C308" i="77"/>
  <c r="O307" i="77"/>
  <c r="N307" i="77"/>
  <c r="M307" i="77"/>
  <c r="L307" i="77"/>
  <c r="K307" i="77"/>
  <c r="J307" i="77"/>
  <c r="I307" i="77"/>
  <c r="H307" i="77"/>
  <c r="G307" i="77"/>
  <c r="F307" i="77"/>
  <c r="E307" i="77"/>
  <c r="D307" i="77"/>
  <c r="P307" i="77" s="1"/>
  <c r="C307" i="77"/>
  <c r="O306" i="77"/>
  <c r="N306" i="77"/>
  <c r="M306" i="77"/>
  <c r="L306" i="77"/>
  <c r="K306" i="77"/>
  <c r="J306" i="77"/>
  <c r="I306" i="77"/>
  <c r="H306" i="77"/>
  <c r="G306" i="77"/>
  <c r="F306" i="77"/>
  <c r="E306" i="77"/>
  <c r="D306" i="77"/>
  <c r="P306" i="77" s="1"/>
  <c r="C306" i="77"/>
  <c r="O305" i="77"/>
  <c r="N305" i="77"/>
  <c r="M305" i="77"/>
  <c r="L305" i="77"/>
  <c r="K305" i="77"/>
  <c r="J305" i="77"/>
  <c r="I305" i="77"/>
  <c r="H305" i="77"/>
  <c r="G305" i="77"/>
  <c r="F305" i="77"/>
  <c r="E305" i="77"/>
  <c r="D305" i="77"/>
  <c r="P305" i="77" s="1"/>
  <c r="C305" i="77"/>
  <c r="O304" i="77"/>
  <c r="N304" i="77"/>
  <c r="M304" i="77"/>
  <c r="L304" i="77"/>
  <c r="K304" i="77"/>
  <c r="J304" i="77"/>
  <c r="I304" i="77"/>
  <c r="H304" i="77"/>
  <c r="G304" i="77"/>
  <c r="F304" i="77"/>
  <c r="E304" i="77"/>
  <c r="D304" i="77"/>
  <c r="P304" i="77" s="1"/>
  <c r="C304" i="77"/>
  <c r="O303" i="77"/>
  <c r="N303" i="77"/>
  <c r="M303" i="77"/>
  <c r="L303" i="77"/>
  <c r="K303" i="77"/>
  <c r="J303" i="77"/>
  <c r="I303" i="77"/>
  <c r="H303" i="77"/>
  <c r="G303" i="77"/>
  <c r="F303" i="77"/>
  <c r="E303" i="77"/>
  <c r="D303" i="77"/>
  <c r="P303" i="77" s="1"/>
  <c r="C303" i="77"/>
  <c r="O302" i="77"/>
  <c r="N302" i="77"/>
  <c r="M302" i="77"/>
  <c r="L302" i="77"/>
  <c r="K302" i="77"/>
  <c r="J302" i="77"/>
  <c r="I302" i="77"/>
  <c r="H302" i="77"/>
  <c r="G302" i="77"/>
  <c r="F302" i="77"/>
  <c r="E302" i="77"/>
  <c r="D302" i="77"/>
  <c r="C302" i="77"/>
  <c r="O301" i="77"/>
  <c r="N301" i="77"/>
  <c r="M301" i="77"/>
  <c r="L301" i="77"/>
  <c r="K301" i="77"/>
  <c r="J301" i="77"/>
  <c r="I301" i="77"/>
  <c r="H301" i="77"/>
  <c r="G301" i="77"/>
  <c r="F301" i="77"/>
  <c r="E301" i="77"/>
  <c r="D301" i="77"/>
  <c r="P301" i="77" s="1"/>
  <c r="C301" i="77"/>
  <c r="O300" i="77"/>
  <c r="N300" i="77"/>
  <c r="M300" i="77"/>
  <c r="L300" i="77"/>
  <c r="K300" i="77"/>
  <c r="J300" i="77"/>
  <c r="I300" i="77"/>
  <c r="H300" i="77"/>
  <c r="G300" i="77"/>
  <c r="F300" i="77"/>
  <c r="E300" i="77"/>
  <c r="D300" i="77"/>
  <c r="C300" i="77"/>
  <c r="O299" i="77"/>
  <c r="N299" i="77"/>
  <c r="M299" i="77"/>
  <c r="L299" i="77"/>
  <c r="K299" i="77"/>
  <c r="J299" i="77"/>
  <c r="I299" i="77"/>
  <c r="H299" i="77"/>
  <c r="G299" i="77"/>
  <c r="F299" i="77"/>
  <c r="E299" i="77"/>
  <c r="D299" i="77"/>
  <c r="P299" i="77" s="1"/>
  <c r="C299" i="77"/>
  <c r="O298" i="77"/>
  <c r="N298" i="77"/>
  <c r="M298" i="77"/>
  <c r="L298" i="77"/>
  <c r="K298" i="77"/>
  <c r="J298" i="77"/>
  <c r="I298" i="77"/>
  <c r="H298" i="77"/>
  <c r="G298" i="77"/>
  <c r="F298" i="77"/>
  <c r="E298" i="77"/>
  <c r="D298" i="77"/>
  <c r="P298" i="77" s="1"/>
  <c r="C298" i="77"/>
  <c r="O297" i="77"/>
  <c r="N297" i="77"/>
  <c r="M297" i="77"/>
  <c r="L297" i="77"/>
  <c r="K297" i="77"/>
  <c r="J297" i="77"/>
  <c r="I297" i="77"/>
  <c r="H297" i="77"/>
  <c r="G297" i="77"/>
  <c r="F297" i="77"/>
  <c r="E297" i="77"/>
  <c r="D297" i="77"/>
  <c r="P297" i="77" s="1"/>
  <c r="C297" i="77"/>
  <c r="O296" i="77"/>
  <c r="N296" i="77"/>
  <c r="M296" i="77"/>
  <c r="L296" i="77"/>
  <c r="K296" i="77"/>
  <c r="J296" i="77"/>
  <c r="I296" i="77"/>
  <c r="H296" i="77"/>
  <c r="G296" i="77"/>
  <c r="F296" i="77"/>
  <c r="E296" i="77"/>
  <c r="D296" i="77"/>
  <c r="P296" i="77" s="1"/>
  <c r="C296" i="77"/>
  <c r="O295" i="77"/>
  <c r="N295" i="77"/>
  <c r="M295" i="77"/>
  <c r="L295" i="77"/>
  <c r="K295" i="77"/>
  <c r="J295" i="77"/>
  <c r="I295" i="77"/>
  <c r="H295" i="77"/>
  <c r="G295" i="77"/>
  <c r="F295" i="77"/>
  <c r="E295" i="77"/>
  <c r="D295" i="77"/>
  <c r="P295" i="77" s="1"/>
  <c r="C295" i="77"/>
  <c r="O294" i="77"/>
  <c r="N294" i="77"/>
  <c r="M294" i="77"/>
  <c r="L294" i="77"/>
  <c r="K294" i="77"/>
  <c r="J294" i="77"/>
  <c r="I294" i="77"/>
  <c r="H294" i="77"/>
  <c r="G294" i="77"/>
  <c r="F294" i="77"/>
  <c r="E294" i="77"/>
  <c r="D294" i="77"/>
  <c r="C294" i="77"/>
  <c r="O293" i="77"/>
  <c r="N293" i="77"/>
  <c r="M293" i="77"/>
  <c r="L293" i="77"/>
  <c r="K293" i="77"/>
  <c r="J293" i="77"/>
  <c r="I293" i="77"/>
  <c r="H293" i="77"/>
  <c r="G293" i="77"/>
  <c r="F293" i="77"/>
  <c r="E293" i="77"/>
  <c r="D293" i="77"/>
  <c r="P293" i="77" s="1"/>
  <c r="C293" i="77"/>
  <c r="O292" i="77"/>
  <c r="N292" i="77"/>
  <c r="M292" i="77"/>
  <c r="L292" i="77"/>
  <c r="K292" i="77"/>
  <c r="J292" i="77"/>
  <c r="I292" i="77"/>
  <c r="H292" i="77"/>
  <c r="G292" i="77"/>
  <c r="F292" i="77"/>
  <c r="E292" i="77"/>
  <c r="D292" i="77"/>
  <c r="C292" i="77"/>
  <c r="O291" i="77"/>
  <c r="N291" i="77"/>
  <c r="M291" i="77"/>
  <c r="L291" i="77"/>
  <c r="K291" i="77"/>
  <c r="J291" i="77"/>
  <c r="I291" i="77"/>
  <c r="H291" i="77"/>
  <c r="G291" i="77"/>
  <c r="F291" i="77"/>
  <c r="E291" i="77"/>
  <c r="D291" i="77"/>
  <c r="P291" i="77" s="1"/>
  <c r="C291" i="77"/>
  <c r="O290" i="77"/>
  <c r="N290" i="77"/>
  <c r="M290" i="77"/>
  <c r="L290" i="77"/>
  <c r="K290" i="77"/>
  <c r="J290" i="77"/>
  <c r="I290" i="77"/>
  <c r="H290" i="77"/>
  <c r="G290" i="77"/>
  <c r="F290" i="77"/>
  <c r="E290" i="77"/>
  <c r="D290" i="77"/>
  <c r="P290" i="77" s="1"/>
  <c r="C290" i="77"/>
  <c r="O289" i="77"/>
  <c r="N289" i="77"/>
  <c r="M289" i="77"/>
  <c r="L289" i="77"/>
  <c r="K289" i="77"/>
  <c r="J289" i="77"/>
  <c r="I289" i="77"/>
  <c r="H289" i="77"/>
  <c r="G289" i="77"/>
  <c r="F289" i="77"/>
  <c r="E289" i="77"/>
  <c r="D289" i="77"/>
  <c r="P289" i="77" s="1"/>
  <c r="C289" i="77"/>
  <c r="O288" i="77"/>
  <c r="N288" i="77"/>
  <c r="M288" i="77"/>
  <c r="L288" i="77"/>
  <c r="K288" i="77"/>
  <c r="J288" i="77"/>
  <c r="I288" i="77"/>
  <c r="H288" i="77"/>
  <c r="G288" i="77"/>
  <c r="F288" i="77"/>
  <c r="E288" i="77"/>
  <c r="D288" i="77"/>
  <c r="P288" i="77" s="1"/>
  <c r="C288" i="77"/>
  <c r="O287" i="77"/>
  <c r="N287" i="77"/>
  <c r="M287" i="77"/>
  <c r="L287" i="77"/>
  <c r="K287" i="77"/>
  <c r="J287" i="77"/>
  <c r="I287" i="77"/>
  <c r="H287" i="77"/>
  <c r="G287" i="77"/>
  <c r="F287" i="77"/>
  <c r="E287" i="77"/>
  <c r="D287" i="77"/>
  <c r="P287" i="77" s="1"/>
  <c r="C287" i="77"/>
  <c r="O286" i="77"/>
  <c r="N286" i="77"/>
  <c r="M286" i="77"/>
  <c r="L286" i="77"/>
  <c r="K286" i="77"/>
  <c r="J286" i="77"/>
  <c r="I286" i="77"/>
  <c r="H286" i="77"/>
  <c r="G286" i="77"/>
  <c r="F286" i="77"/>
  <c r="E286" i="77"/>
  <c r="D286" i="77"/>
  <c r="C286" i="77"/>
  <c r="O285" i="77"/>
  <c r="N285" i="77"/>
  <c r="M285" i="77"/>
  <c r="L285" i="77"/>
  <c r="K285" i="77"/>
  <c r="J285" i="77"/>
  <c r="I285" i="77"/>
  <c r="H285" i="77"/>
  <c r="G285" i="77"/>
  <c r="F285" i="77"/>
  <c r="E285" i="77"/>
  <c r="D285" i="77"/>
  <c r="P285" i="77" s="1"/>
  <c r="C285" i="77"/>
  <c r="O284" i="77"/>
  <c r="N284" i="77"/>
  <c r="M284" i="77"/>
  <c r="L284" i="77"/>
  <c r="K284" i="77"/>
  <c r="J284" i="77"/>
  <c r="I284" i="77"/>
  <c r="H284" i="77"/>
  <c r="G284" i="77"/>
  <c r="F284" i="77"/>
  <c r="E284" i="77"/>
  <c r="D284" i="77"/>
  <c r="C284" i="77"/>
  <c r="O283" i="77"/>
  <c r="N283" i="77"/>
  <c r="M283" i="77"/>
  <c r="L283" i="77"/>
  <c r="K283" i="77"/>
  <c r="J283" i="77"/>
  <c r="I283" i="77"/>
  <c r="H283" i="77"/>
  <c r="G283" i="77"/>
  <c r="F283" i="77"/>
  <c r="E283" i="77"/>
  <c r="D283" i="77"/>
  <c r="P283" i="77" s="1"/>
  <c r="C283" i="77"/>
  <c r="O282" i="77"/>
  <c r="N282" i="77"/>
  <c r="M282" i="77"/>
  <c r="L282" i="77"/>
  <c r="K282" i="77"/>
  <c r="J282" i="77"/>
  <c r="I282" i="77"/>
  <c r="H282" i="77"/>
  <c r="G282" i="77"/>
  <c r="F282" i="77"/>
  <c r="E282" i="77"/>
  <c r="D282" i="77"/>
  <c r="P282" i="77" s="1"/>
  <c r="C282" i="77"/>
  <c r="O281" i="77"/>
  <c r="N281" i="77"/>
  <c r="M281" i="77"/>
  <c r="L281" i="77"/>
  <c r="K281" i="77"/>
  <c r="J281" i="77"/>
  <c r="I281" i="77"/>
  <c r="H281" i="77"/>
  <c r="G281" i="77"/>
  <c r="F281" i="77"/>
  <c r="E281" i="77"/>
  <c r="D281" i="77"/>
  <c r="P281" i="77" s="1"/>
  <c r="C281" i="77"/>
  <c r="O280" i="77"/>
  <c r="N280" i="77"/>
  <c r="M280" i="77"/>
  <c r="L280" i="77"/>
  <c r="K280" i="77"/>
  <c r="J280" i="77"/>
  <c r="I280" i="77"/>
  <c r="H280" i="77"/>
  <c r="G280" i="77"/>
  <c r="F280" i="77"/>
  <c r="E280" i="77"/>
  <c r="D280" i="77"/>
  <c r="P280" i="77" s="1"/>
  <c r="C280" i="77"/>
  <c r="O279" i="77"/>
  <c r="N279" i="77"/>
  <c r="M279" i="77"/>
  <c r="L279" i="77"/>
  <c r="K279" i="77"/>
  <c r="J279" i="77"/>
  <c r="I279" i="77"/>
  <c r="H279" i="77"/>
  <c r="G279" i="77"/>
  <c r="F279" i="77"/>
  <c r="E279" i="77"/>
  <c r="D279" i="77"/>
  <c r="P279" i="77" s="1"/>
  <c r="C279" i="77"/>
  <c r="O278" i="77"/>
  <c r="N278" i="77"/>
  <c r="M278" i="77"/>
  <c r="L278" i="77"/>
  <c r="K278" i="77"/>
  <c r="J278" i="77"/>
  <c r="I278" i="77"/>
  <c r="H278" i="77"/>
  <c r="G278" i="77"/>
  <c r="F278" i="77"/>
  <c r="E278" i="77"/>
  <c r="D278" i="77"/>
  <c r="C278" i="77"/>
  <c r="O277" i="77"/>
  <c r="N277" i="77"/>
  <c r="M277" i="77"/>
  <c r="L277" i="77"/>
  <c r="K277" i="77"/>
  <c r="J277" i="77"/>
  <c r="I277" i="77"/>
  <c r="H277" i="77"/>
  <c r="G277" i="77"/>
  <c r="F277" i="77"/>
  <c r="E277" i="77"/>
  <c r="D277" i="77"/>
  <c r="P277" i="77" s="1"/>
  <c r="C277" i="77"/>
  <c r="O276" i="77"/>
  <c r="N276" i="77"/>
  <c r="M276" i="77"/>
  <c r="L276" i="77"/>
  <c r="K276" i="77"/>
  <c r="J276" i="77"/>
  <c r="I276" i="77"/>
  <c r="H276" i="77"/>
  <c r="G276" i="77"/>
  <c r="F276" i="77"/>
  <c r="E276" i="77"/>
  <c r="D276" i="77"/>
  <c r="C276" i="77"/>
  <c r="O275" i="77"/>
  <c r="N275" i="77"/>
  <c r="M275" i="77"/>
  <c r="L275" i="77"/>
  <c r="K275" i="77"/>
  <c r="J275" i="77"/>
  <c r="I275" i="77"/>
  <c r="H275" i="77"/>
  <c r="G275" i="77"/>
  <c r="F275" i="77"/>
  <c r="E275" i="77"/>
  <c r="D275" i="77"/>
  <c r="P275" i="77" s="1"/>
  <c r="C275" i="77"/>
  <c r="O274" i="77"/>
  <c r="N274" i="77"/>
  <c r="M274" i="77"/>
  <c r="L274" i="77"/>
  <c r="K274" i="77"/>
  <c r="J274" i="77"/>
  <c r="I274" i="77"/>
  <c r="H274" i="77"/>
  <c r="G274" i="77"/>
  <c r="F274" i="77"/>
  <c r="E274" i="77"/>
  <c r="D274" i="77"/>
  <c r="P274" i="77" s="1"/>
  <c r="C274" i="77"/>
  <c r="O273" i="77"/>
  <c r="N273" i="77"/>
  <c r="M273" i="77"/>
  <c r="L273" i="77"/>
  <c r="K273" i="77"/>
  <c r="J273" i="77"/>
  <c r="I273" i="77"/>
  <c r="H273" i="77"/>
  <c r="G273" i="77"/>
  <c r="F273" i="77"/>
  <c r="E273" i="77"/>
  <c r="D273" i="77"/>
  <c r="P273" i="77" s="1"/>
  <c r="C273" i="77"/>
  <c r="O272" i="77"/>
  <c r="N272" i="77"/>
  <c r="M272" i="77"/>
  <c r="L272" i="77"/>
  <c r="K272" i="77"/>
  <c r="J272" i="77"/>
  <c r="I272" i="77"/>
  <c r="H272" i="77"/>
  <c r="G272" i="77"/>
  <c r="F272" i="77"/>
  <c r="E272" i="77"/>
  <c r="D272" i="77"/>
  <c r="P272" i="77" s="1"/>
  <c r="C272" i="77"/>
  <c r="O271" i="77"/>
  <c r="N271" i="77"/>
  <c r="M271" i="77"/>
  <c r="L271" i="77"/>
  <c r="K271" i="77"/>
  <c r="J271" i="77"/>
  <c r="I271" i="77"/>
  <c r="H271" i="77"/>
  <c r="G271" i="77"/>
  <c r="F271" i="77"/>
  <c r="E271" i="77"/>
  <c r="D271" i="77"/>
  <c r="P271" i="77" s="1"/>
  <c r="C271" i="77"/>
  <c r="O270" i="77"/>
  <c r="N270" i="77"/>
  <c r="M270" i="77"/>
  <c r="L270" i="77"/>
  <c r="K270" i="77"/>
  <c r="J270" i="77"/>
  <c r="I270" i="77"/>
  <c r="H270" i="77"/>
  <c r="G270" i="77"/>
  <c r="F270" i="77"/>
  <c r="E270" i="77"/>
  <c r="D270" i="77"/>
  <c r="C270" i="77"/>
  <c r="O269" i="77"/>
  <c r="N269" i="77"/>
  <c r="M269" i="77"/>
  <c r="L269" i="77"/>
  <c r="K269" i="77"/>
  <c r="J269" i="77"/>
  <c r="I269" i="77"/>
  <c r="H269" i="77"/>
  <c r="G269" i="77"/>
  <c r="F269" i="77"/>
  <c r="E269" i="77"/>
  <c r="D269" i="77"/>
  <c r="P269" i="77" s="1"/>
  <c r="C269" i="77"/>
  <c r="O268" i="77"/>
  <c r="N268" i="77"/>
  <c r="M268" i="77"/>
  <c r="L268" i="77"/>
  <c r="K268" i="77"/>
  <c r="J268" i="77"/>
  <c r="I268" i="77"/>
  <c r="H268" i="77"/>
  <c r="G268" i="77"/>
  <c r="F268" i="77"/>
  <c r="E268" i="77"/>
  <c r="D268" i="77"/>
  <c r="C268" i="77"/>
  <c r="O267" i="77"/>
  <c r="N267" i="77"/>
  <c r="M267" i="77"/>
  <c r="L267" i="77"/>
  <c r="K267" i="77"/>
  <c r="J267" i="77"/>
  <c r="I267" i="77"/>
  <c r="H267" i="77"/>
  <c r="G267" i="77"/>
  <c r="F267" i="77"/>
  <c r="E267" i="77"/>
  <c r="D267" i="77"/>
  <c r="P267" i="77" s="1"/>
  <c r="C267" i="77"/>
  <c r="O266" i="77"/>
  <c r="N266" i="77"/>
  <c r="M266" i="77"/>
  <c r="L266" i="77"/>
  <c r="K266" i="77"/>
  <c r="J266" i="77"/>
  <c r="I266" i="77"/>
  <c r="H266" i="77"/>
  <c r="G266" i="77"/>
  <c r="F266" i="77"/>
  <c r="E266" i="77"/>
  <c r="D266" i="77"/>
  <c r="P266" i="77" s="1"/>
  <c r="C266" i="77"/>
  <c r="O265" i="77"/>
  <c r="N265" i="77"/>
  <c r="M265" i="77"/>
  <c r="L265" i="77"/>
  <c r="K265" i="77"/>
  <c r="J265" i="77"/>
  <c r="I265" i="77"/>
  <c r="H265" i="77"/>
  <c r="G265" i="77"/>
  <c r="F265" i="77"/>
  <c r="E265" i="77"/>
  <c r="D265" i="77"/>
  <c r="P265" i="77" s="1"/>
  <c r="C265" i="77"/>
  <c r="O264" i="77"/>
  <c r="N264" i="77"/>
  <c r="M264" i="77"/>
  <c r="L264" i="77"/>
  <c r="K264" i="77"/>
  <c r="J264" i="77"/>
  <c r="I264" i="77"/>
  <c r="H264" i="77"/>
  <c r="G264" i="77"/>
  <c r="F264" i="77"/>
  <c r="E264" i="77"/>
  <c r="D264" i="77"/>
  <c r="P264" i="77" s="1"/>
  <c r="C264" i="77"/>
  <c r="O263" i="77"/>
  <c r="N263" i="77"/>
  <c r="M263" i="77"/>
  <c r="L263" i="77"/>
  <c r="K263" i="77"/>
  <c r="J263" i="77"/>
  <c r="I263" i="77"/>
  <c r="H263" i="77"/>
  <c r="G263" i="77"/>
  <c r="F263" i="77"/>
  <c r="E263" i="77"/>
  <c r="D263" i="77"/>
  <c r="P263" i="77" s="1"/>
  <c r="C263" i="77"/>
  <c r="O262" i="77"/>
  <c r="N262" i="77"/>
  <c r="M262" i="77"/>
  <c r="L262" i="77"/>
  <c r="K262" i="77"/>
  <c r="J262" i="77"/>
  <c r="I262" i="77"/>
  <c r="H262" i="77"/>
  <c r="G262" i="77"/>
  <c r="F262" i="77"/>
  <c r="E262" i="77"/>
  <c r="D262" i="77"/>
  <c r="C262" i="77"/>
  <c r="O261" i="77"/>
  <c r="N261" i="77"/>
  <c r="M261" i="77"/>
  <c r="L261" i="77"/>
  <c r="K261" i="77"/>
  <c r="J261" i="77"/>
  <c r="I261" i="77"/>
  <c r="H261" i="77"/>
  <c r="G261" i="77"/>
  <c r="F261" i="77"/>
  <c r="E261" i="77"/>
  <c r="D261" i="77"/>
  <c r="P261" i="77" s="1"/>
  <c r="C261" i="77"/>
  <c r="O260" i="77"/>
  <c r="N260" i="77"/>
  <c r="M260" i="77"/>
  <c r="L260" i="77"/>
  <c r="K260" i="77"/>
  <c r="J260" i="77"/>
  <c r="I260" i="77"/>
  <c r="H260" i="77"/>
  <c r="G260" i="77"/>
  <c r="F260" i="77"/>
  <c r="E260" i="77"/>
  <c r="D260" i="77"/>
  <c r="C260" i="77"/>
  <c r="O259" i="77"/>
  <c r="N259" i="77"/>
  <c r="M259" i="77"/>
  <c r="L259" i="77"/>
  <c r="K259" i="77"/>
  <c r="J259" i="77"/>
  <c r="I259" i="77"/>
  <c r="H259" i="77"/>
  <c r="G259" i="77"/>
  <c r="F259" i="77"/>
  <c r="E259" i="77"/>
  <c r="D259" i="77"/>
  <c r="P259" i="77" s="1"/>
  <c r="C259" i="77"/>
  <c r="O258" i="77"/>
  <c r="N258" i="77"/>
  <c r="M258" i="77"/>
  <c r="L258" i="77"/>
  <c r="K258" i="77"/>
  <c r="J258" i="77"/>
  <c r="I258" i="77"/>
  <c r="H258" i="77"/>
  <c r="G258" i="77"/>
  <c r="F258" i="77"/>
  <c r="E258" i="77"/>
  <c r="D258" i="77"/>
  <c r="P258" i="77" s="1"/>
  <c r="C258" i="77"/>
  <c r="O257" i="77"/>
  <c r="N257" i="77"/>
  <c r="M257" i="77"/>
  <c r="M403" i="77" s="1"/>
  <c r="L257" i="77"/>
  <c r="K257" i="77"/>
  <c r="K403" i="77" s="1"/>
  <c r="J257" i="77"/>
  <c r="I257" i="77"/>
  <c r="I403" i="77" s="1"/>
  <c r="H257" i="77"/>
  <c r="G257" i="77"/>
  <c r="G403" i="77" s="1"/>
  <c r="F257" i="77"/>
  <c r="E257" i="77"/>
  <c r="E403" i="77" s="1"/>
  <c r="D257" i="77"/>
  <c r="C257" i="77"/>
  <c r="C403" i="77" s="1"/>
  <c r="O256" i="77"/>
  <c r="N256" i="77"/>
  <c r="M256" i="77"/>
  <c r="L256" i="77"/>
  <c r="K256" i="77"/>
  <c r="J256" i="77"/>
  <c r="I256" i="77"/>
  <c r="H256" i="77"/>
  <c r="G256" i="77"/>
  <c r="F256" i="77"/>
  <c r="E256" i="77"/>
  <c r="D256" i="77"/>
  <c r="P256" i="77" s="1"/>
  <c r="C256" i="77"/>
  <c r="O255" i="77"/>
  <c r="N255" i="77"/>
  <c r="M255" i="77"/>
  <c r="L255" i="77"/>
  <c r="K255" i="77"/>
  <c r="J255" i="77"/>
  <c r="I255" i="77"/>
  <c r="H255" i="77"/>
  <c r="G255" i="77"/>
  <c r="F255" i="77"/>
  <c r="E255" i="77"/>
  <c r="D255" i="77"/>
  <c r="P255" i="77" s="1"/>
  <c r="C255" i="77"/>
  <c r="O254" i="77"/>
  <c r="N254" i="77"/>
  <c r="M254" i="77"/>
  <c r="L254" i="77"/>
  <c r="K254" i="77"/>
  <c r="J254" i="77"/>
  <c r="I254" i="77"/>
  <c r="H254" i="77"/>
  <c r="G254" i="77"/>
  <c r="F254" i="77"/>
  <c r="E254" i="77"/>
  <c r="D254" i="77"/>
  <c r="C254" i="77"/>
  <c r="O253" i="77"/>
  <c r="N253" i="77"/>
  <c r="M253" i="77"/>
  <c r="L253" i="77"/>
  <c r="K253" i="77"/>
  <c r="J253" i="77"/>
  <c r="I253" i="77"/>
  <c r="H253" i="77"/>
  <c r="G253" i="77"/>
  <c r="F253" i="77"/>
  <c r="E253" i="77"/>
  <c r="D253" i="77"/>
  <c r="P253" i="77" s="1"/>
  <c r="C253" i="77"/>
  <c r="O252" i="77"/>
  <c r="O401" i="77" s="1"/>
  <c r="N252" i="77"/>
  <c r="M252" i="77"/>
  <c r="M401" i="77" s="1"/>
  <c r="L252" i="77"/>
  <c r="K252" i="77"/>
  <c r="J252" i="77"/>
  <c r="I252" i="77"/>
  <c r="I401" i="77" s="1"/>
  <c r="H252" i="77"/>
  <c r="G252" i="77"/>
  <c r="G401" i="77" s="1"/>
  <c r="F252" i="77"/>
  <c r="E252" i="77"/>
  <c r="E401" i="77" s="1"/>
  <c r="D252" i="77"/>
  <c r="C252" i="77"/>
  <c r="C401" i="77" s="1"/>
  <c r="O251" i="77"/>
  <c r="N251" i="77"/>
  <c r="M251" i="77"/>
  <c r="L251" i="77"/>
  <c r="K251" i="77"/>
  <c r="J251" i="77"/>
  <c r="I251" i="77"/>
  <c r="H251" i="77"/>
  <c r="G251" i="77"/>
  <c r="F251" i="77"/>
  <c r="E251" i="77"/>
  <c r="D251" i="77"/>
  <c r="P251" i="77" s="1"/>
  <c r="C251" i="77"/>
  <c r="O250" i="77"/>
  <c r="N250" i="77"/>
  <c r="M250" i="77"/>
  <c r="M369" i="77" s="1"/>
  <c r="L250" i="77"/>
  <c r="K250" i="77"/>
  <c r="J250" i="77"/>
  <c r="I250" i="77"/>
  <c r="I402" i="77" s="1"/>
  <c r="H250" i="77"/>
  <c r="G250" i="77"/>
  <c r="F250" i="77"/>
  <c r="E250" i="77"/>
  <c r="E402" i="77" s="1"/>
  <c r="D250" i="77"/>
  <c r="C250" i="77"/>
  <c r="O247" i="77"/>
  <c r="N247" i="77"/>
  <c r="M247" i="77"/>
  <c r="L247" i="77"/>
  <c r="K247" i="77"/>
  <c r="J247" i="77"/>
  <c r="I247" i="77"/>
  <c r="H247" i="77"/>
  <c r="G247" i="77"/>
  <c r="F247" i="77"/>
  <c r="E247" i="77"/>
  <c r="D247" i="77"/>
  <c r="C247" i="77"/>
  <c r="R246" i="77"/>
  <c r="P246" i="77"/>
  <c r="P245" i="77"/>
  <c r="P244" i="77"/>
  <c r="P243" i="77"/>
  <c r="P242" i="77"/>
  <c r="P241" i="77"/>
  <c r="P240" i="77"/>
  <c r="P239" i="77"/>
  <c r="P238" i="77"/>
  <c r="P237" i="77"/>
  <c r="P236" i="77"/>
  <c r="P235" i="77"/>
  <c r="P234" i="77"/>
  <c r="P233" i="77"/>
  <c r="P232" i="77"/>
  <c r="P231" i="77"/>
  <c r="P230" i="77"/>
  <c r="P229" i="77"/>
  <c r="P228" i="77"/>
  <c r="P227" i="77"/>
  <c r="P226" i="77"/>
  <c r="P225" i="77"/>
  <c r="P394" i="77" s="1"/>
  <c r="P224" i="77"/>
  <c r="P393" i="77" s="1"/>
  <c r="R223" i="77"/>
  <c r="P223" i="77"/>
  <c r="S223" i="77" s="1"/>
  <c r="S222" i="77"/>
  <c r="R222" i="77"/>
  <c r="P222" i="77"/>
  <c r="S221" i="77"/>
  <c r="R221" i="77"/>
  <c r="P221" i="77"/>
  <c r="R220" i="77"/>
  <c r="P220" i="77"/>
  <c r="S220" i="77" s="1"/>
  <c r="R219" i="77"/>
  <c r="P219" i="77"/>
  <c r="S219" i="77" s="1"/>
  <c r="S218" i="77"/>
  <c r="R218" i="77"/>
  <c r="P218" i="77"/>
  <c r="S217" i="77"/>
  <c r="R217" i="77"/>
  <c r="P217" i="77"/>
  <c r="R216" i="77"/>
  <c r="P216" i="77"/>
  <c r="S216" i="77" s="1"/>
  <c r="R215" i="77"/>
  <c r="P215" i="77"/>
  <c r="S215" i="77" s="1"/>
  <c r="S214" i="77"/>
  <c r="R214" i="77"/>
  <c r="P214" i="77"/>
  <c r="S213" i="77"/>
  <c r="R213" i="77"/>
  <c r="P213" i="77"/>
  <c r="R212" i="77"/>
  <c r="P212" i="77"/>
  <c r="S212" i="77" s="1"/>
  <c r="R211" i="77"/>
  <c r="P211" i="77"/>
  <c r="S211" i="77" s="1"/>
  <c r="S210" i="77"/>
  <c r="R210" i="77"/>
  <c r="P210" i="77"/>
  <c r="S209" i="77"/>
  <c r="R209" i="77"/>
  <c r="P209" i="77"/>
  <c r="R208" i="77"/>
  <c r="P208" i="77"/>
  <c r="S208" i="77" s="1"/>
  <c r="R207" i="77"/>
  <c r="P207" i="77"/>
  <c r="S207" i="77" s="1"/>
  <c r="S206" i="77"/>
  <c r="R206" i="77"/>
  <c r="P206" i="77"/>
  <c r="S205" i="77"/>
  <c r="R205" i="77"/>
  <c r="P205" i="77"/>
  <c r="R204" i="77"/>
  <c r="P204" i="77"/>
  <c r="S204" i="77" s="1"/>
  <c r="R203" i="77"/>
  <c r="P203" i="77"/>
  <c r="S203" i="77" s="1"/>
  <c r="P202" i="77"/>
  <c r="P201" i="77"/>
  <c r="P200" i="77"/>
  <c r="P199" i="77"/>
  <c r="P198" i="77"/>
  <c r="P197" i="77"/>
  <c r="P196" i="77"/>
  <c r="P195" i="77"/>
  <c r="S194" i="77"/>
  <c r="R194" i="77"/>
  <c r="P194" i="77"/>
  <c r="P193" i="77"/>
  <c r="P192" i="77"/>
  <c r="P191" i="77"/>
  <c r="P190" i="77"/>
  <c r="P189" i="77"/>
  <c r="P188" i="77"/>
  <c r="P187" i="77"/>
  <c r="P186" i="77"/>
  <c r="P185" i="77"/>
  <c r="P184" i="77"/>
  <c r="P183" i="77"/>
  <c r="P182" i="77"/>
  <c r="P181" i="77"/>
  <c r="P180" i="77"/>
  <c r="P179" i="77"/>
  <c r="P178" i="77"/>
  <c r="P177" i="77"/>
  <c r="P176" i="77"/>
  <c r="P175" i="77"/>
  <c r="P174" i="77"/>
  <c r="P173" i="77"/>
  <c r="P172" i="77"/>
  <c r="P171" i="77"/>
  <c r="P170" i="77"/>
  <c r="P169" i="77"/>
  <c r="P168" i="77"/>
  <c r="P167" i="77"/>
  <c r="P166" i="77"/>
  <c r="P165" i="77"/>
  <c r="P164" i="77"/>
  <c r="P163" i="77"/>
  <c r="P162" i="77"/>
  <c r="P161" i="77"/>
  <c r="P160" i="77"/>
  <c r="P159" i="77"/>
  <c r="P158" i="77"/>
  <c r="P157" i="77"/>
  <c r="P156" i="77"/>
  <c r="P155" i="77"/>
  <c r="P154" i="77"/>
  <c r="P153" i="77"/>
  <c r="P152" i="77"/>
  <c r="P151" i="77"/>
  <c r="P150" i="77"/>
  <c r="P149" i="77"/>
  <c r="P148" i="77"/>
  <c r="P147" i="77"/>
  <c r="P146" i="77"/>
  <c r="P145" i="77"/>
  <c r="P144" i="77"/>
  <c r="P143" i="77"/>
  <c r="P142" i="77"/>
  <c r="P141" i="77"/>
  <c r="P140" i="77"/>
  <c r="P139" i="77"/>
  <c r="P138" i="77"/>
  <c r="P137" i="77"/>
  <c r="P136" i="77"/>
  <c r="P135" i="77"/>
  <c r="P134" i="77"/>
  <c r="P133" i="77"/>
  <c r="P132" i="77"/>
  <c r="P131" i="77"/>
  <c r="P130" i="77"/>
  <c r="S129" i="77"/>
  <c r="R129" i="77"/>
  <c r="P129" i="77"/>
  <c r="R128" i="77"/>
  <c r="P128" i="77"/>
  <c r="O125" i="77"/>
  <c r="N125" i="77"/>
  <c r="M125" i="77"/>
  <c r="L125" i="77"/>
  <c r="K125" i="77"/>
  <c r="J125" i="77"/>
  <c r="I125" i="77"/>
  <c r="H125" i="77"/>
  <c r="G125" i="77"/>
  <c r="F125" i="77"/>
  <c r="E125" i="77"/>
  <c r="D125" i="77"/>
  <c r="C125" i="77"/>
  <c r="P124" i="77"/>
  <c r="P123" i="77"/>
  <c r="P122" i="77"/>
  <c r="P121" i="77"/>
  <c r="P120" i="77"/>
  <c r="P119" i="77"/>
  <c r="P118" i="77"/>
  <c r="P117" i="77"/>
  <c r="P116" i="77"/>
  <c r="P115" i="77"/>
  <c r="P114" i="77"/>
  <c r="P113" i="77"/>
  <c r="P112" i="77"/>
  <c r="P111" i="77"/>
  <c r="P110" i="77"/>
  <c r="P109" i="77"/>
  <c r="P108" i="77"/>
  <c r="P107" i="77"/>
  <c r="P106" i="77"/>
  <c r="P105" i="77"/>
  <c r="P104" i="77"/>
  <c r="P103" i="77"/>
  <c r="P380" i="77" s="1"/>
  <c r="P102" i="77"/>
  <c r="P379" i="77" s="1"/>
  <c r="P101" i="77"/>
  <c r="P100" i="77"/>
  <c r="P99" i="77"/>
  <c r="P98" i="77"/>
  <c r="P97" i="77"/>
  <c r="P96" i="77"/>
  <c r="P95" i="77"/>
  <c r="P94" i="77"/>
  <c r="P93" i="77"/>
  <c r="P92" i="77"/>
  <c r="P91" i="77"/>
  <c r="P90" i="77"/>
  <c r="P89" i="77"/>
  <c r="P88" i="77"/>
  <c r="P87" i="77"/>
  <c r="P86" i="77"/>
  <c r="P85" i="77"/>
  <c r="P84" i="77"/>
  <c r="P83" i="77"/>
  <c r="P82" i="77"/>
  <c r="P81" i="77"/>
  <c r="P80" i="77"/>
  <c r="P79" i="77"/>
  <c r="P78" i="77"/>
  <c r="P77" i="77"/>
  <c r="P76" i="77"/>
  <c r="P75" i="77"/>
  <c r="P74" i="77"/>
  <c r="P73" i="77"/>
  <c r="P72" i="77"/>
  <c r="P71" i="77"/>
  <c r="P70" i="77"/>
  <c r="P69" i="77"/>
  <c r="P68" i="77"/>
  <c r="P67" i="77"/>
  <c r="P382" i="77" s="1"/>
  <c r="P66" i="77"/>
  <c r="P65" i="77"/>
  <c r="P64" i="77"/>
  <c r="P63" i="77"/>
  <c r="P62" i="77"/>
  <c r="P61" i="77"/>
  <c r="P60" i="77"/>
  <c r="P59" i="77"/>
  <c r="P58" i="77"/>
  <c r="P57" i="77"/>
  <c r="P56" i="77"/>
  <c r="P55" i="77"/>
  <c r="P54" i="77"/>
  <c r="P53" i="77"/>
  <c r="P52" i="77"/>
  <c r="P51" i="77"/>
  <c r="P50" i="77"/>
  <c r="P49" i="77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P6" i="77"/>
  <c r="L398" i="76"/>
  <c r="D398" i="76"/>
  <c r="O396" i="76"/>
  <c r="N396" i="76"/>
  <c r="M396" i="76"/>
  <c r="L396" i="76"/>
  <c r="K396" i="76"/>
  <c r="J396" i="76"/>
  <c r="I396" i="76"/>
  <c r="H396" i="76"/>
  <c r="G396" i="76"/>
  <c r="F396" i="76"/>
  <c r="E396" i="76"/>
  <c r="D396" i="76"/>
  <c r="C396" i="76"/>
  <c r="O395" i="76"/>
  <c r="N395" i="76"/>
  <c r="M395" i="76"/>
  <c r="L395" i="76"/>
  <c r="K395" i="76"/>
  <c r="J395" i="76"/>
  <c r="I395" i="76"/>
  <c r="H395" i="76"/>
  <c r="G395" i="76"/>
  <c r="F395" i="76"/>
  <c r="E395" i="76"/>
  <c r="D395" i="76"/>
  <c r="C395" i="76"/>
  <c r="O394" i="76"/>
  <c r="N394" i="76"/>
  <c r="M394" i="76"/>
  <c r="L394" i="76"/>
  <c r="K394" i="76"/>
  <c r="J394" i="76"/>
  <c r="I394" i="76"/>
  <c r="H394" i="76"/>
  <c r="G394" i="76"/>
  <c r="F394" i="76"/>
  <c r="E394" i="76"/>
  <c r="D394" i="76"/>
  <c r="C394" i="76"/>
  <c r="O393" i="76"/>
  <c r="N393" i="76"/>
  <c r="M393" i="76"/>
  <c r="L393" i="76"/>
  <c r="K393" i="76"/>
  <c r="J393" i="76"/>
  <c r="I393" i="76"/>
  <c r="H393" i="76"/>
  <c r="G393" i="76"/>
  <c r="F393" i="76"/>
  <c r="E393" i="76"/>
  <c r="D393" i="76"/>
  <c r="C393" i="76"/>
  <c r="O392" i="76"/>
  <c r="N392" i="76"/>
  <c r="M392" i="76"/>
  <c r="L392" i="76"/>
  <c r="K392" i="76"/>
  <c r="J392" i="76"/>
  <c r="I392" i="76"/>
  <c r="H392" i="76"/>
  <c r="G392" i="76"/>
  <c r="F392" i="76"/>
  <c r="E392" i="76"/>
  <c r="D392" i="76"/>
  <c r="C392" i="76"/>
  <c r="O391" i="76"/>
  <c r="N391" i="76"/>
  <c r="M391" i="76"/>
  <c r="L391" i="76"/>
  <c r="K391" i="76"/>
  <c r="J391" i="76"/>
  <c r="I391" i="76"/>
  <c r="H391" i="76"/>
  <c r="G391" i="76"/>
  <c r="F391" i="76"/>
  <c r="E391" i="76"/>
  <c r="D391" i="76"/>
  <c r="C391" i="76"/>
  <c r="O390" i="76"/>
  <c r="N390" i="76"/>
  <c r="M390" i="76"/>
  <c r="L390" i="76"/>
  <c r="K390" i="76"/>
  <c r="J390" i="76"/>
  <c r="I390" i="76"/>
  <c r="H390" i="76"/>
  <c r="G390" i="76"/>
  <c r="F390" i="76"/>
  <c r="E390" i="76"/>
  <c r="D390" i="76"/>
  <c r="C390" i="76"/>
  <c r="O389" i="76"/>
  <c r="N389" i="76"/>
  <c r="M389" i="76"/>
  <c r="L389" i="76"/>
  <c r="K389" i="76"/>
  <c r="J389" i="76"/>
  <c r="I389" i="76"/>
  <c r="H389" i="76"/>
  <c r="G389" i="76"/>
  <c r="F389" i="76"/>
  <c r="E389" i="76"/>
  <c r="D389" i="76"/>
  <c r="C389" i="76"/>
  <c r="O388" i="76"/>
  <c r="N388" i="76"/>
  <c r="M388" i="76"/>
  <c r="L388" i="76"/>
  <c r="K388" i="76"/>
  <c r="J388" i="76"/>
  <c r="I388" i="76"/>
  <c r="H388" i="76"/>
  <c r="G388" i="76"/>
  <c r="F388" i="76"/>
  <c r="E388" i="76"/>
  <c r="D388" i="76"/>
  <c r="C388" i="76"/>
  <c r="O387" i="76"/>
  <c r="N387" i="76"/>
  <c r="M387" i="76"/>
  <c r="M398" i="76" s="1"/>
  <c r="M399" i="76" s="1"/>
  <c r="L387" i="76"/>
  <c r="K387" i="76"/>
  <c r="J387" i="76"/>
  <c r="I387" i="76"/>
  <c r="I398" i="76" s="1"/>
  <c r="I399" i="76" s="1"/>
  <c r="H387" i="76"/>
  <c r="H398" i="76" s="1"/>
  <c r="H399" i="76" s="1"/>
  <c r="G387" i="76"/>
  <c r="F387" i="76"/>
  <c r="E387" i="76"/>
  <c r="E398" i="76" s="1"/>
  <c r="E399" i="76" s="1"/>
  <c r="D387" i="76"/>
  <c r="C387" i="76"/>
  <c r="O382" i="76"/>
  <c r="N382" i="76"/>
  <c r="M382" i="76"/>
  <c r="L382" i="76"/>
  <c r="K382" i="76"/>
  <c r="J382" i="76"/>
  <c r="I382" i="76"/>
  <c r="H382" i="76"/>
  <c r="G382" i="76"/>
  <c r="F382" i="76"/>
  <c r="E382" i="76"/>
  <c r="D382" i="76"/>
  <c r="C382" i="76"/>
  <c r="O381" i="76"/>
  <c r="N381" i="76"/>
  <c r="M381" i="76"/>
  <c r="L381" i="76"/>
  <c r="K381" i="76"/>
  <c r="J381" i="76"/>
  <c r="I381" i="76"/>
  <c r="H381" i="76"/>
  <c r="G381" i="76"/>
  <c r="F381" i="76"/>
  <c r="E381" i="76"/>
  <c r="D381" i="76"/>
  <c r="C381" i="76"/>
  <c r="O380" i="76"/>
  <c r="N380" i="76"/>
  <c r="M380" i="76"/>
  <c r="L380" i="76"/>
  <c r="K380" i="76"/>
  <c r="J380" i="76"/>
  <c r="I380" i="76"/>
  <c r="H380" i="76"/>
  <c r="G380" i="76"/>
  <c r="F380" i="76"/>
  <c r="E380" i="76"/>
  <c r="D380" i="76"/>
  <c r="C380" i="76"/>
  <c r="O379" i="76"/>
  <c r="N379" i="76"/>
  <c r="M379" i="76"/>
  <c r="L379" i="76"/>
  <c r="K379" i="76"/>
  <c r="J379" i="76"/>
  <c r="I379" i="76"/>
  <c r="H379" i="76"/>
  <c r="G379" i="76"/>
  <c r="F379" i="76"/>
  <c r="E379" i="76"/>
  <c r="D379" i="76"/>
  <c r="C379" i="76"/>
  <c r="O378" i="76"/>
  <c r="N378" i="76"/>
  <c r="M378" i="76"/>
  <c r="L378" i="76"/>
  <c r="K378" i="76"/>
  <c r="J378" i="76"/>
  <c r="I378" i="76"/>
  <c r="H378" i="76"/>
  <c r="G378" i="76"/>
  <c r="F378" i="76"/>
  <c r="E378" i="76"/>
  <c r="D378" i="76"/>
  <c r="C378" i="76"/>
  <c r="O377" i="76"/>
  <c r="N377" i="76"/>
  <c r="M377" i="76"/>
  <c r="L377" i="76"/>
  <c r="K377" i="76"/>
  <c r="J377" i="76"/>
  <c r="I377" i="76"/>
  <c r="H377" i="76"/>
  <c r="G377" i="76"/>
  <c r="F377" i="76"/>
  <c r="E377" i="76"/>
  <c r="D377" i="76"/>
  <c r="C377" i="76"/>
  <c r="O376" i="76"/>
  <c r="N376" i="76"/>
  <c r="M376" i="76"/>
  <c r="L376" i="76"/>
  <c r="K376" i="76"/>
  <c r="J376" i="76"/>
  <c r="I376" i="76"/>
  <c r="H376" i="76"/>
  <c r="G376" i="76"/>
  <c r="F376" i="76"/>
  <c r="E376" i="76"/>
  <c r="D376" i="76"/>
  <c r="C376" i="76"/>
  <c r="O375" i="76"/>
  <c r="N375" i="76"/>
  <c r="M375" i="76"/>
  <c r="L375" i="76"/>
  <c r="K375" i="76"/>
  <c r="J375" i="76"/>
  <c r="I375" i="76"/>
  <c r="H375" i="76"/>
  <c r="G375" i="76"/>
  <c r="F375" i="76"/>
  <c r="E375" i="76"/>
  <c r="D375" i="76"/>
  <c r="C375" i="76"/>
  <c r="O374" i="76"/>
  <c r="N374" i="76"/>
  <c r="M374" i="76"/>
  <c r="L374" i="76"/>
  <c r="K374" i="76"/>
  <c r="J374" i="76"/>
  <c r="I374" i="76"/>
  <c r="H374" i="76"/>
  <c r="G374" i="76"/>
  <c r="F374" i="76"/>
  <c r="E374" i="76"/>
  <c r="D374" i="76"/>
  <c r="C374" i="76"/>
  <c r="O373" i="76"/>
  <c r="O384" i="76" s="1"/>
  <c r="O385" i="76" s="1"/>
  <c r="N373" i="76"/>
  <c r="N384" i="76" s="1"/>
  <c r="N385" i="76" s="1"/>
  <c r="M373" i="76"/>
  <c r="M384" i="76" s="1"/>
  <c r="M385" i="76" s="1"/>
  <c r="L373" i="76"/>
  <c r="L384" i="76" s="1"/>
  <c r="L385" i="76" s="1"/>
  <c r="K373" i="76"/>
  <c r="K384" i="76" s="1"/>
  <c r="K385" i="76" s="1"/>
  <c r="J373" i="76"/>
  <c r="J384" i="76" s="1"/>
  <c r="J385" i="76" s="1"/>
  <c r="I373" i="76"/>
  <c r="I384" i="76" s="1"/>
  <c r="I385" i="76" s="1"/>
  <c r="H373" i="76"/>
  <c r="H384" i="76" s="1"/>
  <c r="H385" i="76" s="1"/>
  <c r="G373" i="76"/>
  <c r="G384" i="76" s="1"/>
  <c r="G385" i="76" s="1"/>
  <c r="F373" i="76"/>
  <c r="F384" i="76" s="1"/>
  <c r="F385" i="76" s="1"/>
  <c r="E373" i="76"/>
  <c r="E384" i="76" s="1"/>
  <c r="E385" i="76" s="1"/>
  <c r="D373" i="76"/>
  <c r="D384" i="76" s="1"/>
  <c r="D385" i="76" s="1"/>
  <c r="C373" i="76"/>
  <c r="C384" i="76" s="1"/>
  <c r="C385" i="76" s="1"/>
  <c r="O369" i="76"/>
  <c r="K369" i="76"/>
  <c r="G369" i="76"/>
  <c r="C369" i="76"/>
  <c r="P368" i="76"/>
  <c r="O367" i="76"/>
  <c r="N367" i="76"/>
  <c r="M367" i="76"/>
  <c r="L367" i="76"/>
  <c r="K367" i="76"/>
  <c r="J367" i="76"/>
  <c r="I367" i="76"/>
  <c r="H367" i="76"/>
  <c r="G367" i="76"/>
  <c r="F367" i="76"/>
  <c r="E367" i="76"/>
  <c r="D367" i="76"/>
  <c r="C367" i="76"/>
  <c r="P367" i="76" s="1"/>
  <c r="O366" i="76"/>
  <c r="N366" i="76"/>
  <c r="M366" i="76"/>
  <c r="L366" i="76"/>
  <c r="K366" i="76"/>
  <c r="J366" i="76"/>
  <c r="I366" i="76"/>
  <c r="H366" i="76"/>
  <c r="G366" i="76"/>
  <c r="F366" i="76"/>
  <c r="E366" i="76"/>
  <c r="D366" i="76"/>
  <c r="P366" i="76" s="1"/>
  <c r="C366" i="76"/>
  <c r="O365" i="76"/>
  <c r="N365" i="76"/>
  <c r="M365" i="76"/>
  <c r="L365" i="76"/>
  <c r="K365" i="76"/>
  <c r="J365" i="76"/>
  <c r="I365" i="76"/>
  <c r="H365" i="76"/>
  <c r="G365" i="76"/>
  <c r="F365" i="76"/>
  <c r="E365" i="76"/>
  <c r="D365" i="76"/>
  <c r="C365" i="76"/>
  <c r="P365" i="76" s="1"/>
  <c r="O364" i="76"/>
  <c r="N364" i="76"/>
  <c r="M364" i="76"/>
  <c r="L364" i="76"/>
  <c r="K364" i="76"/>
  <c r="J364" i="76"/>
  <c r="I364" i="76"/>
  <c r="H364" i="76"/>
  <c r="G364" i="76"/>
  <c r="F364" i="76"/>
  <c r="E364" i="76"/>
  <c r="D364" i="76"/>
  <c r="P364" i="76" s="1"/>
  <c r="C364" i="76"/>
  <c r="O363" i="76"/>
  <c r="N363" i="76"/>
  <c r="M363" i="76"/>
  <c r="L363" i="76"/>
  <c r="K363" i="76"/>
  <c r="J363" i="76"/>
  <c r="I363" i="76"/>
  <c r="H363" i="76"/>
  <c r="G363" i="76"/>
  <c r="F363" i="76"/>
  <c r="E363" i="76"/>
  <c r="D363" i="76"/>
  <c r="C363" i="76"/>
  <c r="P363" i="76" s="1"/>
  <c r="O362" i="76"/>
  <c r="N362" i="76"/>
  <c r="M362" i="76"/>
  <c r="L362" i="76"/>
  <c r="K362" i="76"/>
  <c r="J362" i="76"/>
  <c r="I362" i="76"/>
  <c r="H362" i="76"/>
  <c r="G362" i="76"/>
  <c r="F362" i="76"/>
  <c r="E362" i="76"/>
  <c r="D362" i="76"/>
  <c r="P362" i="76" s="1"/>
  <c r="C362" i="76"/>
  <c r="O361" i="76"/>
  <c r="N361" i="76"/>
  <c r="M361" i="76"/>
  <c r="L361" i="76"/>
  <c r="K361" i="76"/>
  <c r="J361" i="76"/>
  <c r="I361" i="76"/>
  <c r="H361" i="76"/>
  <c r="G361" i="76"/>
  <c r="F361" i="76"/>
  <c r="E361" i="76"/>
  <c r="D361" i="76"/>
  <c r="C361" i="76"/>
  <c r="P361" i="76" s="1"/>
  <c r="O360" i="76"/>
  <c r="N360" i="76"/>
  <c r="M360" i="76"/>
  <c r="L360" i="76"/>
  <c r="K360" i="76"/>
  <c r="J360" i="76"/>
  <c r="I360" i="76"/>
  <c r="H360" i="76"/>
  <c r="G360" i="76"/>
  <c r="F360" i="76"/>
  <c r="E360" i="76"/>
  <c r="D360" i="76"/>
  <c r="P360" i="76" s="1"/>
  <c r="C360" i="76"/>
  <c r="O359" i="76"/>
  <c r="N359" i="76"/>
  <c r="M359" i="76"/>
  <c r="L359" i="76"/>
  <c r="K359" i="76"/>
  <c r="J359" i="76"/>
  <c r="I359" i="76"/>
  <c r="H359" i="76"/>
  <c r="G359" i="76"/>
  <c r="F359" i="76"/>
  <c r="E359" i="76"/>
  <c r="D359" i="76"/>
  <c r="C359" i="76"/>
  <c r="P359" i="76" s="1"/>
  <c r="O358" i="76"/>
  <c r="N358" i="76"/>
  <c r="M358" i="76"/>
  <c r="L358" i="76"/>
  <c r="K358" i="76"/>
  <c r="J358" i="76"/>
  <c r="I358" i="76"/>
  <c r="H358" i="76"/>
  <c r="G358" i="76"/>
  <c r="F358" i="76"/>
  <c r="E358" i="76"/>
  <c r="D358" i="76"/>
  <c r="P358" i="76" s="1"/>
  <c r="C358" i="76"/>
  <c r="O357" i="76"/>
  <c r="N357" i="76"/>
  <c r="M357" i="76"/>
  <c r="L357" i="76"/>
  <c r="K357" i="76"/>
  <c r="J357" i="76"/>
  <c r="I357" i="76"/>
  <c r="H357" i="76"/>
  <c r="G357" i="76"/>
  <c r="F357" i="76"/>
  <c r="E357" i="76"/>
  <c r="D357" i="76"/>
  <c r="C357" i="76"/>
  <c r="P357" i="76" s="1"/>
  <c r="O356" i="76"/>
  <c r="N356" i="76"/>
  <c r="M356" i="76"/>
  <c r="L356" i="76"/>
  <c r="K356" i="76"/>
  <c r="J356" i="76"/>
  <c r="I356" i="76"/>
  <c r="H356" i="76"/>
  <c r="G356" i="76"/>
  <c r="F356" i="76"/>
  <c r="E356" i="76"/>
  <c r="D356" i="76"/>
  <c r="P356" i="76" s="1"/>
  <c r="C356" i="76"/>
  <c r="O355" i="76"/>
  <c r="N355" i="76"/>
  <c r="M355" i="76"/>
  <c r="L355" i="76"/>
  <c r="K355" i="76"/>
  <c r="J355" i="76"/>
  <c r="I355" i="76"/>
  <c r="H355" i="76"/>
  <c r="G355" i="76"/>
  <c r="F355" i="76"/>
  <c r="E355" i="76"/>
  <c r="D355" i="76"/>
  <c r="C355" i="76"/>
  <c r="P355" i="76" s="1"/>
  <c r="O354" i="76"/>
  <c r="N354" i="76"/>
  <c r="M354" i="76"/>
  <c r="L354" i="76"/>
  <c r="K354" i="76"/>
  <c r="J354" i="76"/>
  <c r="I354" i="76"/>
  <c r="H354" i="76"/>
  <c r="G354" i="76"/>
  <c r="F354" i="76"/>
  <c r="E354" i="76"/>
  <c r="D354" i="76"/>
  <c r="P354" i="76" s="1"/>
  <c r="C354" i="76"/>
  <c r="O353" i="76"/>
  <c r="N353" i="76"/>
  <c r="M353" i="76"/>
  <c r="L353" i="76"/>
  <c r="K353" i="76"/>
  <c r="J353" i="76"/>
  <c r="I353" i="76"/>
  <c r="H353" i="76"/>
  <c r="G353" i="76"/>
  <c r="F353" i="76"/>
  <c r="E353" i="76"/>
  <c r="D353" i="76"/>
  <c r="C353" i="76"/>
  <c r="P353" i="76" s="1"/>
  <c r="O352" i="76"/>
  <c r="N352" i="76"/>
  <c r="M352" i="76"/>
  <c r="L352" i="76"/>
  <c r="K352" i="76"/>
  <c r="J352" i="76"/>
  <c r="I352" i="76"/>
  <c r="H352" i="76"/>
  <c r="G352" i="76"/>
  <c r="F352" i="76"/>
  <c r="E352" i="76"/>
  <c r="D352" i="76"/>
  <c r="P352" i="76" s="1"/>
  <c r="C352" i="76"/>
  <c r="O351" i="76"/>
  <c r="N351" i="76"/>
  <c r="M351" i="76"/>
  <c r="L351" i="76"/>
  <c r="K351" i="76"/>
  <c r="J351" i="76"/>
  <c r="I351" i="76"/>
  <c r="H351" i="76"/>
  <c r="G351" i="76"/>
  <c r="F351" i="76"/>
  <c r="E351" i="76"/>
  <c r="D351" i="76"/>
  <c r="C351" i="76"/>
  <c r="P351" i="76" s="1"/>
  <c r="O350" i="76"/>
  <c r="N350" i="76"/>
  <c r="M350" i="76"/>
  <c r="L350" i="76"/>
  <c r="K350" i="76"/>
  <c r="J350" i="76"/>
  <c r="I350" i="76"/>
  <c r="H350" i="76"/>
  <c r="G350" i="76"/>
  <c r="F350" i="76"/>
  <c r="E350" i="76"/>
  <c r="D350" i="76"/>
  <c r="P350" i="76" s="1"/>
  <c r="C350" i="76"/>
  <c r="O349" i="76"/>
  <c r="N349" i="76"/>
  <c r="M349" i="76"/>
  <c r="L349" i="76"/>
  <c r="K349" i="76"/>
  <c r="J349" i="76"/>
  <c r="J406" i="76" s="1"/>
  <c r="I349" i="76"/>
  <c r="H349" i="76"/>
  <c r="G349" i="76"/>
  <c r="F349" i="76"/>
  <c r="E349" i="76"/>
  <c r="D349" i="76"/>
  <c r="C349" i="76"/>
  <c r="P349" i="76" s="1"/>
  <c r="O348" i="76"/>
  <c r="O406" i="76" s="1"/>
  <c r="N348" i="76"/>
  <c r="N406" i="76" s="1"/>
  <c r="M348" i="76"/>
  <c r="L348" i="76"/>
  <c r="L406" i="76" s="1"/>
  <c r="K348" i="76"/>
  <c r="K406" i="76" s="1"/>
  <c r="J348" i="76"/>
  <c r="I348" i="76"/>
  <c r="H348" i="76"/>
  <c r="H406" i="76" s="1"/>
  <c r="G348" i="76"/>
  <c r="G406" i="76" s="1"/>
  <c r="F348" i="76"/>
  <c r="F406" i="76" s="1"/>
  <c r="E348" i="76"/>
  <c r="D348" i="76"/>
  <c r="D406" i="76" s="1"/>
  <c r="C348" i="76"/>
  <c r="C406" i="76" s="1"/>
  <c r="O347" i="76"/>
  <c r="O408" i="76" s="1"/>
  <c r="N347" i="76"/>
  <c r="N408" i="76" s="1"/>
  <c r="M347" i="76"/>
  <c r="M408" i="76" s="1"/>
  <c r="L347" i="76"/>
  <c r="L408" i="76" s="1"/>
  <c r="K347" i="76"/>
  <c r="K408" i="76" s="1"/>
  <c r="J347" i="76"/>
  <c r="J408" i="76" s="1"/>
  <c r="I347" i="76"/>
  <c r="I408" i="76" s="1"/>
  <c r="H347" i="76"/>
  <c r="H408" i="76" s="1"/>
  <c r="G347" i="76"/>
  <c r="G408" i="76" s="1"/>
  <c r="F347" i="76"/>
  <c r="F408" i="76" s="1"/>
  <c r="E347" i="76"/>
  <c r="E408" i="76" s="1"/>
  <c r="D347" i="76"/>
  <c r="D408" i="76" s="1"/>
  <c r="C347" i="76"/>
  <c r="C408" i="76" s="1"/>
  <c r="O346" i="76"/>
  <c r="O407" i="76" s="1"/>
  <c r="N346" i="76"/>
  <c r="N407" i="76" s="1"/>
  <c r="M346" i="76"/>
  <c r="M407" i="76" s="1"/>
  <c r="L346" i="76"/>
  <c r="L407" i="76" s="1"/>
  <c r="K346" i="76"/>
  <c r="K407" i="76" s="1"/>
  <c r="J346" i="76"/>
  <c r="J407" i="76" s="1"/>
  <c r="I346" i="76"/>
  <c r="I407" i="76" s="1"/>
  <c r="H346" i="76"/>
  <c r="H407" i="76" s="1"/>
  <c r="G346" i="76"/>
  <c r="G407" i="76" s="1"/>
  <c r="F346" i="76"/>
  <c r="F407" i="76" s="1"/>
  <c r="E346" i="76"/>
  <c r="E407" i="76" s="1"/>
  <c r="D346" i="76"/>
  <c r="D407" i="76" s="1"/>
  <c r="C346" i="76"/>
  <c r="C407" i="76" s="1"/>
  <c r="O345" i="76"/>
  <c r="N345" i="76"/>
  <c r="M345" i="76"/>
  <c r="L345" i="76"/>
  <c r="K345" i="76"/>
  <c r="J345" i="76"/>
  <c r="I345" i="76"/>
  <c r="H345" i="76"/>
  <c r="G345" i="76"/>
  <c r="F345" i="76"/>
  <c r="E345" i="76"/>
  <c r="D345" i="76"/>
  <c r="C345" i="76"/>
  <c r="P345" i="76" s="1"/>
  <c r="O344" i="76"/>
  <c r="N344" i="76"/>
  <c r="M344" i="76"/>
  <c r="L344" i="76"/>
  <c r="K344" i="76"/>
  <c r="J344" i="76"/>
  <c r="I344" i="76"/>
  <c r="H344" i="76"/>
  <c r="G344" i="76"/>
  <c r="F344" i="76"/>
  <c r="E344" i="76"/>
  <c r="D344" i="76"/>
  <c r="P344" i="76" s="1"/>
  <c r="C344" i="76"/>
  <c r="O343" i="76"/>
  <c r="N343" i="76"/>
  <c r="M343" i="76"/>
  <c r="L343" i="76"/>
  <c r="K343" i="76"/>
  <c r="J343" i="76"/>
  <c r="I343" i="76"/>
  <c r="H343" i="76"/>
  <c r="G343" i="76"/>
  <c r="F343" i="76"/>
  <c r="E343" i="76"/>
  <c r="D343" i="76"/>
  <c r="C343" i="76"/>
  <c r="P343" i="76" s="1"/>
  <c r="O342" i="76"/>
  <c r="N342" i="76"/>
  <c r="M342" i="76"/>
  <c r="L342" i="76"/>
  <c r="K342" i="76"/>
  <c r="J342" i="76"/>
  <c r="I342" i="76"/>
  <c r="H342" i="76"/>
  <c r="G342" i="76"/>
  <c r="F342" i="76"/>
  <c r="E342" i="76"/>
  <c r="D342" i="76"/>
  <c r="P342" i="76" s="1"/>
  <c r="C342" i="76"/>
  <c r="O341" i="76"/>
  <c r="N341" i="76"/>
  <c r="M341" i="76"/>
  <c r="L341" i="76"/>
  <c r="K341" i="76"/>
  <c r="J341" i="76"/>
  <c r="I341" i="76"/>
  <c r="H341" i="76"/>
  <c r="G341" i="76"/>
  <c r="F341" i="76"/>
  <c r="E341" i="76"/>
  <c r="D341" i="76"/>
  <c r="C341" i="76"/>
  <c r="P341" i="76" s="1"/>
  <c r="O340" i="76"/>
  <c r="N340" i="76"/>
  <c r="M340" i="76"/>
  <c r="L340" i="76"/>
  <c r="K340" i="76"/>
  <c r="J340" i="76"/>
  <c r="I340" i="76"/>
  <c r="H340" i="76"/>
  <c r="G340" i="76"/>
  <c r="F340" i="76"/>
  <c r="E340" i="76"/>
  <c r="D340" i="76"/>
  <c r="P340" i="76" s="1"/>
  <c r="C340" i="76"/>
  <c r="O339" i="76"/>
  <c r="N339" i="76"/>
  <c r="M339" i="76"/>
  <c r="L339" i="76"/>
  <c r="K339" i="76"/>
  <c r="J339" i="76"/>
  <c r="I339" i="76"/>
  <c r="H339" i="76"/>
  <c r="G339" i="76"/>
  <c r="F339" i="76"/>
  <c r="E339" i="76"/>
  <c r="D339" i="76"/>
  <c r="C339" i="76"/>
  <c r="P339" i="76" s="1"/>
  <c r="O338" i="76"/>
  <c r="N338" i="76"/>
  <c r="M338" i="76"/>
  <c r="L338" i="76"/>
  <c r="K338" i="76"/>
  <c r="J338" i="76"/>
  <c r="I338" i="76"/>
  <c r="H338" i="76"/>
  <c r="G338" i="76"/>
  <c r="F338" i="76"/>
  <c r="E338" i="76"/>
  <c r="D338" i="76"/>
  <c r="P338" i="76" s="1"/>
  <c r="C338" i="76"/>
  <c r="O337" i="76"/>
  <c r="N337" i="76"/>
  <c r="M337" i="76"/>
  <c r="L337" i="76"/>
  <c r="K337" i="76"/>
  <c r="J337" i="76"/>
  <c r="I337" i="76"/>
  <c r="H337" i="76"/>
  <c r="G337" i="76"/>
  <c r="F337" i="76"/>
  <c r="E337" i="76"/>
  <c r="D337" i="76"/>
  <c r="C337" i="76"/>
  <c r="P337" i="76" s="1"/>
  <c r="O336" i="76"/>
  <c r="N336" i="76"/>
  <c r="M336" i="76"/>
  <c r="L336" i="76"/>
  <c r="K336" i="76"/>
  <c r="J336" i="76"/>
  <c r="I336" i="76"/>
  <c r="H336" i="76"/>
  <c r="G336" i="76"/>
  <c r="F336" i="76"/>
  <c r="E336" i="76"/>
  <c r="D336" i="76"/>
  <c r="P336" i="76" s="1"/>
  <c r="C336" i="76"/>
  <c r="O335" i="76"/>
  <c r="N335" i="76"/>
  <c r="M335" i="76"/>
  <c r="L335" i="76"/>
  <c r="K335" i="76"/>
  <c r="J335" i="76"/>
  <c r="I335" i="76"/>
  <c r="H335" i="76"/>
  <c r="G335" i="76"/>
  <c r="F335" i="76"/>
  <c r="E335" i="76"/>
  <c r="D335" i="76"/>
  <c r="C335" i="76"/>
  <c r="P335" i="76" s="1"/>
  <c r="O334" i="76"/>
  <c r="N334" i="76"/>
  <c r="M334" i="76"/>
  <c r="L334" i="76"/>
  <c r="K334" i="76"/>
  <c r="J334" i="76"/>
  <c r="I334" i="76"/>
  <c r="H334" i="76"/>
  <c r="G334" i="76"/>
  <c r="F334" i="76"/>
  <c r="E334" i="76"/>
  <c r="D334" i="76"/>
  <c r="P334" i="76" s="1"/>
  <c r="C334" i="76"/>
  <c r="O333" i="76"/>
  <c r="N333" i="76"/>
  <c r="M333" i="76"/>
  <c r="L333" i="76"/>
  <c r="K333" i="76"/>
  <c r="J333" i="76"/>
  <c r="I333" i="76"/>
  <c r="H333" i="76"/>
  <c r="G333" i="76"/>
  <c r="F333" i="76"/>
  <c r="E333" i="76"/>
  <c r="D333" i="76"/>
  <c r="C333" i="76"/>
  <c r="P333" i="76" s="1"/>
  <c r="O332" i="76"/>
  <c r="N332" i="76"/>
  <c r="M332" i="76"/>
  <c r="L332" i="76"/>
  <c r="K332" i="76"/>
  <c r="J332" i="76"/>
  <c r="I332" i="76"/>
  <c r="H332" i="76"/>
  <c r="G332" i="76"/>
  <c r="F332" i="76"/>
  <c r="E332" i="76"/>
  <c r="D332" i="76"/>
  <c r="P332" i="76" s="1"/>
  <c r="C332" i="76"/>
  <c r="O331" i="76"/>
  <c r="N331" i="76"/>
  <c r="M331" i="76"/>
  <c r="L331" i="76"/>
  <c r="K331" i="76"/>
  <c r="J331" i="76"/>
  <c r="I331" i="76"/>
  <c r="H331" i="76"/>
  <c r="G331" i="76"/>
  <c r="F331" i="76"/>
  <c r="E331" i="76"/>
  <c r="D331" i="76"/>
  <c r="C331" i="76"/>
  <c r="P331" i="76" s="1"/>
  <c r="O330" i="76"/>
  <c r="N330" i="76"/>
  <c r="M330" i="76"/>
  <c r="L330" i="76"/>
  <c r="K330" i="76"/>
  <c r="J330" i="76"/>
  <c r="I330" i="76"/>
  <c r="H330" i="76"/>
  <c r="G330" i="76"/>
  <c r="F330" i="76"/>
  <c r="E330" i="76"/>
  <c r="D330" i="76"/>
  <c r="P330" i="76" s="1"/>
  <c r="C330" i="76"/>
  <c r="O329" i="76"/>
  <c r="N329" i="76"/>
  <c r="M329" i="76"/>
  <c r="L329" i="76"/>
  <c r="K329" i="76"/>
  <c r="J329" i="76"/>
  <c r="I329" i="76"/>
  <c r="H329" i="76"/>
  <c r="G329" i="76"/>
  <c r="F329" i="76"/>
  <c r="E329" i="76"/>
  <c r="D329" i="76"/>
  <c r="C329" i="76"/>
  <c r="P329" i="76" s="1"/>
  <c r="O328" i="76"/>
  <c r="N328" i="76"/>
  <c r="M328" i="76"/>
  <c r="L328" i="76"/>
  <c r="K328" i="76"/>
  <c r="J328" i="76"/>
  <c r="I328" i="76"/>
  <c r="H328" i="76"/>
  <c r="G328" i="76"/>
  <c r="F328" i="76"/>
  <c r="E328" i="76"/>
  <c r="D328" i="76"/>
  <c r="P328" i="76" s="1"/>
  <c r="C328" i="76"/>
  <c r="O327" i="76"/>
  <c r="N327" i="76"/>
  <c r="M327" i="76"/>
  <c r="L327" i="76"/>
  <c r="K327" i="76"/>
  <c r="J327" i="76"/>
  <c r="I327" i="76"/>
  <c r="H327" i="76"/>
  <c r="G327" i="76"/>
  <c r="F327" i="76"/>
  <c r="E327" i="76"/>
  <c r="D327" i="76"/>
  <c r="C327" i="76"/>
  <c r="P327" i="76" s="1"/>
  <c r="O326" i="76"/>
  <c r="N326" i="76"/>
  <c r="M326" i="76"/>
  <c r="L326" i="76"/>
  <c r="K326" i="76"/>
  <c r="J326" i="76"/>
  <c r="I326" i="76"/>
  <c r="H326" i="76"/>
  <c r="H405" i="76" s="1"/>
  <c r="G326" i="76"/>
  <c r="F326" i="76"/>
  <c r="E326" i="76"/>
  <c r="D326" i="76"/>
  <c r="P326" i="76" s="1"/>
  <c r="C326" i="76"/>
  <c r="O325" i="76"/>
  <c r="N325" i="76"/>
  <c r="N405" i="76" s="1"/>
  <c r="M325" i="76"/>
  <c r="M405" i="76" s="1"/>
  <c r="L325" i="76"/>
  <c r="L405" i="76" s="1"/>
  <c r="K325" i="76"/>
  <c r="J325" i="76"/>
  <c r="J405" i="76" s="1"/>
  <c r="I325" i="76"/>
  <c r="I405" i="76" s="1"/>
  <c r="H325" i="76"/>
  <c r="G325" i="76"/>
  <c r="F325" i="76"/>
  <c r="F405" i="76" s="1"/>
  <c r="E325" i="76"/>
  <c r="E405" i="76" s="1"/>
  <c r="D325" i="76"/>
  <c r="D405" i="76" s="1"/>
  <c r="C325" i="76"/>
  <c r="O324" i="76"/>
  <c r="N324" i="76"/>
  <c r="M324" i="76"/>
  <c r="L324" i="76"/>
  <c r="K324" i="76"/>
  <c r="J324" i="76"/>
  <c r="I324" i="76"/>
  <c r="H324" i="76"/>
  <c r="G324" i="76"/>
  <c r="F324" i="76"/>
  <c r="E324" i="76"/>
  <c r="D324" i="76"/>
  <c r="P324" i="76" s="1"/>
  <c r="C324" i="76"/>
  <c r="O323" i="76"/>
  <c r="N323" i="76"/>
  <c r="M323" i="76"/>
  <c r="L323" i="76"/>
  <c r="K323" i="76"/>
  <c r="J323" i="76"/>
  <c r="I323" i="76"/>
  <c r="H323" i="76"/>
  <c r="G323" i="76"/>
  <c r="F323" i="76"/>
  <c r="E323" i="76"/>
  <c r="D323" i="76"/>
  <c r="C323" i="76"/>
  <c r="P323" i="76" s="1"/>
  <c r="O322" i="76"/>
  <c r="N322" i="76"/>
  <c r="M322" i="76"/>
  <c r="L322" i="76"/>
  <c r="K322" i="76"/>
  <c r="J322" i="76"/>
  <c r="I322" i="76"/>
  <c r="H322" i="76"/>
  <c r="G322" i="76"/>
  <c r="F322" i="76"/>
  <c r="E322" i="76"/>
  <c r="D322" i="76"/>
  <c r="P322" i="76" s="1"/>
  <c r="C322" i="76"/>
  <c r="O321" i="76"/>
  <c r="N321" i="76"/>
  <c r="M321" i="76"/>
  <c r="L321" i="76"/>
  <c r="K321" i="76"/>
  <c r="J321" i="76"/>
  <c r="I321" i="76"/>
  <c r="H321" i="76"/>
  <c r="G321" i="76"/>
  <c r="F321" i="76"/>
  <c r="E321" i="76"/>
  <c r="D321" i="76"/>
  <c r="C321" i="76"/>
  <c r="P321" i="76" s="1"/>
  <c r="O320" i="76"/>
  <c r="N320" i="76"/>
  <c r="M320" i="76"/>
  <c r="L320" i="76"/>
  <c r="K320" i="76"/>
  <c r="J320" i="76"/>
  <c r="I320" i="76"/>
  <c r="H320" i="76"/>
  <c r="G320" i="76"/>
  <c r="F320" i="76"/>
  <c r="E320" i="76"/>
  <c r="D320" i="76"/>
  <c r="P320" i="76" s="1"/>
  <c r="C320" i="76"/>
  <c r="O319" i="76"/>
  <c r="N319" i="76"/>
  <c r="M319" i="76"/>
  <c r="L319" i="76"/>
  <c r="K319" i="76"/>
  <c r="J319" i="76"/>
  <c r="I319" i="76"/>
  <c r="H319" i="76"/>
  <c r="G319" i="76"/>
  <c r="F319" i="76"/>
  <c r="E319" i="76"/>
  <c r="D319" i="76"/>
  <c r="C319" i="76"/>
  <c r="P319" i="76" s="1"/>
  <c r="O318" i="76"/>
  <c r="N318" i="76"/>
  <c r="M318" i="76"/>
  <c r="L318" i="76"/>
  <c r="K318" i="76"/>
  <c r="J318" i="76"/>
  <c r="I318" i="76"/>
  <c r="H318" i="76"/>
  <c r="G318" i="76"/>
  <c r="F318" i="76"/>
  <c r="E318" i="76"/>
  <c r="D318" i="76"/>
  <c r="P318" i="76" s="1"/>
  <c r="C318" i="76"/>
  <c r="O317" i="76"/>
  <c r="N317" i="76"/>
  <c r="M317" i="76"/>
  <c r="L317" i="76"/>
  <c r="K317" i="76"/>
  <c r="J317" i="76"/>
  <c r="I317" i="76"/>
  <c r="H317" i="76"/>
  <c r="G317" i="76"/>
  <c r="F317" i="76"/>
  <c r="E317" i="76"/>
  <c r="D317" i="76"/>
  <c r="C317" i="76"/>
  <c r="P317" i="76" s="1"/>
  <c r="O316" i="76"/>
  <c r="N316" i="76"/>
  <c r="M316" i="76"/>
  <c r="L316" i="76"/>
  <c r="K316" i="76"/>
  <c r="J316" i="76"/>
  <c r="I316" i="76"/>
  <c r="H316" i="76"/>
  <c r="G316" i="76"/>
  <c r="F316" i="76"/>
  <c r="E316" i="76"/>
  <c r="D316" i="76"/>
  <c r="P316" i="76" s="1"/>
  <c r="C316" i="76"/>
  <c r="O315" i="76"/>
  <c r="N315" i="76"/>
  <c r="M315" i="76"/>
  <c r="L315" i="76"/>
  <c r="K315" i="76"/>
  <c r="J315" i="76"/>
  <c r="I315" i="76"/>
  <c r="H315" i="76"/>
  <c r="G315" i="76"/>
  <c r="F315" i="76"/>
  <c r="E315" i="76"/>
  <c r="D315" i="76"/>
  <c r="C315" i="76"/>
  <c r="P315" i="76" s="1"/>
  <c r="O314" i="76"/>
  <c r="N314" i="76"/>
  <c r="M314" i="76"/>
  <c r="L314" i="76"/>
  <c r="K314" i="76"/>
  <c r="J314" i="76"/>
  <c r="I314" i="76"/>
  <c r="H314" i="76"/>
  <c r="G314" i="76"/>
  <c r="F314" i="76"/>
  <c r="E314" i="76"/>
  <c r="D314" i="76"/>
  <c r="P314" i="76" s="1"/>
  <c r="C314" i="76"/>
  <c r="O313" i="76"/>
  <c r="N313" i="76"/>
  <c r="N404" i="76" s="1"/>
  <c r="M313" i="76"/>
  <c r="M404" i="76" s="1"/>
  <c r="L313" i="76"/>
  <c r="K313" i="76"/>
  <c r="J313" i="76"/>
  <c r="J404" i="76" s="1"/>
  <c r="I313" i="76"/>
  <c r="I404" i="76" s="1"/>
  <c r="H313" i="76"/>
  <c r="G313" i="76"/>
  <c r="F313" i="76"/>
  <c r="F404" i="76" s="1"/>
  <c r="E313" i="76"/>
  <c r="E404" i="76" s="1"/>
  <c r="D313" i="76"/>
  <c r="C313" i="76"/>
  <c r="O312" i="76"/>
  <c r="N312" i="76"/>
  <c r="M312" i="76"/>
  <c r="L312" i="76"/>
  <c r="K312" i="76"/>
  <c r="J312" i="76"/>
  <c r="I312" i="76"/>
  <c r="H312" i="76"/>
  <c r="G312" i="76"/>
  <c r="F312" i="76"/>
  <c r="E312" i="76"/>
  <c r="D312" i="76"/>
  <c r="P312" i="76" s="1"/>
  <c r="C312" i="76"/>
  <c r="O311" i="76"/>
  <c r="N311" i="76"/>
  <c r="N410" i="76" s="1"/>
  <c r="M311" i="76"/>
  <c r="M410" i="76" s="1"/>
  <c r="L311" i="76"/>
  <c r="K311" i="76"/>
  <c r="J311" i="76"/>
  <c r="J410" i="76" s="1"/>
  <c r="I311" i="76"/>
  <c r="I410" i="76" s="1"/>
  <c r="H311" i="76"/>
  <c r="G311" i="76"/>
  <c r="F311" i="76"/>
  <c r="F410" i="76" s="1"/>
  <c r="E311" i="76"/>
  <c r="E410" i="76" s="1"/>
  <c r="D311" i="76"/>
  <c r="C311" i="76"/>
  <c r="O310" i="76"/>
  <c r="N310" i="76"/>
  <c r="M310" i="76"/>
  <c r="L310" i="76"/>
  <c r="K310" i="76"/>
  <c r="J310" i="76"/>
  <c r="I310" i="76"/>
  <c r="H310" i="76"/>
  <c r="G310" i="76"/>
  <c r="F310" i="76"/>
  <c r="E310" i="76"/>
  <c r="D310" i="76"/>
  <c r="P310" i="76" s="1"/>
  <c r="C310" i="76"/>
  <c r="O309" i="76"/>
  <c r="N309" i="76"/>
  <c r="M309" i="76"/>
  <c r="L309" i="76"/>
  <c r="K309" i="76"/>
  <c r="J309" i="76"/>
  <c r="I309" i="76"/>
  <c r="H309" i="76"/>
  <c r="G309" i="76"/>
  <c r="F309" i="76"/>
  <c r="E309" i="76"/>
  <c r="D309" i="76"/>
  <c r="C309" i="76"/>
  <c r="P309" i="76" s="1"/>
  <c r="O308" i="76"/>
  <c r="N308" i="76"/>
  <c r="M308" i="76"/>
  <c r="L308" i="76"/>
  <c r="K308" i="76"/>
  <c r="J308" i="76"/>
  <c r="I308" i="76"/>
  <c r="H308" i="76"/>
  <c r="G308" i="76"/>
  <c r="F308" i="76"/>
  <c r="E308" i="76"/>
  <c r="D308" i="76"/>
  <c r="P308" i="76" s="1"/>
  <c r="C308" i="76"/>
  <c r="O307" i="76"/>
  <c r="N307" i="76"/>
  <c r="M307" i="76"/>
  <c r="L307" i="76"/>
  <c r="K307" i="76"/>
  <c r="J307" i="76"/>
  <c r="I307" i="76"/>
  <c r="H307" i="76"/>
  <c r="G307" i="76"/>
  <c r="F307" i="76"/>
  <c r="E307" i="76"/>
  <c r="D307" i="76"/>
  <c r="C307" i="76"/>
  <c r="P307" i="76" s="1"/>
  <c r="O306" i="76"/>
  <c r="N306" i="76"/>
  <c r="M306" i="76"/>
  <c r="L306" i="76"/>
  <c r="K306" i="76"/>
  <c r="J306" i="76"/>
  <c r="I306" i="76"/>
  <c r="H306" i="76"/>
  <c r="G306" i="76"/>
  <c r="F306" i="76"/>
  <c r="E306" i="76"/>
  <c r="D306" i="76"/>
  <c r="P306" i="76" s="1"/>
  <c r="C306" i="76"/>
  <c r="O305" i="76"/>
  <c r="N305" i="76"/>
  <c r="M305" i="76"/>
  <c r="L305" i="76"/>
  <c r="K305" i="76"/>
  <c r="J305" i="76"/>
  <c r="I305" i="76"/>
  <c r="H305" i="76"/>
  <c r="G305" i="76"/>
  <c r="F305" i="76"/>
  <c r="E305" i="76"/>
  <c r="D305" i="76"/>
  <c r="C305" i="76"/>
  <c r="P305" i="76" s="1"/>
  <c r="O304" i="76"/>
  <c r="N304" i="76"/>
  <c r="M304" i="76"/>
  <c r="L304" i="76"/>
  <c r="K304" i="76"/>
  <c r="J304" i="76"/>
  <c r="I304" i="76"/>
  <c r="H304" i="76"/>
  <c r="G304" i="76"/>
  <c r="F304" i="76"/>
  <c r="E304" i="76"/>
  <c r="D304" i="76"/>
  <c r="P304" i="76" s="1"/>
  <c r="C304" i="76"/>
  <c r="O303" i="76"/>
  <c r="N303" i="76"/>
  <c r="M303" i="76"/>
  <c r="L303" i="76"/>
  <c r="K303" i="76"/>
  <c r="J303" i="76"/>
  <c r="I303" i="76"/>
  <c r="H303" i="76"/>
  <c r="G303" i="76"/>
  <c r="F303" i="76"/>
  <c r="E303" i="76"/>
  <c r="D303" i="76"/>
  <c r="C303" i="76"/>
  <c r="P303" i="76" s="1"/>
  <c r="O302" i="76"/>
  <c r="N302" i="76"/>
  <c r="M302" i="76"/>
  <c r="L302" i="76"/>
  <c r="K302" i="76"/>
  <c r="J302" i="76"/>
  <c r="I302" i="76"/>
  <c r="H302" i="76"/>
  <c r="G302" i="76"/>
  <c r="F302" i="76"/>
  <c r="E302" i="76"/>
  <c r="D302" i="76"/>
  <c r="P302" i="76" s="1"/>
  <c r="C302" i="76"/>
  <c r="O301" i="76"/>
  <c r="N301" i="76"/>
  <c r="M301" i="76"/>
  <c r="L301" i="76"/>
  <c r="K301" i="76"/>
  <c r="J301" i="76"/>
  <c r="I301" i="76"/>
  <c r="H301" i="76"/>
  <c r="G301" i="76"/>
  <c r="F301" i="76"/>
  <c r="E301" i="76"/>
  <c r="D301" i="76"/>
  <c r="C301" i="76"/>
  <c r="P301" i="76" s="1"/>
  <c r="O300" i="76"/>
  <c r="N300" i="76"/>
  <c r="M300" i="76"/>
  <c r="L300" i="76"/>
  <c r="K300" i="76"/>
  <c r="J300" i="76"/>
  <c r="I300" i="76"/>
  <c r="H300" i="76"/>
  <c r="G300" i="76"/>
  <c r="F300" i="76"/>
  <c r="E300" i="76"/>
  <c r="D300" i="76"/>
  <c r="P300" i="76" s="1"/>
  <c r="C300" i="76"/>
  <c r="O299" i="76"/>
  <c r="N299" i="76"/>
  <c r="M299" i="76"/>
  <c r="L299" i="76"/>
  <c r="K299" i="76"/>
  <c r="J299" i="76"/>
  <c r="I299" i="76"/>
  <c r="H299" i="76"/>
  <c r="G299" i="76"/>
  <c r="F299" i="76"/>
  <c r="E299" i="76"/>
  <c r="D299" i="76"/>
  <c r="C299" i="76"/>
  <c r="P299" i="76" s="1"/>
  <c r="O298" i="76"/>
  <c r="N298" i="76"/>
  <c r="M298" i="76"/>
  <c r="L298" i="76"/>
  <c r="K298" i="76"/>
  <c r="J298" i="76"/>
  <c r="I298" i="76"/>
  <c r="H298" i="76"/>
  <c r="G298" i="76"/>
  <c r="F298" i="76"/>
  <c r="E298" i="76"/>
  <c r="D298" i="76"/>
  <c r="P298" i="76" s="1"/>
  <c r="C298" i="76"/>
  <c r="O297" i="76"/>
  <c r="N297" i="76"/>
  <c r="M297" i="76"/>
  <c r="L297" i="76"/>
  <c r="K297" i="76"/>
  <c r="J297" i="76"/>
  <c r="I297" i="76"/>
  <c r="H297" i="76"/>
  <c r="G297" i="76"/>
  <c r="F297" i="76"/>
  <c r="E297" i="76"/>
  <c r="D297" i="76"/>
  <c r="C297" i="76"/>
  <c r="P297" i="76" s="1"/>
  <c r="O296" i="76"/>
  <c r="N296" i="76"/>
  <c r="M296" i="76"/>
  <c r="L296" i="76"/>
  <c r="K296" i="76"/>
  <c r="J296" i="76"/>
  <c r="I296" i="76"/>
  <c r="H296" i="76"/>
  <c r="G296" i="76"/>
  <c r="F296" i="76"/>
  <c r="E296" i="76"/>
  <c r="D296" i="76"/>
  <c r="P296" i="76" s="1"/>
  <c r="C296" i="76"/>
  <c r="O295" i="76"/>
  <c r="N295" i="76"/>
  <c r="M295" i="76"/>
  <c r="L295" i="76"/>
  <c r="K295" i="76"/>
  <c r="J295" i="76"/>
  <c r="I295" i="76"/>
  <c r="H295" i="76"/>
  <c r="G295" i="76"/>
  <c r="F295" i="76"/>
  <c r="E295" i="76"/>
  <c r="D295" i="76"/>
  <c r="C295" i="76"/>
  <c r="P295" i="76" s="1"/>
  <c r="O294" i="76"/>
  <c r="N294" i="76"/>
  <c r="M294" i="76"/>
  <c r="L294" i="76"/>
  <c r="L409" i="76" s="1"/>
  <c r="K294" i="76"/>
  <c r="J294" i="76"/>
  <c r="I294" i="76"/>
  <c r="H294" i="76"/>
  <c r="H409" i="76" s="1"/>
  <c r="G294" i="76"/>
  <c r="F294" i="76"/>
  <c r="E294" i="76"/>
  <c r="D294" i="76"/>
  <c r="P294" i="76" s="1"/>
  <c r="C294" i="76"/>
  <c r="O293" i="76"/>
  <c r="N293" i="76"/>
  <c r="M293" i="76"/>
  <c r="L293" i="76"/>
  <c r="K293" i="76"/>
  <c r="J293" i="76"/>
  <c r="I293" i="76"/>
  <c r="H293" i="76"/>
  <c r="G293" i="76"/>
  <c r="F293" i="76"/>
  <c r="E293" i="76"/>
  <c r="D293" i="76"/>
  <c r="C293" i="76"/>
  <c r="P293" i="76" s="1"/>
  <c r="O292" i="76"/>
  <c r="N292" i="76"/>
  <c r="M292" i="76"/>
  <c r="L292" i="76"/>
  <c r="K292" i="76"/>
  <c r="J292" i="76"/>
  <c r="I292" i="76"/>
  <c r="H292" i="76"/>
  <c r="G292" i="76"/>
  <c r="F292" i="76"/>
  <c r="E292" i="76"/>
  <c r="D292" i="76"/>
  <c r="P292" i="76" s="1"/>
  <c r="C292" i="76"/>
  <c r="O291" i="76"/>
  <c r="N291" i="76"/>
  <c r="M291" i="76"/>
  <c r="L291" i="76"/>
  <c r="K291" i="76"/>
  <c r="J291" i="76"/>
  <c r="I291" i="76"/>
  <c r="H291" i="76"/>
  <c r="G291" i="76"/>
  <c r="F291" i="76"/>
  <c r="E291" i="76"/>
  <c r="D291" i="76"/>
  <c r="C291" i="76"/>
  <c r="P291" i="76" s="1"/>
  <c r="O290" i="76"/>
  <c r="N290" i="76"/>
  <c r="M290" i="76"/>
  <c r="L290" i="76"/>
  <c r="K290" i="76"/>
  <c r="J290" i="76"/>
  <c r="I290" i="76"/>
  <c r="H290" i="76"/>
  <c r="G290" i="76"/>
  <c r="F290" i="76"/>
  <c r="E290" i="76"/>
  <c r="D290" i="76"/>
  <c r="P290" i="76" s="1"/>
  <c r="C290" i="76"/>
  <c r="O289" i="76"/>
  <c r="N289" i="76"/>
  <c r="M289" i="76"/>
  <c r="L289" i="76"/>
  <c r="K289" i="76"/>
  <c r="J289" i="76"/>
  <c r="I289" i="76"/>
  <c r="H289" i="76"/>
  <c r="G289" i="76"/>
  <c r="F289" i="76"/>
  <c r="E289" i="76"/>
  <c r="D289" i="76"/>
  <c r="C289" i="76"/>
  <c r="P289" i="76" s="1"/>
  <c r="O288" i="76"/>
  <c r="N288" i="76"/>
  <c r="M288" i="76"/>
  <c r="L288" i="76"/>
  <c r="K288" i="76"/>
  <c r="J288" i="76"/>
  <c r="I288" i="76"/>
  <c r="H288" i="76"/>
  <c r="G288" i="76"/>
  <c r="F288" i="76"/>
  <c r="E288" i="76"/>
  <c r="D288" i="76"/>
  <c r="P288" i="76" s="1"/>
  <c r="C288" i="76"/>
  <c r="O287" i="76"/>
  <c r="N287" i="76"/>
  <c r="M287" i="76"/>
  <c r="L287" i="76"/>
  <c r="K287" i="76"/>
  <c r="J287" i="76"/>
  <c r="I287" i="76"/>
  <c r="H287" i="76"/>
  <c r="G287" i="76"/>
  <c r="F287" i="76"/>
  <c r="E287" i="76"/>
  <c r="D287" i="76"/>
  <c r="C287" i="76"/>
  <c r="P287" i="76" s="1"/>
  <c r="O286" i="76"/>
  <c r="N286" i="76"/>
  <c r="M286" i="76"/>
  <c r="L286" i="76"/>
  <c r="K286" i="76"/>
  <c r="J286" i="76"/>
  <c r="I286" i="76"/>
  <c r="H286" i="76"/>
  <c r="G286" i="76"/>
  <c r="F286" i="76"/>
  <c r="E286" i="76"/>
  <c r="D286" i="76"/>
  <c r="P286" i="76" s="1"/>
  <c r="C286" i="76"/>
  <c r="O285" i="76"/>
  <c r="N285" i="76"/>
  <c r="M285" i="76"/>
  <c r="L285" i="76"/>
  <c r="K285" i="76"/>
  <c r="J285" i="76"/>
  <c r="I285" i="76"/>
  <c r="H285" i="76"/>
  <c r="G285" i="76"/>
  <c r="F285" i="76"/>
  <c r="E285" i="76"/>
  <c r="D285" i="76"/>
  <c r="C285" i="76"/>
  <c r="P285" i="76" s="1"/>
  <c r="O284" i="76"/>
  <c r="N284" i="76"/>
  <c r="M284" i="76"/>
  <c r="L284" i="76"/>
  <c r="K284" i="76"/>
  <c r="J284" i="76"/>
  <c r="I284" i="76"/>
  <c r="H284" i="76"/>
  <c r="G284" i="76"/>
  <c r="F284" i="76"/>
  <c r="E284" i="76"/>
  <c r="D284" i="76"/>
  <c r="P284" i="76" s="1"/>
  <c r="C284" i="76"/>
  <c r="O283" i="76"/>
  <c r="N283" i="76"/>
  <c r="M283" i="76"/>
  <c r="L283" i="76"/>
  <c r="K283" i="76"/>
  <c r="J283" i="76"/>
  <c r="I283" i="76"/>
  <c r="H283" i="76"/>
  <c r="G283" i="76"/>
  <c r="F283" i="76"/>
  <c r="E283" i="76"/>
  <c r="D283" i="76"/>
  <c r="C283" i="76"/>
  <c r="P283" i="76" s="1"/>
  <c r="O282" i="76"/>
  <c r="N282" i="76"/>
  <c r="M282" i="76"/>
  <c r="L282" i="76"/>
  <c r="K282" i="76"/>
  <c r="J282" i="76"/>
  <c r="I282" i="76"/>
  <c r="H282" i="76"/>
  <c r="G282" i="76"/>
  <c r="F282" i="76"/>
  <c r="E282" i="76"/>
  <c r="D282" i="76"/>
  <c r="P282" i="76" s="1"/>
  <c r="C282" i="76"/>
  <c r="O281" i="76"/>
  <c r="N281" i="76"/>
  <c r="M281" i="76"/>
  <c r="L281" i="76"/>
  <c r="K281" i="76"/>
  <c r="J281" i="76"/>
  <c r="I281" i="76"/>
  <c r="H281" i="76"/>
  <c r="G281" i="76"/>
  <c r="F281" i="76"/>
  <c r="E281" i="76"/>
  <c r="D281" i="76"/>
  <c r="C281" i="76"/>
  <c r="P281" i="76" s="1"/>
  <c r="O280" i="76"/>
  <c r="N280" i="76"/>
  <c r="M280" i="76"/>
  <c r="L280" i="76"/>
  <c r="K280" i="76"/>
  <c r="J280" i="76"/>
  <c r="I280" i="76"/>
  <c r="H280" i="76"/>
  <c r="G280" i="76"/>
  <c r="F280" i="76"/>
  <c r="E280" i="76"/>
  <c r="D280" i="76"/>
  <c r="P280" i="76" s="1"/>
  <c r="C280" i="76"/>
  <c r="O279" i="76"/>
  <c r="N279" i="76"/>
  <c r="M279" i="76"/>
  <c r="L279" i="76"/>
  <c r="K279" i="76"/>
  <c r="J279" i="76"/>
  <c r="I279" i="76"/>
  <c r="H279" i="76"/>
  <c r="G279" i="76"/>
  <c r="F279" i="76"/>
  <c r="E279" i="76"/>
  <c r="D279" i="76"/>
  <c r="C279" i="76"/>
  <c r="P279" i="76" s="1"/>
  <c r="O278" i="76"/>
  <c r="N278" i="76"/>
  <c r="M278" i="76"/>
  <c r="L278" i="76"/>
  <c r="K278" i="76"/>
  <c r="J278" i="76"/>
  <c r="I278" i="76"/>
  <c r="H278" i="76"/>
  <c r="G278" i="76"/>
  <c r="F278" i="76"/>
  <c r="E278" i="76"/>
  <c r="D278" i="76"/>
  <c r="P278" i="76" s="1"/>
  <c r="C278" i="76"/>
  <c r="O277" i="76"/>
  <c r="N277" i="76"/>
  <c r="M277" i="76"/>
  <c r="L277" i="76"/>
  <c r="K277" i="76"/>
  <c r="J277" i="76"/>
  <c r="I277" i="76"/>
  <c r="H277" i="76"/>
  <c r="G277" i="76"/>
  <c r="F277" i="76"/>
  <c r="E277" i="76"/>
  <c r="D277" i="76"/>
  <c r="C277" i="76"/>
  <c r="P277" i="76" s="1"/>
  <c r="O276" i="76"/>
  <c r="N276" i="76"/>
  <c r="M276" i="76"/>
  <c r="L276" i="76"/>
  <c r="K276" i="76"/>
  <c r="J276" i="76"/>
  <c r="I276" i="76"/>
  <c r="H276" i="76"/>
  <c r="G276" i="76"/>
  <c r="F276" i="76"/>
  <c r="E276" i="76"/>
  <c r="D276" i="76"/>
  <c r="P276" i="76" s="1"/>
  <c r="C276" i="76"/>
  <c r="O275" i="76"/>
  <c r="N275" i="76"/>
  <c r="M275" i="76"/>
  <c r="L275" i="76"/>
  <c r="K275" i="76"/>
  <c r="J275" i="76"/>
  <c r="I275" i="76"/>
  <c r="H275" i="76"/>
  <c r="G275" i="76"/>
  <c r="F275" i="76"/>
  <c r="E275" i="76"/>
  <c r="D275" i="76"/>
  <c r="C275" i="76"/>
  <c r="P275" i="76" s="1"/>
  <c r="O274" i="76"/>
  <c r="N274" i="76"/>
  <c r="M274" i="76"/>
  <c r="L274" i="76"/>
  <c r="K274" i="76"/>
  <c r="J274" i="76"/>
  <c r="I274" i="76"/>
  <c r="H274" i="76"/>
  <c r="G274" i="76"/>
  <c r="F274" i="76"/>
  <c r="E274" i="76"/>
  <c r="D274" i="76"/>
  <c r="P274" i="76" s="1"/>
  <c r="C274" i="76"/>
  <c r="O273" i="76"/>
  <c r="N273" i="76"/>
  <c r="M273" i="76"/>
  <c r="L273" i="76"/>
  <c r="K273" i="76"/>
  <c r="J273" i="76"/>
  <c r="I273" i="76"/>
  <c r="H273" i="76"/>
  <c r="G273" i="76"/>
  <c r="F273" i="76"/>
  <c r="E273" i="76"/>
  <c r="D273" i="76"/>
  <c r="C273" i="76"/>
  <c r="P273" i="76" s="1"/>
  <c r="O272" i="76"/>
  <c r="N272" i="76"/>
  <c r="M272" i="76"/>
  <c r="L272" i="76"/>
  <c r="K272" i="76"/>
  <c r="J272" i="76"/>
  <c r="I272" i="76"/>
  <c r="H272" i="76"/>
  <c r="G272" i="76"/>
  <c r="F272" i="76"/>
  <c r="E272" i="76"/>
  <c r="D272" i="76"/>
  <c r="P272" i="76" s="1"/>
  <c r="C272" i="76"/>
  <c r="O271" i="76"/>
  <c r="N271" i="76"/>
  <c r="M271" i="76"/>
  <c r="L271" i="76"/>
  <c r="K271" i="76"/>
  <c r="J271" i="76"/>
  <c r="I271" i="76"/>
  <c r="H271" i="76"/>
  <c r="G271" i="76"/>
  <c r="F271" i="76"/>
  <c r="E271" i="76"/>
  <c r="D271" i="76"/>
  <c r="C271" i="76"/>
  <c r="P271" i="76" s="1"/>
  <c r="O270" i="76"/>
  <c r="N270" i="76"/>
  <c r="M270" i="76"/>
  <c r="L270" i="76"/>
  <c r="K270" i="76"/>
  <c r="J270" i="76"/>
  <c r="I270" i="76"/>
  <c r="H270" i="76"/>
  <c r="G270" i="76"/>
  <c r="F270" i="76"/>
  <c r="E270" i="76"/>
  <c r="D270" i="76"/>
  <c r="P270" i="76" s="1"/>
  <c r="C270" i="76"/>
  <c r="O269" i="76"/>
  <c r="N269" i="76"/>
  <c r="M269" i="76"/>
  <c r="L269" i="76"/>
  <c r="K269" i="76"/>
  <c r="J269" i="76"/>
  <c r="I269" i="76"/>
  <c r="H269" i="76"/>
  <c r="G269" i="76"/>
  <c r="F269" i="76"/>
  <c r="E269" i="76"/>
  <c r="D269" i="76"/>
  <c r="C269" i="76"/>
  <c r="P269" i="76" s="1"/>
  <c r="O268" i="76"/>
  <c r="N268" i="76"/>
  <c r="M268" i="76"/>
  <c r="L268" i="76"/>
  <c r="K268" i="76"/>
  <c r="J268" i="76"/>
  <c r="I268" i="76"/>
  <c r="H268" i="76"/>
  <c r="G268" i="76"/>
  <c r="F268" i="76"/>
  <c r="E268" i="76"/>
  <c r="D268" i="76"/>
  <c r="P268" i="76" s="1"/>
  <c r="C268" i="76"/>
  <c r="O267" i="76"/>
  <c r="N267" i="76"/>
  <c r="M267" i="76"/>
  <c r="L267" i="76"/>
  <c r="K267" i="76"/>
  <c r="J267" i="76"/>
  <c r="I267" i="76"/>
  <c r="H267" i="76"/>
  <c r="G267" i="76"/>
  <c r="F267" i="76"/>
  <c r="E267" i="76"/>
  <c r="D267" i="76"/>
  <c r="C267" i="76"/>
  <c r="P267" i="76" s="1"/>
  <c r="O266" i="76"/>
  <c r="N266" i="76"/>
  <c r="M266" i="76"/>
  <c r="L266" i="76"/>
  <c r="K266" i="76"/>
  <c r="J266" i="76"/>
  <c r="I266" i="76"/>
  <c r="H266" i="76"/>
  <c r="G266" i="76"/>
  <c r="F266" i="76"/>
  <c r="E266" i="76"/>
  <c r="D266" i="76"/>
  <c r="P266" i="76" s="1"/>
  <c r="C266" i="76"/>
  <c r="O265" i="76"/>
  <c r="N265" i="76"/>
  <c r="M265" i="76"/>
  <c r="L265" i="76"/>
  <c r="K265" i="76"/>
  <c r="J265" i="76"/>
  <c r="I265" i="76"/>
  <c r="H265" i="76"/>
  <c r="G265" i="76"/>
  <c r="F265" i="76"/>
  <c r="E265" i="76"/>
  <c r="D265" i="76"/>
  <c r="C265" i="76"/>
  <c r="P265" i="76" s="1"/>
  <c r="O264" i="76"/>
  <c r="N264" i="76"/>
  <c r="M264" i="76"/>
  <c r="L264" i="76"/>
  <c r="K264" i="76"/>
  <c r="J264" i="76"/>
  <c r="I264" i="76"/>
  <c r="H264" i="76"/>
  <c r="G264" i="76"/>
  <c r="F264" i="76"/>
  <c r="E264" i="76"/>
  <c r="D264" i="76"/>
  <c r="P264" i="76" s="1"/>
  <c r="C264" i="76"/>
  <c r="O263" i="76"/>
  <c r="N263" i="76"/>
  <c r="M263" i="76"/>
  <c r="L263" i="76"/>
  <c r="K263" i="76"/>
  <c r="J263" i="76"/>
  <c r="I263" i="76"/>
  <c r="H263" i="76"/>
  <c r="G263" i="76"/>
  <c r="F263" i="76"/>
  <c r="E263" i="76"/>
  <c r="D263" i="76"/>
  <c r="C263" i="76"/>
  <c r="P263" i="76" s="1"/>
  <c r="O262" i="76"/>
  <c r="N262" i="76"/>
  <c r="M262" i="76"/>
  <c r="L262" i="76"/>
  <c r="K262" i="76"/>
  <c r="J262" i="76"/>
  <c r="I262" i="76"/>
  <c r="H262" i="76"/>
  <c r="G262" i="76"/>
  <c r="F262" i="76"/>
  <c r="E262" i="76"/>
  <c r="D262" i="76"/>
  <c r="P262" i="76" s="1"/>
  <c r="C262" i="76"/>
  <c r="O261" i="76"/>
  <c r="N261" i="76"/>
  <c r="M261" i="76"/>
  <c r="L261" i="76"/>
  <c r="K261" i="76"/>
  <c r="J261" i="76"/>
  <c r="I261" i="76"/>
  <c r="H261" i="76"/>
  <c r="G261" i="76"/>
  <c r="F261" i="76"/>
  <c r="E261" i="76"/>
  <c r="D261" i="76"/>
  <c r="C261" i="76"/>
  <c r="P261" i="76" s="1"/>
  <c r="O260" i="76"/>
  <c r="N260" i="76"/>
  <c r="M260" i="76"/>
  <c r="L260" i="76"/>
  <c r="K260" i="76"/>
  <c r="J260" i="76"/>
  <c r="I260" i="76"/>
  <c r="H260" i="76"/>
  <c r="G260" i="76"/>
  <c r="F260" i="76"/>
  <c r="E260" i="76"/>
  <c r="D260" i="76"/>
  <c r="P260" i="76" s="1"/>
  <c r="C260" i="76"/>
  <c r="O259" i="76"/>
  <c r="N259" i="76"/>
  <c r="M259" i="76"/>
  <c r="L259" i="76"/>
  <c r="K259" i="76"/>
  <c r="J259" i="76"/>
  <c r="I259" i="76"/>
  <c r="H259" i="76"/>
  <c r="G259" i="76"/>
  <c r="F259" i="76"/>
  <c r="E259" i="76"/>
  <c r="D259" i="76"/>
  <c r="C259" i="76"/>
  <c r="P259" i="76" s="1"/>
  <c r="O258" i="76"/>
  <c r="N258" i="76"/>
  <c r="M258" i="76"/>
  <c r="L258" i="76"/>
  <c r="K258" i="76"/>
  <c r="J258" i="76"/>
  <c r="I258" i="76"/>
  <c r="H258" i="76"/>
  <c r="G258" i="76"/>
  <c r="F258" i="76"/>
  <c r="E258" i="76"/>
  <c r="D258" i="76"/>
  <c r="D403" i="76" s="1"/>
  <c r="C258" i="76"/>
  <c r="O257" i="76"/>
  <c r="N257" i="76"/>
  <c r="N403" i="76" s="1"/>
  <c r="M257" i="76"/>
  <c r="M403" i="76" s="1"/>
  <c r="L257" i="76"/>
  <c r="L403" i="76" s="1"/>
  <c r="K257" i="76"/>
  <c r="J257" i="76"/>
  <c r="J403" i="76" s="1"/>
  <c r="I257" i="76"/>
  <c r="I403" i="76" s="1"/>
  <c r="H257" i="76"/>
  <c r="H403" i="76" s="1"/>
  <c r="G257" i="76"/>
  <c r="F257" i="76"/>
  <c r="F403" i="76" s="1"/>
  <c r="E257" i="76"/>
  <c r="E403" i="76" s="1"/>
  <c r="D257" i="76"/>
  <c r="C257" i="76"/>
  <c r="O256" i="76"/>
  <c r="N256" i="76"/>
  <c r="M256" i="76"/>
  <c r="L256" i="76"/>
  <c r="K256" i="76"/>
  <c r="J256" i="76"/>
  <c r="I256" i="76"/>
  <c r="H256" i="76"/>
  <c r="G256" i="76"/>
  <c r="F256" i="76"/>
  <c r="E256" i="76"/>
  <c r="D256" i="76"/>
  <c r="P256" i="76" s="1"/>
  <c r="C256" i="76"/>
  <c r="O255" i="76"/>
  <c r="N255" i="76"/>
  <c r="M255" i="76"/>
  <c r="L255" i="76"/>
  <c r="K255" i="76"/>
  <c r="J255" i="76"/>
  <c r="I255" i="76"/>
  <c r="H255" i="76"/>
  <c r="G255" i="76"/>
  <c r="F255" i="76"/>
  <c r="E255" i="76"/>
  <c r="D255" i="76"/>
  <c r="C255" i="76"/>
  <c r="P255" i="76" s="1"/>
  <c r="O254" i="76"/>
  <c r="N254" i="76"/>
  <c r="M254" i="76"/>
  <c r="L254" i="76"/>
  <c r="K254" i="76"/>
  <c r="J254" i="76"/>
  <c r="I254" i="76"/>
  <c r="H254" i="76"/>
  <c r="G254" i="76"/>
  <c r="F254" i="76"/>
  <c r="E254" i="76"/>
  <c r="D254" i="76"/>
  <c r="P254" i="76" s="1"/>
  <c r="C254" i="76"/>
  <c r="O253" i="76"/>
  <c r="N253" i="76"/>
  <c r="M253" i="76"/>
  <c r="L253" i="76"/>
  <c r="K253" i="76"/>
  <c r="J253" i="76"/>
  <c r="I253" i="76"/>
  <c r="H253" i="76"/>
  <c r="G253" i="76"/>
  <c r="F253" i="76"/>
  <c r="E253" i="76"/>
  <c r="D253" i="76"/>
  <c r="C253" i="76"/>
  <c r="P253" i="76" s="1"/>
  <c r="O252" i="76"/>
  <c r="O401" i="76" s="1"/>
  <c r="N252" i="76"/>
  <c r="M252" i="76"/>
  <c r="M401" i="76" s="1"/>
  <c r="L252" i="76"/>
  <c r="L401" i="76" s="1"/>
  <c r="K252" i="76"/>
  <c r="K401" i="76" s="1"/>
  <c r="J252" i="76"/>
  <c r="I252" i="76"/>
  <c r="I401" i="76" s="1"/>
  <c r="H252" i="76"/>
  <c r="H401" i="76" s="1"/>
  <c r="G252" i="76"/>
  <c r="G401" i="76" s="1"/>
  <c r="F252" i="76"/>
  <c r="E252" i="76"/>
  <c r="E401" i="76" s="1"/>
  <c r="D252" i="76"/>
  <c r="D401" i="76" s="1"/>
  <c r="C252" i="76"/>
  <c r="C401" i="76" s="1"/>
  <c r="O251" i="76"/>
  <c r="N251" i="76"/>
  <c r="M251" i="76"/>
  <c r="L251" i="76"/>
  <c r="K251" i="76"/>
  <c r="J251" i="76"/>
  <c r="I251" i="76"/>
  <c r="H251" i="76"/>
  <c r="G251" i="76"/>
  <c r="F251" i="76"/>
  <c r="E251" i="76"/>
  <c r="D251" i="76"/>
  <c r="C251" i="76"/>
  <c r="P251" i="76" s="1"/>
  <c r="O250" i="76"/>
  <c r="O402" i="76" s="1"/>
  <c r="N250" i="76"/>
  <c r="N402" i="76" s="1"/>
  <c r="M250" i="76"/>
  <c r="L250" i="76"/>
  <c r="L402" i="76" s="1"/>
  <c r="K250" i="76"/>
  <c r="K402" i="76" s="1"/>
  <c r="J250" i="76"/>
  <c r="J369" i="76" s="1"/>
  <c r="I250" i="76"/>
  <c r="H250" i="76"/>
  <c r="H402" i="76" s="1"/>
  <c r="G250" i="76"/>
  <c r="G402" i="76" s="1"/>
  <c r="F250" i="76"/>
  <c r="F369" i="76" s="1"/>
  <c r="E250" i="76"/>
  <c r="D250" i="76"/>
  <c r="D402" i="76" s="1"/>
  <c r="C250" i="76"/>
  <c r="C402" i="76" s="1"/>
  <c r="O247" i="76"/>
  <c r="N247" i="76"/>
  <c r="M247" i="76"/>
  <c r="L247" i="76"/>
  <c r="K247" i="76"/>
  <c r="J247" i="76"/>
  <c r="I247" i="76"/>
  <c r="H247" i="76"/>
  <c r="G247" i="76"/>
  <c r="F247" i="76"/>
  <c r="E247" i="76"/>
  <c r="D247" i="76"/>
  <c r="C247" i="76"/>
  <c r="P246" i="76"/>
  <c r="P391" i="76" s="1"/>
  <c r="P245" i="76"/>
  <c r="P244" i="76"/>
  <c r="P243" i="76"/>
  <c r="P242" i="76"/>
  <c r="P241" i="76"/>
  <c r="P240" i="76"/>
  <c r="P239" i="76"/>
  <c r="P238" i="76"/>
  <c r="P237" i="76"/>
  <c r="P236" i="76"/>
  <c r="P235" i="76"/>
  <c r="P234" i="76"/>
  <c r="P233" i="76"/>
  <c r="P232" i="76"/>
  <c r="P231" i="76"/>
  <c r="P230" i="76"/>
  <c r="P229" i="76"/>
  <c r="P228" i="76"/>
  <c r="P227" i="76"/>
  <c r="P226" i="76"/>
  <c r="P392" i="76" s="1"/>
  <c r="P225" i="76"/>
  <c r="P394" i="76" s="1"/>
  <c r="P224" i="76"/>
  <c r="P393" i="76" s="1"/>
  <c r="R223" i="76"/>
  <c r="P223" i="76"/>
  <c r="S223" i="76" s="1"/>
  <c r="R222" i="76"/>
  <c r="P222" i="76"/>
  <c r="S222" i="76" s="1"/>
  <c r="S221" i="76"/>
  <c r="R221" i="76"/>
  <c r="P221" i="76"/>
  <c r="S220" i="76"/>
  <c r="R220" i="76"/>
  <c r="P220" i="76"/>
  <c r="R219" i="76"/>
  <c r="P219" i="76"/>
  <c r="S219" i="76" s="1"/>
  <c r="R218" i="76"/>
  <c r="P218" i="76"/>
  <c r="S218" i="76" s="1"/>
  <c r="S217" i="76"/>
  <c r="R217" i="76"/>
  <c r="P217" i="76"/>
  <c r="S216" i="76"/>
  <c r="R216" i="76"/>
  <c r="P216" i="76"/>
  <c r="R215" i="76"/>
  <c r="P215" i="76"/>
  <c r="S215" i="76" s="1"/>
  <c r="R214" i="76"/>
  <c r="P214" i="76"/>
  <c r="S214" i="76" s="1"/>
  <c r="S213" i="76"/>
  <c r="R213" i="76"/>
  <c r="P213" i="76"/>
  <c r="S212" i="76"/>
  <c r="R212" i="76"/>
  <c r="P212" i="76"/>
  <c r="R211" i="76"/>
  <c r="P211" i="76"/>
  <c r="S211" i="76" s="1"/>
  <c r="R210" i="76"/>
  <c r="P210" i="76"/>
  <c r="S210" i="76" s="1"/>
  <c r="S209" i="76"/>
  <c r="R209" i="76"/>
  <c r="P209" i="76"/>
  <c r="S208" i="76"/>
  <c r="R208" i="76"/>
  <c r="P208" i="76"/>
  <c r="R207" i="76"/>
  <c r="P207" i="76"/>
  <c r="S207" i="76" s="1"/>
  <c r="R206" i="76"/>
  <c r="P206" i="76"/>
  <c r="S206" i="76" s="1"/>
  <c r="S205" i="76"/>
  <c r="R205" i="76"/>
  <c r="P205" i="76"/>
  <c r="S204" i="76"/>
  <c r="R204" i="76"/>
  <c r="P204" i="76"/>
  <c r="R203" i="76"/>
  <c r="P203" i="76"/>
  <c r="S203" i="76" s="1"/>
  <c r="P202" i="76"/>
  <c r="P201" i="76"/>
  <c r="P200" i="76"/>
  <c r="P199" i="76"/>
  <c r="P198" i="76"/>
  <c r="P197" i="76"/>
  <c r="P196" i="76"/>
  <c r="P195" i="76"/>
  <c r="P395" i="76" s="1"/>
  <c r="R194" i="76"/>
  <c r="P194" i="76"/>
  <c r="S194" i="76" s="1"/>
  <c r="P193" i="76"/>
  <c r="P192" i="76"/>
  <c r="P191" i="76"/>
  <c r="P390" i="76" s="1"/>
  <c r="P190" i="76"/>
  <c r="P189" i="76"/>
  <c r="P396" i="76" s="1"/>
  <c r="P188" i="76"/>
  <c r="P187" i="76"/>
  <c r="P186" i="76"/>
  <c r="P185" i="76"/>
  <c r="P184" i="76"/>
  <c r="P183" i="76"/>
  <c r="P182" i="76"/>
  <c r="P181" i="76"/>
  <c r="P180" i="76"/>
  <c r="P179" i="76"/>
  <c r="P178" i="76"/>
  <c r="P177" i="76"/>
  <c r="P176" i="76"/>
  <c r="P175" i="76"/>
  <c r="P174" i="76"/>
  <c r="P173" i="76"/>
  <c r="P172" i="76"/>
  <c r="P171" i="76"/>
  <c r="P170" i="76"/>
  <c r="P169" i="76"/>
  <c r="P168" i="76"/>
  <c r="P167" i="76"/>
  <c r="P166" i="76"/>
  <c r="P165" i="76"/>
  <c r="P164" i="76"/>
  <c r="P163" i="76"/>
  <c r="P162" i="76"/>
  <c r="P161" i="76"/>
  <c r="P160" i="76"/>
  <c r="P159" i="76"/>
  <c r="P158" i="76"/>
  <c r="P157" i="76"/>
  <c r="P156" i="76"/>
  <c r="P155" i="76"/>
  <c r="P154" i="76"/>
  <c r="P153" i="76"/>
  <c r="P152" i="76"/>
  <c r="P151" i="76"/>
  <c r="P150" i="76"/>
  <c r="P149" i="76"/>
  <c r="P148" i="76"/>
  <c r="P147" i="76"/>
  <c r="P146" i="76"/>
  <c r="P145" i="76"/>
  <c r="P144" i="76"/>
  <c r="P143" i="76"/>
  <c r="P142" i="76"/>
  <c r="P141" i="76"/>
  <c r="P140" i="76"/>
  <c r="P139" i="76"/>
  <c r="P138" i="76"/>
  <c r="P137" i="76"/>
  <c r="P136" i="76"/>
  <c r="P135" i="76"/>
  <c r="P389" i="76" s="1"/>
  <c r="P134" i="76"/>
  <c r="P133" i="76"/>
  <c r="P132" i="76"/>
  <c r="P131" i="76"/>
  <c r="P130" i="76"/>
  <c r="P387" i="76" s="1"/>
  <c r="P398" i="76" s="1"/>
  <c r="S129" i="76"/>
  <c r="R129" i="76"/>
  <c r="P129" i="76"/>
  <c r="S128" i="76"/>
  <c r="R128" i="76"/>
  <c r="R247" i="76" s="1"/>
  <c r="P128" i="76"/>
  <c r="P388" i="76" s="1"/>
  <c r="O125" i="76"/>
  <c r="N125" i="76"/>
  <c r="M125" i="76"/>
  <c r="L125" i="76"/>
  <c r="K125" i="76"/>
  <c r="J125" i="76"/>
  <c r="I125" i="76"/>
  <c r="H125" i="76"/>
  <c r="G125" i="76"/>
  <c r="F125" i="76"/>
  <c r="E125" i="76"/>
  <c r="D125" i="76"/>
  <c r="C125" i="76"/>
  <c r="P124" i="76"/>
  <c r="P377" i="76" s="1"/>
  <c r="P123" i="76"/>
  <c r="P122" i="76"/>
  <c r="P121" i="76"/>
  <c r="P120" i="76"/>
  <c r="P119" i="76"/>
  <c r="P118" i="76"/>
  <c r="P117" i="76"/>
  <c r="P116" i="76"/>
  <c r="P115" i="76"/>
  <c r="P114" i="76"/>
  <c r="P113" i="76"/>
  <c r="P112" i="76"/>
  <c r="P111" i="76"/>
  <c r="P110" i="76"/>
  <c r="P109" i="76"/>
  <c r="P108" i="76"/>
  <c r="P107" i="76"/>
  <c r="P106" i="76"/>
  <c r="P105" i="76"/>
  <c r="P104" i="76"/>
  <c r="P378" i="76" s="1"/>
  <c r="P103" i="76"/>
  <c r="P380" i="76" s="1"/>
  <c r="P102" i="76"/>
  <c r="P379" i="76" s="1"/>
  <c r="P101" i="76"/>
  <c r="P100" i="76"/>
  <c r="P99" i="76"/>
  <c r="P98" i="76"/>
  <c r="P97" i="76"/>
  <c r="P96" i="76"/>
  <c r="P95" i="76"/>
  <c r="P94" i="76"/>
  <c r="P93" i="76"/>
  <c r="P92" i="76"/>
  <c r="P91" i="76"/>
  <c r="P90" i="76"/>
  <c r="P89" i="76"/>
  <c r="P88" i="76"/>
  <c r="P87" i="76"/>
  <c r="P86" i="76"/>
  <c r="P85" i="76"/>
  <c r="P84" i="76"/>
  <c r="P83" i="76"/>
  <c r="P82" i="76"/>
  <c r="P81" i="76"/>
  <c r="P80" i="76"/>
  <c r="P79" i="76"/>
  <c r="P78" i="76"/>
  <c r="P77" i="76"/>
  <c r="P76" i="76"/>
  <c r="P75" i="76"/>
  <c r="P74" i="76"/>
  <c r="P73" i="76"/>
  <c r="P381" i="76" s="1"/>
  <c r="P72" i="76"/>
  <c r="P71" i="76"/>
  <c r="P70" i="76"/>
  <c r="P69" i="76"/>
  <c r="P376" i="76" s="1"/>
  <c r="P68" i="76"/>
  <c r="P67" i="76"/>
  <c r="P382" i="76" s="1"/>
  <c r="P66" i="76"/>
  <c r="P65" i="76"/>
  <c r="P64" i="76"/>
  <c r="P63" i="76"/>
  <c r="P62" i="76"/>
  <c r="P61" i="76"/>
  <c r="P60" i="76"/>
  <c r="P59" i="76"/>
  <c r="P58" i="76"/>
  <c r="P57" i="76"/>
  <c r="P56" i="76"/>
  <c r="P55" i="76"/>
  <c r="P54" i="76"/>
  <c r="P53" i="76"/>
  <c r="P52" i="76"/>
  <c r="P51" i="76"/>
  <c r="P50" i="76"/>
  <c r="P49" i="76"/>
  <c r="P48" i="76"/>
  <c r="P47" i="76"/>
  <c r="P46" i="76"/>
  <c r="P45" i="76"/>
  <c r="P44" i="76"/>
  <c r="P43" i="76"/>
  <c r="P42" i="76"/>
  <c r="P41" i="76"/>
  <c r="P40" i="76"/>
  <c r="P39" i="76"/>
  <c r="P38" i="76"/>
  <c r="P37" i="76"/>
  <c r="P36" i="76"/>
  <c r="P35" i="76"/>
  <c r="P34" i="76"/>
  <c r="P33" i="76"/>
  <c r="P32" i="76"/>
  <c r="P31" i="76"/>
  <c r="P30" i="76"/>
  <c r="P29" i="76"/>
  <c r="P28" i="76"/>
  <c r="P27" i="76"/>
  <c r="P26" i="76"/>
  <c r="P25" i="76"/>
  <c r="P24" i="76"/>
  <c r="P23" i="76"/>
  <c r="P22" i="76"/>
  <c r="P21" i="76"/>
  <c r="P20" i="76"/>
  <c r="P19" i="76"/>
  <c r="P18" i="76"/>
  <c r="P17" i="76"/>
  <c r="P16" i="76"/>
  <c r="P15" i="76"/>
  <c r="P14" i="76"/>
  <c r="P13" i="76"/>
  <c r="P375" i="76" s="1"/>
  <c r="P12" i="76"/>
  <c r="P11" i="76"/>
  <c r="P10" i="76"/>
  <c r="P9" i="76"/>
  <c r="P8" i="76"/>
  <c r="P373" i="76" s="1"/>
  <c r="P7" i="76"/>
  <c r="P6" i="76"/>
  <c r="P374" i="76" s="1"/>
  <c r="E390" i="1"/>
  <c r="E389" i="1"/>
  <c r="E388" i="1"/>
  <c r="E387" i="1"/>
  <c r="E386" i="1"/>
  <c r="E385" i="1"/>
  <c r="E384" i="1"/>
  <c r="E383" i="1"/>
  <c r="E367" i="1"/>
  <c r="E366" i="1"/>
  <c r="H365" i="1"/>
  <c r="G365" i="1"/>
  <c r="G364" i="1"/>
  <c r="G273" i="1"/>
  <c r="G272" i="1"/>
  <c r="G271" i="1"/>
  <c r="I270" i="1"/>
  <c r="G270" i="1"/>
  <c r="G269" i="1"/>
  <c r="I268" i="1"/>
  <c r="G268" i="1"/>
  <c r="G267" i="1"/>
  <c r="G265" i="1"/>
  <c r="G258" i="1"/>
  <c r="G257" i="1"/>
  <c r="I256" i="1"/>
  <c r="G256" i="1"/>
  <c r="G255" i="1"/>
  <c r="G251" i="1"/>
  <c r="G250" i="1"/>
  <c r="G248" i="1"/>
  <c r="G247" i="1"/>
  <c r="G243" i="1"/>
  <c r="G241" i="1"/>
  <c r="G240" i="1"/>
  <c r="G239" i="1"/>
  <c r="G230" i="1"/>
  <c r="G229" i="1"/>
  <c r="G228" i="1"/>
  <c r="G227" i="1"/>
  <c r="G226" i="1"/>
  <c r="G225" i="1"/>
  <c r="G224" i="1"/>
  <c r="G222" i="1"/>
  <c r="G221" i="1"/>
  <c r="G220" i="1"/>
  <c r="G219" i="1"/>
  <c r="G218" i="1"/>
  <c r="G217" i="1"/>
  <c r="G216" i="1"/>
  <c r="G215" i="1"/>
  <c r="G213" i="1"/>
  <c r="G208" i="1"/>
  <c r="G206" i="1"/>
  <c r="G201" i="1"/>
  <c r="G198" i="1"/>
  <c r="G196" i="1"/>
  <c r="G194" i="1"/>
  <c r="G189" i="1"/>
  <c r="G188" i="1"/>
  <c r="G186" i="1"/>
  <c r="G184" i="1"/>
  <c r="G183" i="1"/>
  <c r="G182" i="1"/>
  <c r="E173" i="1"/>
  <c r="E174" i="1" s="1"/>
  <c r="I172" i="1"/>
  <c r="H172" i="1"/>
  <c r="G172" i="1"/>
  <c r="E171" i="1"/>
  <c r="E170" i="1"/>
  <c r="E169" i="1"/>
  <c r="H30" i="1"/>
  <c r="E371" i="1"/>
  <c r="I30" i="64"/>
  <c r="H30" i="64"/>
  <c r="G30" i="64"/>
  <c r="F30" i="64"/>
  <c r="E30" i="64"/>
  <c r="D30" i="64"/>
  <c r="I29" i="64"/>
  <c r="H29" i="64"/>
  <c r="G29" i="64"/>
  <c r="F29" i="64"/>
  <c r="E29" i="64"/>
  <c r="D29" i="64"/>
  <c r="I27" i="64"/>
  <c r="H27" i="64"/>
  <c r="G27" i="64"/>
  <c r="F27" i="64"/>
  <c r="E27" i="64"/>
  <c r="D27" i="64"/>
  <c r="I26" i="64"/>
  <c r="H26" i="64"/>
  <c r="G26" i="64"/>
  <c r="F26" i="64"/>
  <c r="E26" i="64"/>
  <c r="D26" i="64"/>
  <c r="I23" i="64"/>
  <c r="H23" i="64"/>
  <c r="G23" i="64"/>
  <c r="F23" i="64"/>
  <c r="E23" i="64"/>
  <c r="D23" i="64"/>
  <c r="I22" i="64"/>
  <c r="H22" i="64"/>
  <c r="G22" i="64"/>
  <c r="F22" i="64"/>
  <c r="E22" i="64"/>
  <c r="D22" i="64"/>
  <c r="I20" i="64"/>
  <c r="H20" i="64"/>
  <c r="G20" i="64"/>
  <c r="F20" i="64"/>
  <c r="E20" i="64"/>
  <c r="D20" i="64"/>
  <c r="I19" i="64"/>
  <c r="H19" i="64"/>
  <c r="G19" i="64"/>
  <c r="F19" i="64"/>
  <c r="E19" i="64"/>
  <c r="D19" i="64"/>
  <c r="I46" i="64"/>
  <c r="H46" i="64"/>
  <c r="M18" i="48"/>
  <c r="L18" i="48"/>
  <c r="K17" i="48"/>
  <c r="J17" i="48"/>
  <c r="I17" i="48"/>
  <c r="H17" i="48"/>
  <c r="M16" i="48"/>
  <c r="L16" i="48"/>
  <c r="K16" i="48"/>
  <c r="J16" i="48"/>
  <c r="I16" i="48"/>
  <c r="H16" i="48"/>
  <c r="R13" i="11"/>
  <c r="Q13" i="11"/>
  <c r="P13" i="11"/>
  <c r="O13" i="11"/>
  <c r="N13" i="11"/>
  <c r="M13" i="11"/>
  <c r="R12" i="11"/>
  <c r="Q12" i="11"/>
  <c r="P12" i="11"/>
  <c r="O12" i="11"/>
  <c r="N12" i="11"/>
  <c r="M12" i="11"/>
  <c r="R11" i="11"/>
  <c r="Q11" i="11"/>
  <c r="P11" i="11"/>
  <c r="O11" i="11"/>
  <c r="N11" i="11"/>
  <c r="M11" i="11"/>
  <c r="L10" i="61"/>
  <c r="K10" i="61"/>
  <c r="J10" i="61"/>
  <c r="I10" i="61"/>
  <c r="H10" i="61"/>
  <c r="G10" i="61"/>
  <c r="L9" i="61"/>
  <c r="K9" i="61"/>
  <c r="J9" i="61"/>
  <c r="I9" i="61"/>
  <c r="H9" i="61"/>
  <c r="G9" i="61"/>
  <c r="L8" i="61"/>
  <c r="K8" i="61"/>
  <c r="J8" i="61"/>
  <c r="I8" i="61"/>
  <c r="H8" i="61"/>
  <c r="G8" i="61"/>
  <c r="H15" i="21"/>
  <c r="G15" i="21"/>
  <c r="F15" i="21"/>
  <c r="E15" i="21"/>
  <c r="D15" i="21"/>
  <c r="C15" i="21"/>
  <c r="H14" i="21"/>
  <c r="G14" i="21"/>
  <c r="F14" i="21"/>
  <c r="E14" i="21"/>
  <c r="D14" i="21"/>
  <c r="C14" i="21"/>
  <c r="H13" i="21"/>
  <c r="G13" i="21"/>
  <c r="F13" i="21"/>
  <c r="E13" i="21"/>
  <c r="D13" i="21"/>
  <c r="C13" i="21"/>
  <c r="E382" i="1"/>
  <c r="E381" i="1" s="1"/>
  <c r="Q103" i="68"/>
  <c r="D59" i="69" l="1"/>
  <c r="D46" i="69"/>
  <c r="D49" i="69" s="1"/>
  <c r="D52" i="69" s="1"/>
  <c r="I265" i="1"/>
  <c r="P384" i="76"/>
  <c r="P385" i="76" s="1"/>
  <c r="P409" i="76"/>
  <c r="P252" i="76"/>
  <c r="P348" i="76"/>
  <c r="L399" i="76"/>
  <c r="D409" i="77"/>
  <c r="L409" i="77"/>
  <c r="P125" i="76"/>
  <c r="E402" i="76"/>
  <c r="E412" i="76" s="1"/>
  <c r="E413" i="76" s="1"/>
  <c r="I402" i="76"/>
  <c r="I412" i="76" s="1"/>
  <c r="I413" i="76" s="1"/>
  <c r="M402" i="76"/>
  <c r="M412" i="76" s="1"/>
  <c r="M413" i="76" s="1"/>
  <c r="C403" i="76"/>
  <c r="G403" i="76"/>
  <c r="K403" i="76"/>
  <c r="O403" i="76"/>
  <c r="E409" i="76"/>
  <c r="I409" i="76"/>
  <c r="M409" i="76"/>
  <c r="C410" i="76"/>
  <c r="G410" i="76"/>
  <c r="K410" i="76"/>
  <c r="O410" i="76"/>
  <c r="C404" i="76"/>
  <c r="G404" i="76"/>
  <c r="K404" i="76"/>
  <c r="O404" i="76"/>
  <c r="C405" i="76"/>
  <c r="G405" i="76"/>
  <c r="K405" i="76"/>
  <c r="O405" i="76"/>
  <c r="E406" i="76"/>
  <c r="I406" i="76"/>
  <c r="M406" i="76"/>
  <c r="D369" i="76"/>
  <c r="H369" i="76"/>
  <c r="L369" i="76"/>
  <c r="F398" i="76"/>
  <c r="F399" i="76" s="1"/>
  <c r="J398" i="76"/>
  <c r="J399" i="76" s="1"/>
  <c r="N398" i="76"/>
  <c r="N399" i="76" s="1"/>
  <c r="F402" i="76"/>
  <c r="D409" i="76"/>
  <c r="D402" i="77"/>
  <c r="D369" i="77"/>
  <c r="P250" i="77"/>
  <c r="P250" i="76"/>
  <c r="P346" i="76"/>
  <c r="H409" i="77"/>
  <c r="P317" i="77"/>
  <c r="F401" i="76"/>
  <c r="J401" i="76"/>
  <c r="N401" i="76"/>
  <c r="P257" i="76"/>
  <c r="F409" i="76"/>
  <c r="J409" i="76"/>
  <c r="N409" i="76"/>
  <c r="D410" i="76"/>
  <c r="H410" i="76"/>
  <c r="L410" i="76"/>
  <c r="P311" i="76"/>
  <c r="D404" i="76"/>
  <c r="D412" i="76" s="1"/>
  <c r="D413" i="76" s="1"/>
  <c r="H404" i="76"/>
  <c r="H412" i="76" s="1"/>
  <c r="H413" i="76" s="1"/>
  <c r="L404" i="76"/>
  <c r="L412" i="76" s="1"/>
  <c r="L413" i="76" s="1"/>
  <c r="P313" i="76"/>
  <c r="P404" i="76" s="1"/>
  <c r="P325" i="76"/>
  <c r="P405" i="76" s="1"/>
  <c r="P347" i="76"/>
  <c r="E369" i="76"/>
  <c r="I369" i="76"/>
  <c r="M369" i="76"/>
  <c r="C398" i="76"/>
  <c r="C399" i="76" s="1"/>
  <c r="G398" i="76"/>
  <c r="G399" i="76" s="1"/>
  <c r="K398" i="76"/>
  <c r="K399" i="76" s="1"/>
  <c r="O398" i="76"/>
  <c r="O399" i="76" s="1"/>
  <c r="J402" i="76"/>
  <c r="P247" i="76"/>
  <c r="P399" i="76" s="1"/>
  <c r="P258" i="76"/>
  <c r="D399" i="76"/>
  <c r="C409" i="76"/>
  <c r="C412" i="76" s="1"/>
  <c r="C413" i="76" s="1"/>
  <c r="G409" i="76"/>
  <c r="G412" i="76" s="1"/>
  <c r="G413" i="76" s="1"/>
  <c r="K409" i="76"/>
  <c r="K412" i="76" s="1"/>
  <c r="K413" i="76" s="1"/>
  <c r="O409" i="76"/>
  <c r="O412" i="76" s="1"/>
  <c r="O413" i="76" s="1"/>
  <c r="N369" i="76"/>
  <c r="P388" i="77"/>
  <c r="S128" i="77"/>
  <c r="P247" i="77"/>
  <c r="P373" i="77"/>
  <c r="P378" i="77"/>
  <c r="P377" i="77"/>
  <c r="R247" i="77"/>
  <c r="P396" i="77"/>
  <c r="P395" i="77"/>
  <c r="P391" i="77"/>
  <c r="F401" i="77"/>
  <c r="J401" i="77"/>
  <c r="N401" i="77"/>
  <c r="P326" i="77"/>
  <c r="P334" i="77"/>
  <c r="C406" i="77"/>
  <c r="P348" i="77"/>
  <c r="G405" i="77"/>
  <c r="K405" i="77"/>
  <c r="O405" i="77"/>
  <c r="F399" i="77"/>
  <c r="J399" i="77"/>
  <c r="N399" i="77"/>
  <c r="C405" i="77"/>
  <c r="P375" i="77"/>
  <c r="P376" i="77"/>
  <c r="P381" i="77"/>
  <c r="P387" i="77"/>
  <c r="P392" i="77"/>
  <c r="F402" i="77"/>
  <c r="F369" i="77"/>
  <c r="J402" i="77"/>
  <c r="J369" i="77"/>
  <c r="N402" i="77"/>
  <c r="N369" i="77"/>
  <c r="P254" i="77"/>
  <c r="D403" i="77"/>
  <c r="H403" i="77"/>
  <c r="L403" i="77"/>
  <c r="P257" i="77"/>
  <c r="P262" i="77"/>
  <c r="P270" i="77"/>
  <c r="P278" i="77"/>
  <c r="P286" i="77"/>
  <c r="P294" i="77"/>
  <c r="P302" i="77"/>
  <c r="P310" i="77"/>
  <c r="D404" i="77"/>
  <c r="H404" i="77"/>
  <c r="L404" i="77"/>
  <c r="P313" i="77"/>
  <c r="P318" i="77"/>
  <c r="P324" i="77"/>
  <c r="P332" i="77"/>
  <c r="C385" i="77"/>
  <c r="G385" i="77"/>
  <c r="O385" i="77"/>
  <c r="P374" i="77"/>
  <c r="P125" i="77"/>
  <c r="P389" i="77"/>
  <c r="P390" i="77"/>
  <c r="S246" i="77"/>
  <c r="P260" i="77"/>
  <c r="P268" i="77"/>
  <c r="P276" i="77"/>
  <c r="P284" i="77"/>
  <c r="P292" i="77"/>
  <c r="P300" i="77"/>
  <c r="P308" i="77"/>
  <c r="P311" i="77"/>
  <c r="P316" i="77"/>
  <c r="P322" i="77"/>
  <c r="P330" i="77"/>
  <c r="P405" i="77" s="1"/>
  <c r="P338" i="77"/>
  <c r="C402" i="77"/>
  <c r="C412" i="77" s="1"/>
  <c r="C413" i="77" s="1"/>
  <c r="C369" i="77"/>
  <c r="G402" i="77"/>
  <c r="G412" i="77" s="1"/>
  <c r="G413" i="77" s="1"/>
  <c r="G369" i="77"/>
  <c r="K402" i="77"/>
  <c r="K412" i="77" s="1"/>
  <c r="K413" i="77" s="1"/>
  <c r="K369" i="77"/>
  <c r="O402" i="77"/>
  <c r="O412" i="77" s="1"/>
  <c r="O413" i="77" s="1"/>
  <c r="O369" i="77"/>
  <c r="E409" i="77"/>
  <c r="I409" i="77"/>
  <c r="M409" i="77"/>
  <c r="D405" i="77"/>
  <c r="H405" i="77"/>
  <c r="L405" i="77"/>
  <c r="E369" i="77"/>
  <c r="D385" i="77"/>
  <c r="H385" i="77"/>
  <c r="L385" i="77"/>
  <c r="H402" i="77"/>
  <c r="H369" i="77"/>
  <c r="L402" i="77"/>
  <c r="L369" i="77"/>
  <c r="D401" i="77"/>
  <c r="D412" i="77" s="1"/>
  <c r="D413" i="77" s="1"/>
  <c r="H401" i="77"/>
  <c r="L401" i="77"/>
  <c r="L412" i="77" s="1"/>
  <c r="P252" i="77"/>
  <c r="F403" i="77"/>
  <c r="J403" i="77"/>
  <c r="N403" i="77"/>
  <c r="F410" i="77"/>
  <c r="J410" i="77"/>
  <c r="N410" i="77"/>
  <c r="F404" i="77"/>
  <c r="J404" i="77"/>
  <c r="N404" i="77"/>
  <c r="F409" i="77"/>
  <c r="J409" i="77"/>
  <c r="N409" i="77"/>
  <c r="E405" i="77"/>
  <c r="I405" i="77"/>
  <c r="M405" i="77"/>
  <c r="I369" i="77"/>
  <c r="E384" i="77"/>
  <c r="E385" i="77" s="1"/>
  <c r="I384" i="77"/>
  <c r="I385" i="77" s="1"/>
  <c r="M384" i="77"/>
  <c r="M385" i="77" s="1"/>
  <c r="D399" i="77"/>
  <c r="H399" i="77"/>
  <c r="L399" i="77"/>
  <c r="E412" i="77"/>
  <c r="E413" i="77" s="1"/>
  <c r="I412" i="77"/>
  <c r="I413" i="77" s="1"/>
  <c r="M412" i="77"/>
  <c r="M413" i="77" s="1"/>
  <c r="C410" i="77"/>
  <c r="G410" i="77"/>
  <c r="K410" i="77"/>
  <c r="O410" i="77"/>
  <c r="C404" i="77"/>
  <c r="G404" i="77"/>
  <c r="K404" i="77"/>
  <c r="O404" i="77"/>
  <c r="P339" i="77"/>
  <c r="P343" i="77"/>
  <c r="P347" i="77"/>
  <c r="P351" i="77"/>
  <c r="P355" i="77"/>
  <c r="P359" i="77"/>
  <c r="P363" i="77"/>
  <c r="P367" i="77"/>
  <c r="F405" i="77"/>
  <c r="J405" i="77"/>
  <c r="N405" i="77"/>
  <c r="F385" i="77"/>
  <c r="J385" i="77"/>
  <c r="N385" i="77"/>
  <c r="E398" i="77"/>
  <c r="E399" i="77" s="1"/>
  <c r="I398" i="77"/>
  <c r="I399" i="77" s="1"/>
  <c r="M398" i="77"/>
  <c r="M399" i="77" s="1"/>
  <c r="C407" i="77"/>
  <c r="C408" i="77"/>
  <c r="E363" i="1"/>
  <c r="E29" i="12"/>
  <c r="E28" i="12"/>
  <c r="E27" i="12"/>
  <c r="E26" i="12"/>
  <c r="E25" i="12"/>
  <c r="E24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J24" i="2"/>
  <c r="I24" i="2"/>
  <c r="H24" i="2"/>
  <c r="G24" i="2"/>
  <c r="F24" i="2"/>
  <c r="E24" i="2"/>
  <c r="J22" i="2"/>
  <c r="I22" i="2"/>
  <c r="H22" i="2"/>
  <c r="G22" i="2"/>
  <c r="F22" i="2"/>
  <c r="E22" i="2"/>
  <c r="J21" i="2"/>
  <c r="I21" i="2"/>
  <c r="H21" i="2"/>
  <c r="G21" i="2"/>
  <c r="F21" i="2"/>
  <c r="E21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4" i="2"/>
  <c r="I14" i="2"/>
  <c r="H14" i="2"/>
  <c r="G14" i="2"/>
  <c r="F14" i="2"/>
  <c r="E14" i="2"/>
  <c r="AB25" i="68"/>
  <c r="Z25" i="68"/>
  <c r="Z24" i="68"/>
  <c r="Z23" i="68"/>
  <c r="Z15" i="68" s="1"/>
  <c r="Y23" i="68"/>
  <c r="Z21" i="68"/>
  <c r="Z20" i="68"/>
  <c r="Y20" i="68"/>
  <c r="Y10" i="68" s="1"/>
  <c r="W20" i="68"/>
  <c r="Z19" i="68"/>
  <c r="Y19" i="68"/>
  <c r="X19" i="68"/>
  <c r="X12" i="68" s="1"/>
  <c r="W19" i="68"/>
  <c r="U19" i="68"/>
  <c r="V18" i="68"/>
  <c r="U18" i="68"/>
  <c r="U10" i="68" s="1"/>
  <c r="AB16" i="68"/>
  <c r="AA16" i="68"/>
  <c r="Z16" i="68"/>
  <c r="Y16" i="68"/>
  <c r="X16" i="68"/>
  <c r="W16" i="68"/>
  <c r="V16" i="68"/>
  <c r="U16" i="68"/>
  <c r="AB15" i="68"/>
  <c r="AA15" i="68"/>
  <c r="Y15" i="68"/>
  <c r="X15" i="68"/>
  <c r="W15" i="68"/>
  <c r="V15" i="68"/>
  <c r="U15" i="68"/>
  <c r="AB13" i="68"/>
  <c r="AA13" i="68"/>
  <c r="Z13" i="68"/>
  <c r="Y13" i="68"/>
  <c r="X13" i="68"/>
  <c r="W13" i="68"/>
  <c r="V13" i="68"/>
  <c r="U13" i="68"/>
  <c r="AB12" i="68"/>
  <c r="AA12" i="68"/>
  <c r="Z12" i="68"/>
  <c r="Y12" i="68"/>
  <c r="W12" i="68"/>
  <c r="V12" i="68"/>
  <c r="U12" i="68"/>
  <c r="AB10" i="68"/>
  <c r="AA10" i="68"/>
  <c r="Z10" i="68"/>
  <c r="W10" i="68"/>
  <c r="V10" i="68"/>
  <c r="AB25" i="67"/>
  <c r="Z25" i="67"/>
  <c r="Z24" i="67"/>
  <c r="Z23" i="67"/>
  <c r="Z15" i="67" s="1"/>
  <c r="Y23" i="67"/>
  <c r="Z21" i="67"/>
  <c r="Z20" i="67"/>
  <c r="Y20" i="67"/>
  <c r="W20" i="67"/>
  <c r="Z19" i="67"/>
  <c r="Y19" i="67"/>
  <c r="Y10" i="67" s="1"/>
  <c r="X19" i="67"/>
  <c r="X12" i="67" s="1"/>
  <c r="W19" i="67"/>
  <c r="U19" i="67"/>
  <c r="V18" i="67"/>
  <c r="U18" i="67"/>
  <c r="U10" i="67" s="1"/>
  <c r="AB16" i="67"/>
  <c r="AA16" i="67"/>
  <c r="Z16" i="67"/>
  <c r="Y16" i="67"/>
  <c r="X16" i="67"/>
  <c r="W16" i="67"/>
  <c r="V16" i="67"/>
  <c r="U16" i="67"/>
  <c r="AB15" i="67"/>
  <c r="AA15" i="67"/>
  <c r="Y15" i="67"/>
  <c r="X15" i="67"/>
  <c r="W15" i="67"/>
  <c r="V15" i="67"/>
  <c r="U15" i="67"/>
  <c r="AB13" i="67"/>
  <c r="AA13" i="67"/>
  <c r="Z13" i="67"/>
  <c r="Y13" i="67"/>
  <c r="X13" i="67"/>
  <c r="W13" i="67"/>
  <c r="V13" i="67"/>
  <c r="U13" i="67"/>
  <c r="AB12" i="67"/>
  <c r="AA12" i="67"/>
  <c r="Z12" i="67"/>
  <c r="Y12" i="67"/>
  <c r="W12" i="67"/>
  <c r="V12" i="67"/>
  <c r="U12" i="67"/>
  <c r="AB10" i="67"/>
  <c r="AA10" i="67"/>
  <c r="Z10" i="67"/>
  <c r="W10" i="67"/>
  <c r="V10" i="67"/>
  <c r="AB51" i="66"/>
  <c r="AB52" i="66"/>
  <c r="AB53" i="66"/>
  <c r="AB43" i="66"/>
  <c r="AB29" i="66"/>
  <c r="S53" i="66"/>
  <c r="S52" i="66"/>
  <c r="S51" i="66"/>
  <c r="Y48" i="66"/>
  <c r="Y47" i="66"/>
  <c r="X47" i="66"/>
  <c r="X43" i="66" s="1"/>
  <c r="V47" i="66"/>
  <c r="Y46" i="66"/>
  <c r="X46" i="66"/>
  <c r="W46" i="66"/>
  <c r="V46" i="66"/>
  <c r="T46" i="66"/>
  <c r="U45" i="66"/>
  <c r="T45" i="66"/>
  <c r="T43" i="66" s="1"/>
  <c r="Y43" i="66"/>
  <c r="W43" i="66"/>
  <c r="W53" i="66" s="1"/>
  <c r="V43" i="66"/>
  <c r="U43" i="66"/>
  <c r="U53" i="66" s="1"/>
  <c r="AA40" i="66"/>
  <c r="Y40" i="66"/>
  <c r="Y39" i="66"/>
  <c r="Y38" i="66"/>
  <c r="X38" i="66"/>
  <c r="Y36" i="66"/>
  <c r="Y35" i="66"/>
  <c r="X35" i="66"/>
  <c r="V35" i="66"/>
  <c r="Y34" i="66"/>
  <c r="X34" i="66"/>
  <c r="W34" i="66"/>
  <c r="V34" i="66"/>
  <c r="V29" i="66" s="1"/>
  <c r="V51" i="66" s="1"/>
  <c r="T34" i="66"/>
  <c r="U33" i="66"/>
  <c r="T33" i="66"/>
  <c r="Y31" i="66"/>
  <c r="X31" i="66"/>
  <c r="W31" i="66"/>
  <c r="U31" i="66"/>
  <c r="T31" i="66"/>
  <c r="Y29" i="66"/>
  <c r="Y51" i="66" s="1"/>
  <c r="X29" i="66"/>
  <c r="W29" i="66"/>
  <c r="W51" i="66" s="1"/>
  <c r="U29" i="66"/>
  <c r="U51" i="66" s="1"/>
  <c r="T29" i="66"/>
  <c r="T51" i="66" s="1"/>
  <c r="AA25" i="66"/>
  <c r="Y25" i="66"/>
  <c r="Y24" i="66"/>
  <c r="Y23" i="66"/>
  <c r="Y15" i="66" s="1"/>
  <c r="X23" i="66"/>
  <c r="Y21" i="66"/>
  <c r="Y20" i="66"/>
  <c r="X20" i="66"/>
  <c r="X10" i="66" s="1"/>
  <c r="V20" i="66"/>
  <c r="Y19" i="66"/>
  <c r="X19" i="66"/>
  <c r="W19" i="66"/>
  <c r="W12" i="66" s="1"/>
  <c r="V19" i="66"/>
  <c r="T19" i="66"/>
  <c r="U18" i="66"/>
  <c r="T18" i="66"/>
  <c r="T10" i="66" s="1"/>
  <c r="AA16" i="66"/>
  <c r="Z16" i="66"/>
  <c r="Y16" i="66"/>
  <c r="X16" i="66"/>
  <c r="W16" i="66"/>
  <c r="V16" i="66"/>
  <c r="U16" i="66"/>
  <c r="T16" i="66"/>
  <c r="AA15" i="66"/>
  <c r="Z15" i="66"/>
  <c r="X15" i="66"/>
  <c r="W15" i="66"/>
  <c r="V15" i="66"/>
  <c r="U15" i="66"/>
  <c r="T15" i="66"/>
  <c r="AA13" i="66"/>
  <c r="Z13" i="66"/>
  <c r="Y13" i="66"/>
  <c r="X13" i="66"/>
  <c r="W13" i="66"/>
  <c r="V13" i="66"/>
  <c r="U13" i="66"/>
  <c r="T13" i="66"/>
  <c r="AA12" i="66"/>
  <c r="Z12" i="66"/>
  <c r="Y12" i="66"/>
  <c r="X12" i="66"/>
  <c r="V12" i="66"/>
  <c r="U12" i="66"/>
  <c r="T12" i="66"/>
  <c r="AA10" i="66"/>
  <c r="Z10" i="66"/>
  <c r="Y10" i="66"/>
  <c r="V10" i="66"/>
  <c r="U10" i="66"/>
  <c r="R83" i="66"/>
  <c r="Q83" i="66"/>
  <c r="R81" i="66"/>
  <c r="Q81" i="66"/>
  <c r="R73" i="66"/>
  <c r="Q73" i="66"/>
  <c r="R61" i="66"/>
  <c r="Q61" i="66"/>
  <c r="R53" i="66"/>
  <c r="Q53" i="66"/>
  <c r="R48" i="66"/>
  <c r="Q48" i="66"/>
  <c r="R36" i="66"/>
  <c r="Q36" i="66"/>
  <c r="R28" i="66"/>
  <c r="Q28" i="66"/>
  <c r="R24" i="66"/>
  <c r="Q24" i="66"/>
  <c r="R22" i="66"/>
  <c r="Q22" i="66"/>
  <c r="R14" i="66"/>
  <c r="Q14" i="66"/>
  <c r="R10" i="66"/>
  <c r="Q10" i="66"/>
  <c r="R9" i="66"/>
  <c r="Q9" i="66"/>
  <c r="R8" i="66"/>
  <c r="Q8" i="66"/>
  <c r="R7" i="66"/>
  <c r="Q7" i="66"/>
  <c r="R6" i="66"/>
  <c r="Q6" i="66"/>
  <c r="Y25" i="65"/>
  <c r="Y16" i="65" s="1"/>
  <c r="W25" i="65"/>
  <c r="W24" i="65"/>
  <c r="V24" i="65"/>
  <c r="W23" i="65"/>
  <c r="V23" i="65"/>
  <c r="W21" i="65"/>
  <c r="V21" i="65"/>
  <c r="W20" i="65"/>
  <c r="V20" i="65"/>
  <c r="T20" i="65"/>
  <c r="W19" i="65"/>
  <c r="V19" i="65"/>
  <c r="V12" i="65" s="1"/>
  <c r="U19" i="65"/>
  <c r="U12" i="65" s="1"/>
  <c r="T19" i="65"/>
  <c r="R19" i="65"/>
  <c r="S18" i="65"/>
  <c r="R18" i="65"/>
  <c r="X16" i="65"/>
  <c r="W16" i="65"/>
  <c r="V16" i="65"/>
  <c r="U16" i="65"/>
  <c r="T16" i="65"/>
  <c r="S16" i="65"/>
  <c r="R16" i="65"/>
  <c r="Y15" i="65"/>
  <c r="X15" i="65"/>
  <c r="W15" i="65"/>
  <c r="V15" i="65"/>
  <c r="U15" i="65"/>
  <c r="T15" i="65"/>
  <c r="S15" i="65"/>
  <c r="R15" i="65"/>
  <c r="Y13" i="65"/>
  <c r="X13" i="65"/>
  <c r="W13" i="65"/>
  <c r="V13" i="65"/>
  <c r="U13" i="65"/>
  <c r="T13" i="65"/>
  <c r="S13" i="65"/>
  <c r="R13" i="65"/>
  <c r="Y12" i="65"/>
  <c r="X12" i="65"/>
  <c r="W12" i="65"/>
  <c r="T12" i="65"/>
  <c r="S12" i="65"/>
  <c r="R12" i="65"/>
  <c r="X10" i="65"/>
  <c r="W10" i="65"/>
  <c r="U10" i="65"/>
  <c r="T10" i="65"/>
  <c r="S10" i="65"/>
  <c r="R10" i="65"/>
  <c r="J98" i="68"/>
  <c r="G97" i="68"/>
  <c r="H91" i="68"/>
  <c r="Q80" i="68"/>
  <c r="Q79" i="68"/>
  <c r="Q78" i="68"/>
  <c r="Q77" i="68"/>
  <c r="Q76" i="68"/>
  <c r="Q75" i="68"/>
  <c r="Q72" i="68"/>
  <c r="Q71" i="68"/>
  <c r="Q70" i="68"/>
  <c r="Q69" i="68"/>
  <c r="Q68" i="68"/>
  <c r="Q67" i="68"/>
  <c r="Q64" i="68"/>
  <c r="Q63" i="68"/>
  <c r="Q60" i="68"/>
  <c r="Q59" i="68"/>
  <c r="Q58" i="68"/>
  <c r="Q57" i="68"/>
  <c r="Q56" i="68"/>
  <c r="Q55" i="68"/>
  <c r="Q52" i="68"/>
  <c r="Q51" i="68"/>
  <c r="Q47" i="68"/>
  <c r="Q46" i="68"/>
  <c r="Q45" i="68"/>
  <c r="Q44" i="68"/>
  <c r="Q43" i="68"/>
  <c r="Q42" i="68"/>
  <c r="Q39" i="68"/>
  <c r="Q38" i="68"/>
  <c r="Q35" i="68"/>
  <c r="Q34" i="68"/>
  <c r="Q33" i="68"/>
  <c r="Q32" i="68"/>
  <c r="Q31" i="68"/>
  <c r="Q30" i="68"/>
  <c r="Q27" i="68"/>
  <c r="Q26" i="68"/>
  <c r="Q21" i="68"/>
  <c r="Q20" i="68"/>
  <c r="Q19" i="68"/>
  <c r="Q18" i="68"/>
  <c r="Q17" i="68"/>
  <c r="Q16" i="68"/>
  <c r="Q13" i="68"/>
  <c r="Q12" i="68"/>
  <c r="I90" i="68"/>
  <c r="N98" i="67"/>
  <c r="J98" i="67"/>
  <c r="F98" i="67"/>
  <c r="O97" i="67"/>
  <c r="K97" i="67"/>
  <c r="G97" i="67"/>
  <c r="P96" i="67"/>
  <c r="L96" i="67"/>
  <c r="H96" i="67"/>
  <c r="H91" i="67"/>
  <c r="E90" i="67"/>
  <c r="P98" i="68"/>
  <c r="O98" i="67"/>
  <c r="N98" i="68"/>
  <c r="M98" i="68"/>
  <c r="L98" i="68"/>
  <c r="I98" i="68"/>
  <c r="H98" i="68"/>
  <c r="F98" i="68"/>
  <c r="O97" i="68"/>
  <c r="N97" i="68"/>
  <c r="M97" i="68"/>
  <c r="K97" i="68"/>
  <c r="J97" i="68"/>
  <c r="I97" i="68"/>
  <c r="F97" i="68"/>
  <c r="Q80" i="67"/>
  <c r="Q79" i="67"/>
  <c r="Q78" i="67"/>
  <c r="Q77" i="67"/>
  <c r="Q76" i="67"/>
  <c r="Q75" i="67"/>
  <c r="Q72" i="67"/>
  <c r="Q71" i="67"/>
  <c r="Q70" i="67"/>
  <c r="Q69" i="67"/>
  <c r="Q68" i="67"/>
  <c r="Q67" i="67"/>
  <c r="P96" i="68"/>
  <c r="M96" i="68"/>
  <c r="L96" i="68"/>
  <c r="I96" i="68"/>
  <c r="H96" i="68"/>
  <c r="Q64" i="67"/>
  <c r="Q63" i="67"/>
  <c r="M95" i="68"/>
  <c r="M99" i="68" s="1"/>
  <c r="I95" i="67"/>
  <c r="Q60" i="67"/>
  <c r="Q59" i="67"/>
  <c r="Q58" i="67"/>
  <c r="Q57" i="67"/>
  <c r="Q56" i="67"/>
  <c r="Q55" i="67"/>
  <c r="Q52" i="67"/>
  <c r="Q51" i="67"/>
  <c r="K92" i="68"/>
  <c r="Q47" i="67"/>
  <c r="Q46" i="67"/>
  <c r="Q45" i="67"/>
  <c r="Q44" i="67"/>
  <c r="Q43" i="67"/>
  <c r="Q42" i="67"/>
  <c r="P92" i="68"/>
  <c r="M92" i="68"/>
  <c r="L92" i="68"/>
  <c r="I92" i="68"/>
  <c r="H92" i="68"/>
  <c r="F92" i="67"/>
  <c r="Q39" i="67"/>
  <c r="Q38" i="67"/>
  <c r="Q35" i="67"/>
  <c r="Q34" i="67"/>
  <c r="Q33" i="67"/>
  <c r="Q32" i="67"/>
  <c r="Q31" i="67"/>
  <c r="Q30" i="67"/>
  <c r="Q27" i="67"/>
  <c r="Q26" i="67"/>
  <c r="P91" i="68"/>
  <c r="N91" i="68"/>
  <c r="L91" i="68"/>
  <c r="J91" i="68"/>
  <c r="G91" i="67"/>
  <c r="F91" i="68"/>
  <c r="Q21" i="67"/>
  <c r="Q20" i="67"/>
  <c r="Q19" i="67"/>
  <c r="Q18" i="67"/>
  <c r="Q17" i="67"/>
  <c r="Q16" i="67"/>
  <c r="Q13" i="67"/>
  <c r="Q12" i="67"/>
  <c r="Q9" i="67"/>
  <c r="O90" i="68"/>
  <c r="N90" i="68"/>
  <c r="M90" i="67"/>
  <c r="I90" i="67"/>
  <c r="O98" i="66"/>
  <c r="K98" i="66"/>
  <c r="G98" i="66"/>
  <c r="H97" i="66"/>
  <c r="D97" i="66"/>
  <c r="M96" i="66"/>
  <c r="N98" i="66"/>
  <c r="M98" i="66"/>
  <c r="L98" i="66"/>
  <c r="J98" i="66"/>
  <c r="I98" i="66"/>
  <c r="H98" i="66"/>
  <c r="F98" i="66"/>
  <c r="E98" i="66"/>
  <c r="D98" i="66"/>
  <c r="O81" i="66"/>
  <c r="O97" i="66" s="1"/>
  <c r="N81" i="66"/>
  <c r="N97" i="66" s="1"/>
  <c r="M81" i="66"/>
  <c r="M97" i="66" s="1"/>
  <c r="L81" i="66"/>
  <c r="L97" i="66" s="1"/>
  <c r="K81" i="66"/>
  <c r="K97" i="66" s="1"/>
  <c r="J81" i="66"/>
  <c r="J97" i="66" s="1"/>
  <c r="I81" i="66"/>
  <c r="I97" i="66" s="1"/>
  <c r="H81" i="66"/>
  <c r="G81" i="66"/>
  <c r="G97" i="66" s="1"/>
  <c r="F81" i="66"/>
  <c r="F97" i="66" s="1"/>
  <c r="E81" i="66"/>
  <c r="E97" i="66" s="1"/>
  <c r="D81" i="66"/>
  <c r="F73" i="66"/>
  <c r="O73" i="66"/>
  <c r="N73" i="66"/>
  <c r="M73" i="66"/>
  <c r="L73" i="66"/>
  <c r="K73" i="66"/>
  <c r="J73" i="66"/>
  <c r="I73" i="66"/>
  <c r="H73" i="66"/>
  <c r="G73" i="66"/>
  <c r="E73" i="66"/>
  <c r="D73" i="66"/>
  <c r="O65" i="66"/>
  <c r="O96" i="66" s="1"/>
  <c r="N65" i="66"/>
  <c r="M65" i="66"/>
  <c r="L65" i="66"/>
  <c r="K65" i="66"/>
  <c r="K96" i="66" s="1"/>
  <c r="J65" i="66"/>
  <c r="I65" i="66"/>
  <c r="I96" i="66" s="1"/>
  <c r="H65" i="66"/>
  <c r="G65" i="66"/>
  <c r="G96" i="66" s="1"/>
  <c r="F65" i="66"/>
  <c r="E65" i="66"/>
  <c r="E96" i="66" s="1"/>
  <c r="D65" i="66"/>
  <c r="H61" i="66"/>
  <c r="O61" i="66"/>
  <c r="O95" i="66" s="1"/>
  <c r="N61" i="66"/>
  <c r="M61" i="66"/>
  <c r="L61" i="66"/>
  <c r="L95" i="66" s="1"/>
  <c r="K61" i="66"/>
  <c r="K95" i="66" s="1"/>
  <c r="J61" i="66"/>
  <c r="I61" i="66"/>
  <c r="G61" i="66"/>
  <c r="G95" i="66" s="1"/>
  <c r="F61" i="66"/>
  <c r="F95" i="66" s="1"/>
  <c r="E61" i="66"/>
  <c r="D61" i="66"/>
  <c r="M53" i="66"/>
  <c r="E53" i="66"/>
  <c r="O53" i="66"/>
  <c r="N53" i="66"/>
  <c r="N95" i="66" s="1"/>
  <c r="L53" i="66"/>
  <c r="K53" i="66"/>
  <c r="J53" i="66"/>
  <c r="J95" i="66" s="1"/>
  <c r="I53" i="66"/>
  <c r="H53" i="66"/>
  <c r="G53" i="66"/>
  <c r="F53" i="66"/>
  <c r="D53" i="66"/>
  <c r="J48" i="66"/>
  <c r="O48" i="66"/>
  <c r="N48" i="66"/>
  <c r="M48" i="66"/>
  <c r="L48" i="66"/>
  <c r="K48" i="66"/>
  <c r="I48" i="66"/>
  <c r="H48" i="66"/>
  <c r="G48" i="66"/>
  <c r="F48" i="66"/>
  <c r="E48" i="66"/>
  <c r="D48" i="66"/>
  <c r="O40" i="66"/>
  <c r="O92" i="66" s="1"/>
  <c r="K40" i="66"/>
  <c r="G40" i="66"/>
  <c r="G92" i="66" s="1"/>
  <c r="N40" i="66"/>
  <c r="M40" i="66"/>
  <c r="L40" i="66"/>
  <c r="L92" i="66" s="1"/>
  <c r="J40" i="66"/>
  <c r="I40" i="66"/>
  <c r="H40" i="66"/>
  <c r="H92" i="66" s="1"/>
  <c r="F40" i="66"/>
  <c r="E40" i="66"/>
  <c r="D40" i="66"/>
  <c r="P40" i="66" s="1"/>
  <c r="O36" i="66"/>
  <c r="N36" i="66"/>
  <c r="M36" i="66"/>
  <c r="L36" i="66"/>
  <c r="K36" i="66"/>
  <c r="J36" i="66"/>
  <c r="I36" i="66"/>
  <c r="H36" i="66"/>
  <c r="G36" i="66"/>
  <c r="F36" i="66"/>
  <c r="E36" i="66"/>
  <c r="D36" i="66"/>
  <c r="P36" i="66" s="1"/>
  <c r="O28" i="66"/>
  <c r="N28" i="66"/>
  <c r="M28" i="66"/>
  <c r="L28" i="66"/>
  <c r="K28" i="66"/>
  <c r="J28" i="66"/>
  <c r="I28" i="66"/>
  <c r="H28" i="66"/>
  <c r="G28" i="66"/>
  <c r="F28" i="66"/>
  <c r="E28" i="66"/>
  <c r="D28" i="66"/>
  <c r="P28" i="66" s="1"/>
  <c r="N91" i="66"/>
  <c r="M91" i="66"/>
  <c r="I91" i="66"/>
  <c r="E91" i="66"/>
  <c r="O22" i="66"/>
  <c r="N22" i="66"/>
  <c r="M22" i="66"/>
  <c r="I22" i="66"/>
  <c r="E22" i="66"/>
  <c r="O14" i="66"/>
  <c r="N14" i="66"/>
  <c r="N90" i="66" s="1"/>
  <c r="M14" i="66"/>
  <c r="O89" i="66"/>
  <c r="M89" i="66"/>
  <c r="G89" i="66"/>
  <c r="M28" i="65"/>
  <c r="N26" i="65"/>
  <c r="N28" i="65" s="1"/>
  <c r="M26" i="65"/>
  <c r="L26" i="65"/>
  <c r="L28" i="65" s="1"/>
  <c r="O25" i="65"/>
  <c r="H26" i="65"/>
  <c r="H28" i="65" s="1"/>
  <c r="D26" i="65"/>
  <c r="D28" i="65" s="1"/>
  <c r="J26" i="65"/>
  <c r="J28" i="65" s="1"/>
  <c r="F26" i="65"/>
  <c r="F28" i="65" s="1"/>
  <c r="O22" i="65"/>
  <c r="O21" i="65"/>
  <c r="K26" i="65"/>
  <c r="I26" i="65"/>
  <c r="G26" i="65"/>
  <c r="E26" i="65"/>
  <c r="C26" i="65"/>
  <c r="N18" i="65"/>
  <c r="M18" i="65"/>
  <c r="L18" i="65"/>
  <c r="H18" i="65"/>
  <c r="D18" i="65"/>
  <c r="J18" i="65"/>
  <c r="F18" i="65"/>
  <c r="O17" i="65"/>
  <c r="O16" i="65"/>
  <c r="O15" i="65"/>
  <c r="O14" i="65"/>
  <c r="O13" i="65"/>
  <c r="O11" i="65"/>
  <c r="O9" i="65"/>
  <c r="O7" i="65"/>
  <c r="K18" i="65"/>
  <c r="I89" i="66"/>
  <c r="G18" i="65"/>
  <c r="E89" i="66"/>
  <c r="C18" i="65"/>
  <c r="P408" i="77" l="1"/>
  <c r="P401" i="77"/>
  <c r="J412" i="77"/>
  <c r="J413" i="77" s="1"/>
  <c r="P384" i="77"/>
  <c r="P385" i="77" s="1"/>
  <c r="J412" i="76"/>
  <c r="J413" i="76" s="1"/>
  <c r="P407" i="76"/>
  <c r="L413" i="77"/>
  <c r="P403" i="77"/>
  <c r="F412" i="77"/>
  <c r="F413" i="77" s="1"/>
  <c r="P408" i="76"/>
  <c r="F412" i="76"/>
  <c r="F413" i="76" s="1"/>
  <c r="P402" i="76"/>
  <c r="P369" i="76"/>
  <c r="H412" i="77"/>
  <c r="H413" i="77" s="1"/>
  <c r="P410" i="77"/>
  <c r="P404" i="77"/>
  <c r="P403" i="76"/>
  <c r="P409" i="77"/>
  <c r="S247" i="77"/>
  <c r="P402" i="77"/>
  <c r="P369" i="77"/>
  <c r="P406" i="76"/>
  <c r="P398" i="77"/>
  <c r="P399" i="77" s="1"/>
  <c r="P406" i="77"/>
  <c r="N412" i="77"/>
  <c r="N413" i="77" s="1"/>
  <c r="P410" i="76"/>
  <c r="N412" i="76"/>
  <c r="N413" i="76" s="1"/>
  <c r="S247" i="76"/>
  <c r="P401" i="76"/>
  <c r="P412" i="76" s="1"/>
  <c r="P413" i="76" s="1"/>
  <c r="X10" i="68"/>
  <c r="AC10" i="68" s="1"/>
  <c r="X10" i="67"/>
  <c r="AC10" i="67" s="1"/>
  <c r="Y53" i="66"/>
  <c r="U52" i="66"/>
  <c r="T53" i="66"/>
  <c r="V53" i="66"/>
  <c r="X53" i="66"/>
  <c r="X51" i="66"/>
  <c r="W52" i="66"/>
  <c r="V31" i="66"/>
  <c r="V52" i="66" s="1"/>
  <c r="W10" i="66"/>
  <c r="AB10" i="66" s="1"/>
  <c r="Y10" i="65"/>
  <c r="V10" i="65"/>
  <c r="F99" i="66"/>
  <c r="P10" i="66"/>
  <c r="K89" i="66"/>
  <c r="P9" i="66"/>
  <c r="P97" i="66"/>
  <c r="O26" i="65"/>
  <c r="C28" i="65"/>
  <c r="G28" i="65"/>
  <c r="K28" i="65"/>
  <c r="D95" i="66"/>
  <c r="P61" i="66"/>
  <c r="F89" i="66"/>
  <c r="J89" i="66"/>
  <c r="P8" i="66"/>
  <c r="M90" i="66"/>
  <c r="F14" i="66"/>
  <c r="L91" i="66"/>
  <c r="K99" i="66"/>
  <c r="G92" i="68"/>
  <c r="G92" i="67"/>
  <c r="O92" i="67"/>
  <c r="O6" i="65"/>
  <c r="O8" i="65"/>
  <c r="O10" i="65"/>
  <c r="O12" i="65"/>
  <c r="E18" i="65"/>
  <c r="E28" i="65" s="1"/>
  <c r="I18" i="65"/>
  <c r="I28" i="65" s="1"/>
  <c r="O20" i="65"/>
  <c r="H89" i="66"/>
  <c r="L89" i="66"/>
  <c r="G14" i="66"/>
  <c r="K14" i="66"/>
  <c r="E92" i="66"/>
  <c r="I92" i="66"/>
  <c r="M92" i="66"/>
  <c r="K92" i="66"/>
  <c r="D96" i="66"/>
  <c r="P65" i="66"/>
  <c r="H96" i="66"/>
  <c r="L96" i="66"/>
  <c r="L99" i="66" s="1"/>
  <c r="Q7" i="68"/>
  <c r="Q7" i="67"/>
  <c r="H90" i="68"/>
  <c r="H90" i="67"/>
  <c r="L90" i="68"/>
  <c r="L90" i="67"/>
  <c r="P90" i="68"/>
  <c r="P90" i="67"/>
  <c r="O24" i="65"/>
  <c r="E90" i="66"/>
  <c r="E93" i="66" s="1"/>
  <c r="J14" i="66"/>
  <c r="D91" i="66"/>
  <c r="P24" i="66"/>
  <c r="G99" i="66"/>
  <c r="P73" i="66"/>
  <c r="D92" i="66"/>
  <c r="O23" i="65"/>
  <c r="M93" i="66"/>
  <c r="P7" i="66"/>
  <c r="O90" i="66"/>
  <c r="O93" i="66" s="1"/>
  <c r="H14" i="66"/>
  <c r="L14" i="66"/>
  <c r="F91" i="66"/>
  <c r="J91" i="66"/>
  <c r="F92" i="66"/>
  <c r="J92" i="66"/>
  <c r="N92" i="66"/>
  <c r="P53" i="66"/>
  <c r="E95" i="66"/>
  <c r="E99" i="66" s="1"/>
  <c r="I95" i="66"/>
  <c r="I99" i="66" s="1"/>
  <c r="M95" i="66"/>
  <c r="M99" i="66" s="1"/>
  <c r="H95" i="66"/>
  <c r="H99" i="66" s="1"/>
  <c r="P98" i="66"/>
  <c r="P83" i="66"/>
  <c r="F89" i="68"/>
  <c r="F89" i="67"/>
  <c r="J89" i="68"/>
  <c r="J89" i="67"/>
  <c r="N89" i="68"/>
  <c r="N89" i="67"/>
  <c r="K92" i="67"/>
  <c r="I90" i="66"/>
  <c r="I93" i="66" s="1"/>
  <c r="H91" i="66"/>
  <c r="O99" i="66"/>
  <c r="N89" i="66"/>
  <c r="N93" i="66" s="1"/>
  <c r="E14" i="66"/>
  <c r="I14" i="66"/>
  <c r="G91" i="66"/>
  <c r="K91" i="66"/>
  <c r="O91" i="66"/>
  <c r="P48" i="66"/>
  <c r="F96" i="66"/>
  <c r="J96" i="66"/>
  <c r="J99" i="66" s="1"/>
  <c r="N96" i="66"/>
  <c r="N99" i="66" s="1"/>
  <c r="N101" i="66" s="1"/>
  <c r="P81" i="66"/>
  <c r="H97" i="68"/>
  <c r="H97" i="67"/>
  <c r="L97" i="67"/>
  <c r="L97" i="68"/>
  <c r="P97" i="68"/>
  <c r="P97" i="67"/>
  <c r="G89" i="67"/>
  <c r="K89" i="67"/>
  <c r="O89" i="67"/>
  <c r="Q8" i="67"/>
  <c r="Q10" i="67"/>
  <c r="Q36" i="68"/>
  <c r="Q36" i="67"/>
  <c r="J92" i="67"/>
  <c r="J92" i="68"/>
  <c r="N92" i="67"/>
  <c r="N92" i="68"/>
  <c r="L91" i="67"/>
  <c r="E95" i="67"/>
  <c r="G89" i="68"/>
  <c r="M90" i="68"/>
  <c r="G91" i="68"/>
  <c r="F92" i="68"/>
  <c r="I95" i="68"/>
  <c r="I99" i="68" s="1"/>
  <c r="H89" i="67"/>
  <c r="H89" i="68"/>
  <c r="H93" i="68" s="1"/>
  <c r="L89" i="67"/>
  <c r="L89" i="68"/>
  <c r="L93" i="68" s="1"/>
  <c r="P89" i="67"/>
  <c r="P89" i="68"/>
  <c r="P93" i="68" s="1"/>
  <c r="F90" i="68"/>
  <c r="F90" i="67"/>
  <c r="J90" i="68"/>
  <c r="J90" i="67"/>
  <c r="Q90" i="67" s="1"/>
  <c r="O92" i="68"/>
  <c r="E95" i="68"/>
  <c r="Q61" i="67"/>
  <c r="F96" i="67"/>
  <c r="F96" i="68"/>
  <c r="J96" i="68"/>
  <c r="J96" i="67"/>
  <c r="N96" i="68"/>
  <c r="N96" i="67"/>
  <c r="P91" i="67"/>
  <c r="K89" i="68"/>
  <c r="O98" i="68"/>
  <c r="E89" i="67"/>
  <c r="I89" i="67"/>
  <c r="I89" i="68"/>
  <c r="M89" i="67"/>
  <c r="M89" i="68"/>
  <c r="M93" i="68" s="1"/>
  <c r="M101" i="68" s="1"/>
  <c r="M105" i="68" s="1"/>
  <c r="Q6" i="67"/>
  <c r="G90" i="68"/>
  <c r="G90" i="67"/>
  <c r="K90" i="68"/>
  <c r="K90" i="67"/>
  <c r="K91" i="67"/>
  <c r="K91" i="68"/>
  <c r="O91" i="67"/>
  <c r="O91" i="68"/>
  <c r="G98" i="68"/>
  <c r="G98" i="67"/>
  <c r="K98" i="68"/>
  <c r="K98" i="67"/>
  <c r="M95" i="67"/>
  <c r="O89" i="68"/>
  <c r="Q22" i="68"/>
  <c r="Q22" i="67"/>
  <c r="Q28" i="68"/>
  <c r="Q28" i="67"/>
  <c r="Q53" i="68"/>
  <c r="Q53" i="67"/>
  <c r="F95" i="68"/>
  <c r="F99" i="68" s="1"/>
  <c r="J95" i="68"/>
  <c r="J99" i="68" s="1"/>
  <c r="N95" i="68"/>
  <c r="G96" i="68"/>
  <c r="K96" i="68"/>
  <c r="O96" i="68"/>
  <c r="E97" i="68"/>
  <c r="Q97" i="68" s="1"/>
  <c r="Q81" i="68"/>
  <c r="Q81" i="67"/>
  <c r="N90" i="67"/>
  <c r="E91" i="67"/>
  <c r="I91" i="67"/>
  <c r="M91" i="67"/>
  <c r="H92" i="67"/>
  <c r="L92" i="67"/>
  <c r="P92" i="67"/>
  <c r="F95" i="67"/>
  <c r="J95" i="67"/>
  <c r="N95" i="67"/>
  <c r="E96" i="67"/>
  <c r="I96" i="67"/>
  <c r="I99" i="67" s="1"/>
  <c r="M96" i="67"/>
  <c r="Q9" i="68"/>
  <c r="Q14" i="68"/>
  <c r="Q14" i="67"/>
  <c r="Q24" i="68"/>
  <c r="E91" i="68"/>
  <c r="I91" i="68"/>
  <c r="M91" i="68"/>
  <c r="Q24" i="67"/>
  <c r="Q48" i="67"/>
  <c r="G95" i="68"/>
  <c r="K95" i="68"/>
  <c r="K99" i="68" s="1"/>
  <c r="O95" i="68"/>
  <c r="Q73" i="68"/>
  <c r="Q73" i="67"/>
  <c r="E98" i="68"/>
  <c r="Q98" i="68" s="1"/>
  <c r="Q83" i="67"/>
  <c r="O90" i="67"/>
  <c r="F91" i="67"/>
  <c r="J91" i="67"/>
  <c r="N91" i="67"/>
  <c r="E92" i="67"/>
  <c r="I92" i="67"/>
  <c r="M92" i="67"/>
  <c r="G95" i="67"/>
  <c r="K95" i="67"/>
  <c r="O95" i="67"/>
  <c r="O99" i="67" s="1"/>
  <c r="E97" i="67"/>
  <c r="I97" i="67"/>
  <c r="M97" i="67"/>
  <c r="H98" i="67"/>
  <c r="L98" i="67"/>
  <c r="P98" i="67"/>
  <c r="Q10" i="68"/>
  <c r="Q40" i="68"/>
  <c r="E92" i="68"/>
  <c r="Q40" i="67"/>
  <c r="H95" i="68"/>
  <c r="H99" i="68" s="1"/>
  <c r="L95" i="68"/>
  <c r="L99" i="68" s="1"/>
  <c r="L101" i="68" s="1"/>
  <c r="L105" i="68" s="1"/>
  <c r="P95" i="68"/>
  <c r="P99" i="68" s="1"/>
  <c r="E96" i="68"/>
  <c r="Q65" i="67"/>
  <c r="H95" i="67"/>
  <c r="L95" i="67"/>
  <c r="L99" i="67" s="1"/>
  <c r="P95" i="67"/>
  <c r="G96" i="67"/>
  <c r="K96" i="67"/>
  <c r="O96" i="67"/>
  <c r="F97" i="67"/>
  <c r="J97" i="67"/>
  <c r="N97" i="67"/>
  <c r="E98" i="67"/>
  <c r="I98" i="67"/>
  <c r="M98" i="67"/>
  <c r="P412" i="77" l="1"/>
  <c r="P413" i="77" s="1"/>
  <c r="I243" i="1"/>
  <c r="Y52" i="66"/>
  <c r="T52" i="66"/>
  <c r="X52" i="66"/>
  <c r="N105" i="66"/>
  <c r="J99" i="67"/>
  <c r="E89" i="68"/>
  <c r="Q6" i="68"/>
  <c r="E99" i="68"/>
  <c r="Q95" i="68"/>
  <c r="Q99" i="68" s="1"/>
  <c r="D22" i="66"/>
  <c r="P99" i="67"/>
  <c r="P101" i="67" s="1"/>
  <c r="Q96" i="68"/>
  <c r="H101" i="68"/>
  <c r="H105" i="68" s="1"/>
  <c r="K99" i="67"/>
  <c r="Q92" i="67"/>
  <c r="G99" i="68"/>
  <c r="F99" i="67"/>
  <c r="F101" i="67" s="1"/>
  <c r="O93" i="68"/>
  <c r="M93" i="67"/>
  <c r="E93" i="67"/>
  <c r="Q89" i="67"/>
  <c r="Q61" i="68"/>
  <c r="P93" i="67"/>
  <c r="H93" i="67"/>
  <c r="O93" i="67"/>
  <c r="O101" i="67" s="1"/>
  <c r="J93" i="68"/>
  <c r="E101" i="66"/>
  <c r="G22" i="66"/>
  <c r="G90" i="66" s="1"/>
  <c r="G93" i="66" s="1"/>
  <c r="G101" i="66" s="1"/>
  <c r="D14" i="66"/>
  <c r="P96" i="66"/>
  <c r="D99" i="66"/>
  <c r="P95" i="66"/>
  <c r="P99" i="66" s="1"/>
  <c r="J93" i="67"/>
  <c r="Q98" i="67"/>
  <c r="G99" i="67"/>
  <c r="M99" i="67"/>
  <c r="M101" i="67" s="1"/>
  <c r="I93" i="68"/>
  <c r="I101" i="68" s="1"/>
  <c r="I105" i="68" s="1"/>
  <c r="G93" i="68"/>
  <c r="K93" i="67"/>
  <c r="L22" i="66"/>
  <c r="L90" i="66" s="1"/>
  <c r="L93" i="66" s="1"/>
  <c r="L101" i="66" s="1"/>
  <c r="N93" i="67"/>
  <c r="F93" i="67"/>
  <c r="P92" i="66"/>
  <c r="P91" i="66"/>
  <c r="J22" i="66"/>
  <c r="J90" i="66" s="1"/>
  <c r="J93" i="66" s="1"/>
  <c r="J101" i="66" s="1"/>
  <c r="O28" i="65"/>
  <c r="Q92" i="68"/>
  <c r="J101" i="68"/>
  <c r="J105" i="68" s="1"/>
  <c r="E90" i="68"/>
  <c r="Q90" i="68" s="1"/>
  <c r="Q8" i="68"/>
  <c r="O101" i="66"/>
  <c r="I101" i="66"/>
  <c r="K22" i="66"/>
  <c r="K90" i="66" s="1"/>
  <c r="K93" i="66" s="1"/>
  <c r="K101" i="66" s="1"/>
  <c r="D89" i="66"/>
  <c r="P6" i="66"/>
  <c r="Q65" i="68"/>
  <c r="Q96" i="67"/>
  <c r="H99" i="67"/>
  <c r="P101" i="68"/>
  <c r="P105" i="68" s="1"/>
  <c r="Q97" i="67"/>
  <c r="Q83" i="68"/>
  <c r="O99" i="68"/>
  <c r="O101" i="68" s="1"/>
  <c r="O105" i="68" s="1"/>
  <c r="Q48" i="68"/>
  <c r="Q91" i="68"/>
  <c r="N99" i="67"/>
  <c r="N101" i="67" s="1"/>
  <c r="Q91" i="67"/>
  <c r="N99" i="68"/>
  <c r="I93" i="67"/>
  <c r="I101" i="67" s="1"/>
  <c r="K93" i="68"/>
  <c r="K101" i="68" s="1"/>
  <c r="K105" i="68" s="1"/>
  <c r="L93" i="67"/>
  <c r="L101" i="67" s="1"/>
  <c r="E99" i="67"/>
  <c r="Q95" i="67"/>
  <c r="Q99" i="67" s="1"/>
  <c r="G93" i="67"/>
  <c r="H22" i="66"/>
  <c r="H90" i="66" s="1"/>
  <c r="H93" i="66" s="1"/>
  <c r="H101" i="66" s="1"/>
  <c r="N93" i="68"/>
  <c r="F93" i="68"/>
  <c r="F101" i="68" s="1"/>
  <c r="F105" i="68" s="1"/>
  <c r="M101" i="66"/>
  <c r="F22" i="66"/>
  <c r="F90" i="66" s="1"/>
  <c r="F93" i="66" s="1"/>
  <c r="F101" i="66" s="1"/>
  <c r="O18" i="65"/>
  <c r="H364" i="1" l="1"/>
  <c r="F105" i="66"/>
  <c r="H105" i="66"/>
  <c r="J105" i="66"/>
  <c r="K105" i="66"/>
  <c r="L105" i="66"/>
  <c r="G105" i="66"/>
  <c r="E101" i="67"/>
  <c r="N101" i="68"/>
  <c r="N105" i="68" s="1"/>
  <c r="I105" i="66"/>
  <c r="E105" i="66"/>
  <c r="G101" i="68"/>
  <c r="G105" i="68" s="1"/>
  <c r="H101" i="67"/>
  <c r="O105" i="66"/>
  <c r="G101" i="67"/>
  <c r="P22" i="66"/>
  <c r="E93" i="68"/>
  <c r="E101" i="68" s="1"/>
  <c r="E105" i="68" s="1"/>
  <c r="Q105" i="68" s="1"/>
  <c r="Q89" i="68"/>
  <c r="Q93" i="68" s="1"/>
  <c r="M105" i="66"/>
  <c r="P89" i="66"/>
  <c r="P14" i="66"/>
  <c r="D90" i="66"/>
  <c r="P90" i="66" s="1"/>
  <c r="Q93" i="67"/>
  <c r="Q101" i="67" s="1"/>
  <c r="K101" i="67"/>
  <c r="Q101" i="68"/>
  <c r="J101" i="67"/>
  <c r="D93" i="66" l="1"/>
  <c r="D101" i="66" s="1"/>
  <c r="P93" i="66"/>
  <c r="P101" i="66" s="1"/>
  <c r="P103" i="66" l="1"/>
  <c r="P105" i="66" s="1"/>
  <c r="D105" i="66" l="1"/>
  <c r="H38" i="64" l="1"/>
  <c r="C26" i="64"/>
  <c r="H39" i="64" l="1"/>
  <c r="I39" i="64"/>
  <c r="I38" i="64"/>
  <c r="C30" i="64"/>
  <c r="C27" i="64"/>
  <c r="C29" i="64"/>
  <c r="G46" i="12" l="1"/>
  <c r="K46" i="12" s="1"/>
  <c r="H46" i="12"/>
  <c r="K18" i="12" l="1"/>
  <c r="K27" i="12" l="1"/>
  <c r="E14" i="61" l="1"/>
  <c r="E13" i="61"/>
  <c r="M10" i="61"/>
  <c r="M9" i="61"/>
  <c r="J11" i="61"/>
  <c r="M8" i="61"/>
  <c r="G11" i="61" l="1"/>
  <c r="K11" i="61"/>
  <c r="H11" i="61"/>
  <c r="L11" i="61"/>
  <c r="I11" i="61"/>
  <c r="F28" i="2"/>
  <c r="G28" i="2"/>
  <c r="H28" i="2"/>
  <c r="I28" i="2"/>
  <c r="J28" i="2"/>
  <c r="E37" i="2"/>
  <c r="F37" i="2"/>
  <c r="G37" i="2"/>
  <c r="H37" i="2"/>
  <c r="E38" i="2"/>
  <c r="F38" i="2"/>
  <c r="G38" i="2"/>
  <c r="H38" i="2"/>
  <c r="M11" i="61" l="1"/>
  <c r="K19" i="12"/>
  <c r="J19" i="12"/>
  <c r="K25" i="12"/>
  <c r="J41" i="64" l="1"/>
  <c r="C17" i="48" l="1"/>
  <c r="E476" i="1" l="1"/>
  <c r="E465" i="1"/>
  <c r="E182" i="1"/>
  <c r="E183" i="1"/>
  <c r="E186" i="1"/>
  <c r="E188" i="1"/>
  <c r="C484" i="1"/>
  <c r="B484" i="1"/>
  <c r="C467" i="1"/>
  <c r="B467" i="1"/>
  <c r="C460" i="1"/>
  <c r="B460" i="1"/>
  <c r="C432" i="1"/>
  <c r="B432" i="1"/>
  <c r="C415" i="1"/>
  <c r="B415" i="1"/>
  <c r="C413" i="1"/>
  <c r="B413" i="1"/>
  <c r="C403" i="1"/>
  <c r="B403" i="1"/>
  <c r="C266" i="1"/>
  <c r="B266" i="1"/>
  <c r="C249" i="1"/>
  <c r="B249" i="1"/>
  <c r="C242" i="1"/>
  <c r="B242" i="1"/>
  <c r="C214" i="1"/>
  <c r="B214" i="1"/>
  <c r="C197" i="1"/>
  <c r="B197" i="1"/>
  <c r="C195" i="1"/>
  <c r="B195" i="1"/>
  <c r="C185" i="1"/>
  <c r="B185" i="1"/>
  <c r="G416" i="1"/>
  <c r="E416" i="1" s="1"/>
  <c r="G406" i="1"/>
  <c r="E406" i="1" s="1"/>
  <c r="C15" i="64"/>
  <c r="L13" i="11" l="1"/>
  <c r="L12" i="11"/>
  <c r="L11" i="11"/>
  <c r="G491" i="1"/>
  <c r="E491" i="1" s="1"/>
  <c r="G490" i="1"/>
  <c r="E490" i="1" s="1"/>
  <c r="G489" i="1"/>
  <c r="E489" i="1" s="1"/>
  <c r="G488" i="1"/>
  <c r="E488" i="1" s="1"/>
  <c r="G487" i="1"/>
  <c r="E487" i="1" s="1"/>
  <c r="G486" i="1"/>
  <c r="E486" i="1" s="1"/>
  <c r="G485" i="1"/>
  <c r="E485" i="1" s="1"/>
  <c r="G483" i="1"/>
  <c r="G404" i="1"/>
  <c r="E404" i="1" s="1"/>
  <c r="G402" i="1"/>
  <c r="G401" i="1"/>
  <c r="E401" i="1" s="1"/>
  <c r="G400" i="1"/>
  <c r="E400" i="1" s="1"/>
  <c r="G407" i="1"/>
  <c r="E407" i="1" s="1"/>
  <c r="G415" i="1"/>
  <c r="G414" i="1"/>
  <c r="G412" i="1"/>
  <c r="G419" i="1"/>
  <c r="E419" i="1" s="1"/>
  <c r="G424" i="1"/>
  <c r="E424" i="1" s="1"/>
  <c r="G426" i="1"/>
  <c r="E426" i="1" s="1"/>
  <c r="G440" i="1"/>
  <c r="E440" i="1" s="1"/>
  <c r="G439" i="1"/>
  <c r="E439" i="1" s="1"/>
  <c r="G438" i="1"/>
  <c r="E438" i="1" s="1"/>
  <c r="G437" i="1"/>
  <c r="E437" i="1" s="1"/>
  <c r="G436" i="1"/>
  <c r="E436" i="1" s="1"/>
  <c r="G435" i="1"/>
  <c r="E435" i="1" s="1"/>
  <c r="G434" i="1"/>
  <c r="E434" i="1" s="1"/>
  <c r="G433" i="1"/>
  <c r="E433" i="1" s="1"/>
  <c r="G431" i="1"/>
  <c r="G448" i="1"/>
  <c r="E448" i="1" s="1"/>
  <c r="G447" i="1"/>
  <c r="E447" i="1" s="1"/>
  <c r="G446" i="1"/>
  <c r="E446" i="1" s="1"/>
  <c r="G445" i="1"/>
  <c r="E445" i="1" s="1"/>
  <c r="G444" i="1"/>
  <c r="E444" i="1" s="1"/>
  <c r="G443" i="1"/>
  <c r="E443" i="1" s="1"/>
  <c r="G442" i="1"/>
  <c r="E442" i="1" s="1"/>
  <c r="G461" i="1"/>
  <c r="E461" i="1" s="1"/>
  <c r="G459" i="1"/>
  <c r="G458" i="1"/>
  <c r="E458" i="1" s="1"/>
  <c r="G457" i="1"/>
  <c r="E457" i="1" s="1"/>
  <c r="G469" i="1"/>
  <c r="E469" i="1" s="1"/>
  <c r="G468" i="1"/>
  <c r="E468" i="1" s="1"/>
  <c r="G466" i="1"/>
  <c r="G473" i="1"/>
  <c r="E473" i="1" s="1"/>
  <c r="G475" i="1"/>
  <c r="E475" i="1" s="1"/>
  <c r="G474" i="1"/>
  <c r="E425" i="1" l="1"/>
  <c r="E449" i="1"/>
  <c r="E427" i="1"/>
  <c r="E428" i="1" s="1"/>
  <c r="H1001" i="61"/>
  <c r="K1001" i="61" s="1"/>
  <c r="H1000" i="61"/>
  <c r="H999" i="61"/>
  <c r="K999" i="61" s="1"/>
  <c r="H998" i="61"/>
  <c r="H997" i="61"/>
  <c r="K997" i="61" s="1"/>
  <c r="H996" i="61"/>
  <c r="H995" i="61"/>
  <c r="K995" i="61" s="1"/>
  <c r="H994" i="61"/>
  <c r="H993" i="61"/>
  <c r="K993" i="61" s="1"/>
  <c r="H992" i="61"/>
  <c r="H991" i="61"/>
  <c r="K991" i="61" s="1"/>
  <c r="H990" i="61"/>
  <c r="H989" i="61"/>
  <c r="K989" i="61" s="1"/>
  <c r="H988" i="61"/>
  <c r="K988" i="61" s="1"/>
  <c r="L988" i="61" s="1"/>
  <c r="H987" i="61"/>
  <c r="H986" i="61"/>
  <c r="K986" i="61" s="1"/>
  <c r="L986" i="61" s="1"/>
  <c r="H985" i="61"/>
  <c r="K985" i="61" s="1"/>
  <c r="L985" i="61" s="1"/>
  <c r="H984" i="61"/>
  <c r="K984" i="61" s="1"/>
  <c r="L984" i="61" s="1"/>
  <c r="H983" i="61"/>
  <c r="H982" i="61"/>
  <c r="K982" i="61" s="1"/>
  <c r="L982" i="61" s="1"/>
  <c r="H981" i="61"/>
  <c r="K981" i="61" s="1"/>
  <c r="L981" i="61" s="1"/>
  <c r="H980" i="61"/>
  <c r="K980" i="61" s="1"/>
  <c r="L980" i="61" s="1"/>
  <c r="H979" i="61"/>
  <c r="H978" i="61"/>
  <c r="K978" i="61" s="1"/>
  <c r="L978" i="61" s="1"/>
  <c r="H977" i="61"/>
  <c r="K977" i="61" s="1"/>
  <c r="L977" i="61" s="1"/>
  <c r="H976" i="61"/>
  <c r="K976" i="61" s="1"/>
  <c r="H975" i="61"/>
  <c r="H974" i="61"/>
  <c r="K974" i="61" s="1"/>
  <c r="L974" i="61" s="1"/>
  <c r="H973" i="61"/>
  <c r="K973" i="61" s="1"/>
  <c r="H972" i="61"/>
  <c r="K972" i="61" s="1"/>
  <c r="H971" i="61"/>
  <c r="H970" i="61"/>
  <c r="K970" i="61" s="1"/>
  <c r="L970" i="61" s="1"/>
  <c r="H969" i="61"/>
  <c r="K969" i="61" s="1"/>
  <c r="L969" i="61" s="1"/>
  <c r="H968" i="61"/>
  <c r="K968" i="61" s="1"/>
  <c r="H967" i="61"/>
  <c r="H966" i="61"/>
  <c r="K966" i="61" s="1"/>
  <c r="L966" i="61" s="1"/>
  <c r="H965" i="61"/>
  <c r="K965" i="61" s="1"/>
  <c r="H964" i="61"/>
  <c r="K964" i="61" s="1"/>
  <c r="H963" i="61"/>
  <c r="H962" i="61"/>
  <c r="K962" i="61" s="1"/>
  <c r="L962" i="61" s="1"/>
  <c r="H961" i="61"/>
  <c r="K961" i="61" s="1"/>
  <c r="L961" i="61" s="1"/>
  <c r="H960" i="61"/>
  <c r="K960" i="61" s="1"/>
  <c r="H959" i="61"/>
  <c r="H958" i="61"/>
  <c r="K958" i="61" s="1"/>
  <c r="L958" i="61" s="1"/>
  <c r="H957" i="61"/>
  <c r="K957" i="61" s="1"/>
  <c r="H956" i="61"/>
  <c r="K956" i="61" s="1"/>
  <c r="H955" i="61"/>
  <c r="H954" i="61"/>
  <c r="K954" i="61" s="1"/>
  <c r="L954" i="61" s="1"/>
  <c r="H953" i="61"/>
  <c r="K953" i="61" s="1"/>
  <c r="L953" i="61" s="1"/>
  <c r="H952" i="61"/>
  <c r="K952" i="61" s="1"/>
  <c r="H951" i="61"/>
  <c r="H950" i="61"/>
  <c r="K950" i="61" s="1"/>
  <c r="L950" i="61" s="1"/>
  <c r="H949" i="61"/>
  <c r="K949" i="61" s="1"/>
  <c r="H948" i="61"/>
  <c r="K948" i="61" s="1"/>
  <c r="H947" i="61"/>
  <c r="H946" i="61"/>
  <c r="K946" i="61" s="1"/>
  <c r="L946" i="61" s="1"/>
  <c r="K945" i="61"/>
  <c r="L945" i="61" s="1"/>
  <c r="H945" i="61"/>
  <c r="H944" i="61"/>
  <c r="K943" i="61"/>
  <c r="H943" i="61"/>
  <c r="H942" i="61"/>
  <c r="K941" i="61"/>
  <c r="L941" i="61" s="1"/>
  <c r="H941" i="61"/>
  <c r="H940" i="61"/>
  <c r="K939" i="61"/>
  <c r="H939" i="61"/>
  <c r="H938" i="61"/>
  <c r="K937" i="61"/>
  <c r="L937" i="61" s="1"/>
  <c r="H937" i="61"/>
  <c r="H936" i="61"/>
  <c r="K935" i="61"/>
  <c r="H935" i="61"/>
  <c r="H934" i="61"/>
  <c r="K933" i="61"/>
  <c r="L933" i="61" s="1"/>
  <c r="H933" i="61"/>
  <c r="H932" i="61"/>
  <c r="K931" i="61"/>
  <c r="H931" i="61"/>
  <c r="H930" i="61"/>
  <c r="K929" i="61"/>
  <c r="L929" i="61" s="1"/>
  <c r="H929" i="61"/>
  <c r="H928" i="61"/>
  <c r="K927" i="61"/>
  <c r="H927" i="61"/>
  <c r="H926" i="61"/>
  <c r="K925" i="61"/>
  <c r="L925" i="61" s="1"/>
  <c r="H925" i="61"/>
  <c r="H924" i="61"/>
  <c r="K923" i="61"/>
  <c r="H923" i="61"/>
  <c r="H922" i="61"/>
  <c r="K921" i="61"/>
  <c r="L921" i="61" s="1"/>
  <c r="H921" i="61"/>
  <c r="H920" i="61"/>
  <c r="K919" i="61"/>
  <c r="H919" i="61"/>
  <c r="H918" i="61"/>
  <c r="K917" i="61"/>
  <c r="L917" i="61" s="1"/>
  <c r="H917" i="61"/>
  <c r="H916" i="61"/>
  <c r="K915" i="61"/>
  <c r="H915" i="61"/>
  <c r="H914" i="61"/>
  <c r="K913" i="61"/>
  <c r="L913" i="61" s="1"/>
  <c r="H913" i="61"/>
  <c r="H912" i="61"/>
  <c r="K911" i="61"/>
  <c r="H911" i="61"/>
  <c r="H910" i="61"/>
  <c r="K909" i="61"/>
  <c r="L909" i="61" s="1"/>
  <c r="H909" i="61"/>
  <c r="H908" i="61"/>
  <c r="K907" i="61"/>
  <c r="H907" i="61"/>
  <c r="H906" i="61"/>
  <c r="K905" i="61"/>
  <c r="L905" i="61" s="1"/>
  <c r="H905" i="61"/>
  <c r="H904" i="61"/>
  <c r="K903" i="61"/>
  <c r="H903" i="61"/>
  <c r="H902" i="61"/>
  <c r="K901" i="61"/>
  <c r="H901" i="61"/>
  <c r="H900" i="61"/>
  <c r="K899" i="61"/>
  <c r="H899" i="61"/>
  <c r="H898" i="61"/>
  <c r="K897" i="61"/>
  <c r="H897" i="61"/>
  <c r="H896" i="61"/>
  <c r="K895" i="61"/>
  <c r="H895" i="61"/>
  <c r="H894" i="61"/>
  <c r="K893" i="61"/>
  <c r="H893" i="61"/>
  <c r="H892" i="61"/>
  <c r="K891" i="61"/>
  <c r="H891" i="61"/>
  <c r="H890" i="61"/>
  <c r="K889" i="61"/>
  <c r="H889" i="61"/>
  <c r="H888" i="61"/>
  <c r="K887" i="61"/>
  <c r="H887" i="61"/>
  <c r="H886" i="61"/>
  <c r="K885" i="61"/>
  <c r="H885" i="61"/>
  <c r="H884" i="61"/>
  <c r="K883" i="61"/>
  <c r="H883" i="61"/>
  <c r="H882" i="61"/>
  <c r="K881" i="61"/>
  <c r="H881" i="61"/>
  <c r="H880" i="61"/>
  <c r="K879" i="61"/>
  <c r="H879" i="61"/>
  <c r="H878" i="61"/>
  <c r="K877" i="61"/>
  <c r="H877" i="61"/>
  <c r="H876" i="61"/>
  <c r="K875" i="61"/>
  <c r="H875" i="61"/>
  <c r="H874" i="61"/>
  <c r="K873" i="61"/>
  <c r="H873" i="61"/>
  <c r="H872" i="61"/>
  <c r="K871" i="61"/>
  <c r="H871" i="61"/>
  <c r="H870" i="61"/>
  <c r="K869" i="61"/>
  <c r="H869" i="61"/>
  <c r="H868" i="61"/>
  <c r="K867" i="61"/>
  <c r="H867" i="61"/>
  <c r="H866" i="61"/>
  <c r="K865" i="61"/>
  <c r="H865" i="61"/>
  <c r="H864" i="61"/>
  <c r="K863" i="61"/>
  <c r="H863" i="61"/>
  <c r="H862" i="61"/>
  <c r="K861" i="61"/>
  <c r="H861" i="61"/>
  <c r="H860" i="61"/>
  <c r="K859" i="61"/>
  <c r="H859" i="61"/>
  <c r="H858" i="61"/>
  <c r="K857" i="61"/>
  <c r="H857" i="61"/>
  <c r="H856" i="61"/>
  <c r="K855" i="61"/>
  <c r="H855" i="61"/>
  <c r="H854" i="61"/>
  <c r="K853" i="61"/>
  <c r="H853" i="61"/>
  <c r="H852" i="61"/>
  <c r="K851" i="61"/>
  <c r="H851" i="61"/>
  <c r="H850" i="61"/>
  <c r="K849" i="61"/>
  <c r="H849" i="61"/>
  <c r="H848" i="61"/>
  <c r="K847" i="61"/>
  <c r="H847" i="61"/>
  <c r="H846" i="61"/>
  <c r="K845" i="61"/>
  <c r="H845" i="61"/>
  <c r="H844" i="61"/>
  <c r="K843" i="61"/>
  <c r="H843" i="61"/>
  <c r="H842" i="61"/>
  <c r="K841" i="61"/>
  <c r="H841" i="61"/>
  <c r="H840" i="61"/>
  <c r="K839" i="61"/>
  <c r="H839" i="61"/>
  <c r="H838" i="61"/>
  <c r="K837" i="61"/>
  <c r="H837" i="61"/>
  <c r="H836" i="61"/>
  <c r="K835" i="61"/>
  <c r="H835" i="61"/>
  <c r="H834" i="61"/>
  <c r="K833" i="61"/>
  <c r="H833" i="61"/>
  <c r="H832" i="61"/>
  <c r="K831" i="61"/>
  <c r="H831" i="61"/>
  <c r="H830" i="61"/>
  <c r="K829" i="61"/>
  <c r="H829" i="61"/>
  <c r="H828" i="61"/>
  <c r="K827" i="61"/>
  <c r="H827" i="61"/>
  <c r="H826" i="61"/>
  <c r="K825" i="61"/>
  <c r="H825" i="61"/>
  <c r="H824" i="61"/>
  <c r="K823" i="61"/>
  <c r="H823" i="61"/>
  <c r="H822" i="61"/>
  <c r="K821" i="61"/>
  <c r="H821" i="61"/>
  <c r="H820" i="61"/>
  <c r="K819" i="61"/>
  <c r="H819" i="61"/>
  <c r="K818" i="61"/>
  <c r="H818" i="61"/>
  <c r="K817" i="61"/>
  <c r="H817" i="61"/>
  <c r="H816" i="61"/>
  <c r="K815" i="61"/>
  <c r="L815" i="61" s="1"/>
  <c r="H815" i="61"/>
  <c r="K814" i="61"/>
  <c r="L814" i="61" s="1"/>
  <c r="H814" i="61"/>
  <c r="K813" i="61"/>
  <c r="H813" i="61"/>
  <c r="H812" i="61"/>
  <c r="K812" i="61" s="1"/>
  <c r="K811" i="61"/>
  <c r="L811" i="61" s="1"/>
  <c r="H811" i="61"/>
  <c r="K810" i="61"/>
  <c r="L810" i="61" s="1"/>
  <c r="H810" i="61"/>
  <c r="H809" i="61"/>
  <c r="K809" i="61" s="1"/>
  <c r="K808" i="61"/>
  <c r="H808" i="61"/>
  <c r="K807" i="61"/>
  <c r="H807" i="61"/>
  <c r="K806" i="61"/>
  <c r="L806" i="61" s="1"/>
  <c r="H806" i="61"/>
  <c r="K805" i="61"/>
  <c r="H805" i="61"/>
  <c r="H804" i="61"/>
  <c r="K804" i="61" s="1"/>
  <c r="L804" i="61" s="1"/>
  <c r="K803" i="61"/>
  <c r="L803" i="61" s="1"/>
  <c r="H803" i="61"/>
  <c r="K802" i="61"/>
  <c r="H802" i="61"/>
  <c r="H801" i="61"/>
  <c r="K801" i="61" s="1"/>
  <c r="L801" i="61" s="1"/>
  <c r="H800" i="61"/>
  <c r="H799" i="61"/>
  <c r="K799" i="61" s="1"/>
  <c r="K798" i="61"/>
  <c r="L798" i="61" s="1"/>
  <c r="H798" i="61"/>
  <c r="K797" i="61"/>
  <c r="L797" i="61" s="1"/>
  <c r="H797" i="61"/>
  <c r="H796" i="61"/>
  <c r="K796" i="61" s="1"/>
  <c r="L796" i="61" s="1"/>
  <c r="M796" i="61" s="1"/>
  <c r="H795" i="61"/>
  <c r="H794" i="61"/>
  <c r="H793" i="61"/>
  <c r="K793" i="61" s="1"/>
  <c r="L793" i="61" s="1"/>
  <c r="K792" i="61"/>
  <c r="L792" i="61" s="1"/>
  <c r="H792" i="61"/>
  <c r="H791" i="61"/>
  <c r="K791" i="61" s="1"/>
  <c r="K790" i="61"/>
  <c r="H790" i="61"/>
  <c r="K789" i="61"/>
  <c r="H789" i="61"/>
  <c r="H788" i="61"/>
  <c r="K788" i="61" s="1"/>
  <c r="H787" i="61"/>
  <c r="K786" i="61"/>
  <c r="L786" i="61" s="1"/>
  <c r="M786" i="61" s="1"/>
  <c r="H786" i="61"/>
  <c r="H785" i="61"/>
  <c r="K785" i="61" s="1"/>
  <c r="H784" i="61"/>
  <c r="K783" i="61"/>
  <c r="H783" i="61"/>
  <c r="K782" i="61"/>
  <c r="L782" i="61" s="1"/>
  <c r="H782" i="61"/>
  <c r="K781" i="61"/>
  <c r="L781" i="61" s="1"/>
  <c r="H781" i="61"/>
  <c r="H780" i="61"/>
  <c r="K780" i="61" s="1"/>
  <c r="H779" i="61"/>
  <c r="H778" i="61"/>
  <c r="H777" i="61"/>
  <c r="K777" i="61" s="1"/>
  <c r="K776" i="61"/>
  <c r="L776" i="61" s="1"/>
  <c r="H776" i="61"/>
  <c r="K775" i="61"/>
  <c r="H775" i="61"/>
  <c r="K774" i="61"/>
  <c r="L774" i="61" s="1"/>
  <c r="H774" i="61"/>
  <c r="K773" i="61"/>
  <c r="L773" i="61" s="1"/>
  <c r="H773" i="61"/>
  <c r="H772" i="61"/>
  <c r="K772" i="61" s="1"/>
  <c r="L772" i="61" s="1"/>
  <c r="H771" i="61"/>
  <c r="K770" i="61"/>
  <c r="H770" i="61"/>
  <c r="H769" i="61"/>
  <c r="K769" i="61" s="1"/>
  <c r="L769" i="61" s="1"/>
  <c r="H768" i="61"/>
  <c r="H767" i="61"/>
  <c r="K767" i="61" s="1"/>
  <c r="K766" i="61"/>
  <c r="L766" i="61" s="1"/>
  <c r="H766" i="61"/>
  <c r="K765" i="61"/>
  <c r="L765" i="61" s="1"/>
  <c r="H765" i="61"/>
  <c r="H764" i="61"/>
  <c r="K764" i="61" s="1"/>
  <c r="L764" i="61" s="1"/>
  <c r="M764" i="61" s="1"/>
  <c r="H763" i="61"/>
  <c r="H762" i="61"/>
  <c r="H761" i="61"/>
  <c r="K760" i="61"/>
  <c r="H760" i="61"/>
  <c r="K759" i="61"/>
  <c r="L759" i="61" s="1"/>
  <c r="H759" i="61"/>
  <c r="H758" i="61"/>
  <c r="K758" i="61" s="1"/>
  <c r="K757" i="61"/>
  <c r="H757" i="61"/>
  <c r="K756" i="61"/>
  <c r="L756" i="61" s="1"/>
  <c r="H756" i="61"/>
  <c r="H755" i="61"/>
  <c r="K755" i="61" s="1"/>
  <c r="L755" i="61" s="1"/>
  <c r="H754" i="61"/>
  <c r="K754" i="61" s="1"/>
  <c r="L754" i="61" s="1"/>
  <c r="H753" i="61"/>
  <c r="K752" i="61"/>
  <c r="L752" i="61" s="1"/>
  <c r="H752" i="61"/>
  <c r="K751" i="61"/>
  <c r="L751" i="61" s="1"/>
  <c r="H751" i="61"/>
  <c r="H750" i="61"/>
  <c r="K750" i="61" s="1"/>
  <c r="L750" i="61" s="1"/>
  <c r="H749" i="61"/>
  <c r="K748" i="61"/>
  <c r="H748" i="61"/>
  <c r="H747" i="61"/>
  <c r="K747" i="61" s="1"/>
  <c r="H746" i="61"/>
  <c r="K746" i="61" s="1"/>
  <c r="L746" i="61" s="1"/>
  <c r="H745" i="61"/>
  <c r="K744" i="61"/>
  <c r="H744" i="61"/>
  <c r="K743" i="61"/>
  <c r="L743" i="61" s="1"/>
  <c r="H743" i="61"/>
  <c r="H742" i="61"/>
  <c r="K742" i="61" s="1"/>
  <c r="L742" i="61" s="1"/>
  <c r="H741" i="61"/>
  <c r="K740" i="61"/>
  <c r="H740" i="61"/>
  <c r="H739" i="61"/>
  <c r="K739" i="61" s="1"/>
  <c r="H738" i="61"/>
  <c r="K738" i="61" s="1"/>
  <c r="L738" i="61" s="1"/>
  <c r="H737" i="61"/>
  <c r="K736" i="61"/>
  <c r="H736" i="61"/>
  <c r="K735" i="61"/>
  <c r="L735" i="61" s="1"/>
  <c r="H735" i="61"/>
  <c r="H734" i="61"/>
  <c r="K734" i="61" s="1"/>
  <c r="L734" i="61" s="1"/>
  <c r="H733" i="61"/>
  <c r="K732" i="61"/>
  <c r="L732" i="61" s="1"/>
  <c r="M732" i="61" s="1"/>
  <c r="E732" i="61"/>
  <c r="K731" i="61"/>
  <c r="H731" i="61"/>
  <c r="H730" i="61"/>
  <c r="K730" i="61" s="1"/>
  <c r="L730" i="61" s="1"/>
  <c r="H729" i="61"/>
  <c r="K729" i="61" s="1"/>
  <c r="L729" i="61" s="1"/>
  <c r="H728" i="61"/>
  <c r="K727" i="61"/>
  <c r="L727" i="61" s="1"/>
  <c r="H727" i="61"/>
  <c r="K726" i="61"/>
  <c r="L726" i="61" s="1"/>
  <c r="H726" i="61"/>
  <c r="H725" i="61"/>
  <c r="K725" i="61" s="1"/>
  <c r="L725" i="61" s="1"/>
  <c r="H724" i="61"/>
  <c r="K723" i="61"/>
  <c r="H723" i="61"/>
  <c r="H722" i="61"/>
  <c r="K722" i="61" s="1"/>
  <c r="L722" i="61" s="1"/>
  <c r="H721" i="61"/>
  <c r="K721" i="61" s="1"/>
  <c r="K720" i="61"/>
  <c r="H720" i="61"/>
  <c r="K719" i="61"/>
  <c r="L719" i="61" s="1"/>
  <c r="H719" i="61"/>
  <c r="K718" i="61"/>
  <c r="H718" i="61"/>
  <c r="H717" i="61"/>
  <c r="K717" i="61" s="1"/>
  <c r="L717" i="61" s="1"/>
  <c r="M717" i="61" s="1"/>
  <c r="H716" i="61"/>
  <c r="K715" i="61"/>
  <c r="H715" i="61"/>
  <c r="H714" i="61"/>
  <c r="K714" i="61" s="1"/>
  <c r="H713" i="61"/>
  <c r="H712" i="61"/>
  <c r="K712" i="61" s="1"/>
  <c r="K711" i="61"/>
  <c r="L711" i="61" s="1"/>
  <c r="H711" i="61"/>
  <c r="K710" i="61"/>
  <c r="L710" i="61" s="1"/>
  <c r="H710" i="61"/>
  <c r="H709" i="61"/>
  <c r="K709" i="61" s="1"/>
  <c r="L709" i="61" s="1"/>
  <c r="M709" i="61" s="1"/>
  <c r="H708" i="61"/>
  <c r="K707" i="61"/>
  <c r="L707" i="61" s="1"/>
  <c r="M707" i="61" s="1"/>
  <c r="H707" i="61"/>
  <c r="H706" i="61"/>
  <c r="K706" i="61" s="1"/>
  <c r="L706" i="61" s="1"/>
  <c r="K705" i="61"/>
  <c r="H705" i="61"/>
  <c r="H704" i="61"/>
  <c r="K703" i="61"/>
  <c r="L703" i="61" s="1"/>
  <c r="H703" i="61"/>
  <c r="K702" i="61"/>
  <c r="L702" i="61" s="1"/>
  <c r="H702" i="61"/>
  <c r="H701" i="61"/>
  <c r="H700" i="61"/>
  <c r="H699" i="61"/>
  <c r="H698" i="61"/>
  <c r="K698" i="61" s="1"/>
  <c r="L698" i="61" s="1"/>
  <c r="K697" i="61"/>
  <c r="L697" i="61" s="1"/>
  <c r="H697" i="61"/>
  <c r="K696" i="61"/>
  <c r="H696" i="61"/>
  <c r="K695" i="61"/>
  <c r="H695" i="61"/>
  <c r="K694" i="61"/>
  <c r="H694" i="61"/>
  <c r="L693" i="61"/>
  <c r="H693" i="61"/>
  <c r="K693" i="61" s="1"/>
  <c r="H692" i="61"/>
  <c r="K691" i="61"/>
  <c r="H691" i="61"/>
  <c r="K690" i="61"/>
  <c r="H690" i="61"/>
  <c r="K689" i="61"/>
  <c r="L689" i="61" s="1"/>
  <c r="H689" i="61"/>
  <c r="K688" i="61"/>
  <c r="H688" i="61"/>
  <c r="H687" i="61"/>
  <c r="K687" i="61" s="1"/>
  <c r="H686" i="61"/>
  <c r="H685" i="61"/>
  <c r="H684" i="61"/>
  <c r="K684" i="61" s="1"/>
  <c r="H683" i="61"/>
  <c r="K682" i="61"/>
  <c r="H682" i="61"/>
  <c r="K681" i="61"/>
  <c r="L681" i="61" s="1"/>
  <c r="H681" i="61"/>
  <c r="K680" i="61"/>
  <c r="L680" i="61" s="1"/>
  <c r="H680" i="61"/>
  <c r="H679" i="61"/>
  <c r="K679" i="61" s="1"/>
  <c r="H678" i="61"/>
  <c r="K677" i="61"/>
  <c r="H677" i="61"/>
  <c r="H676" i="61"/>
  <c r="K676" i="61" s="1"/>
  <c r="L676" i="61" s="1"/>
  <c r="H675" i="61"/>
  <c r="K674" i="61"/>
  <c r="H674" i="61"/>
  <c r="L673" i="61"/>
  <c r="K673" i="61"/>
  <c r="H673" i="61"/>
  <c r="K672" i="61"/>
  <c r="L672" i="61" s="1"/>
  <c r="H672" i="61"/>
  <c r="H671" i="61"/>
  <c r="K671" i="61" s="1"/>
  <c r="L671" i="61" s="1"/>
  <c r="M671" i="61" s="1"/>
  <c r="H670" i="61"/>
  <c r="H669" i="61"/>
  <c r="H668" i="61"/>
  <c r="K668" i="61" s="1"/>
  <c r="L668" i="61" s="1"/>
  <c r="K667" i="61"/>
  <c r="L667" i="61" s="1"/>
  <c r="H667" i="61"/>
  <c r="H666" i="61"/>
  <c r="K666" i="61" s="1"/>
  <c r="K665" i="61"/>
  <c r="L665" i="61" s="1"/>
  <c r="H665" i="61"/>
  <c r="K664" i="61"/>
  <c r="H664" i="61"/>
  <c r="H663" i="61"/>
  <c r="K663" i="61" s="1"/>
  <c r="H662" i="61"/>
  <c r="M661" i="61"/>
  <c r="K661" i="61"/>
  <c r="L661" i="61" s="1"/>
  <c r="H661" i="61"/>
  <c r="H660" i="61"/>
  <c r="K660" i="61" s="1"/>
  <c r="L660" i="61" s="1"/>
  <c r="H659" i="61"/>
  <c r="K659" i="61" s="1"/>
  <c r="K658" i="61"/>
  <c r="H658" i="61"/>
  <c r="K657" i="61"/>
  <c r="L657" i="61" s="1"/>
  <c r="H657" i="61"/>
  <c r="K656" i="61"/>
  <c r="L656" i="61" s="1"/>
  <c r="H656" i="61"/>
  <c r="H655" i="61"/>
  <c r="K655" i="61" s="1"/>
  <c r="L655" i="61" s="1"/>
  <c r="H654" i="61"/>
  <c r="K653" i="61"/>
  <c r="H653" i="61"/>
  <c r="H652" i="61"/>
  <c r="K652" i="61" s="1"/>
  <c r="L652" i="61" s="1"/>
  <c r="H651" i="61"/>
  <c r="K651" i="61" s="1"/>
  <c r="L651" i="61" s="1"/>
  <c r="H650" i="61"/>
  <c r="K649" i="61"/>
  <c r="L649" i="61" s="1"/>
  <c r="H649" i="61"/>
  <c r="K648" i="61"/>
  <c r="L648" i="61" s="1"/>
  <c r="H648" i="61"/>
  <c r="H647" i="61"/>
  <c r="K647" i="61" s="1"/>
  <c r="L647" i="61" s="1"/>
  <c r="H646" i="61"/>
  <c r="K645" i="61"/>
  <c r="H645" i="61"/>
  <c r="H644" i="61"/>
  <c r="K644" i="61" s="1"/>
  <c r="L644" i="61" s="1"/>
  <c r="H643" i="61"/>
  <c r="K643" i="61" s="1"/>
  <c r="L643" i="61" s="1"/>
  <c r="H642" i="61"/>
  <c r="K641" i="61"/>
  <c r="L641" i="61" s="1"/>
  <c r="H641" i="61"/>
  <c r="K640" i="61"/>
  <c r="L640" i="61" s="1"/>
  <c r="H640" i="61"/>
  <c r="H639" i="61"/>
  <c r="K639" i="61" s="1"/>
  <c r="L639" i="61" s="1"/>
  <c r="H638" i="61"/>
  <c r="K637" i="61"/>
  <c r="H637" i="61"/>
  <c r="H636" i="61"/>
  <c r="K636" i="61" s="1"/>
  <c r="L636" i="61" s="1"/>
  <c r="H635" i="61"/>
  <c r="K635" i="61" s="1"/>
  <c r="H634" i="61"/>
  <c r="K634" i="61" s="1"/>
  <c r="K633" i="61"/>
  <c r="L633" i="61" s="1"/>
  <c r="H633" i="61"/>
  <c r="K632" i="61"/>
  <c r="L632" i="61" s="1"/>
  <c r="H632" i="61"/>
  <c r="H631" i="61"/>
  <c r="K631" i="61" s="1"/>
  <c r="L631" i="61" s="1"/>
  <c r="M631" i="61" s="1"/>
  <c r="H630" i="61"/>
  <c r="K629" i="61"/>
  <c r="L629" i="61" s="1"/>
  <c r="M629" i="61" s="1"/>
  <c r="H629" i="61"/>
  <c r="L628" i="61"/>
  <c r="H628" i="61"/>
  <c r="K628" i="61" s="1"/>
  <c r="K627" i="61"/>
  <c r="L627" i="61" s="1"/>
  <c r="H627" i="61"/>
  <c r="H626" i="61"/>
  <c r="K626" i="61" s="1"/>
  <c r="K625" i="61"/>
  <c r="L625" i="61" s="1"/>
  <c r="H625" i="61"/>
  <c r="K624" i="61"/>
  <c r="L624" i="61" s="1"/>
  <c r="H624" i="61"/>
  <c r="H623" i="61"/>
  <c r="K623" i="61" s="1"/>
  <c r="H622" i="61"/>
  <c r="H621" i="61"/>
  <c r="H620" i="61"/>
  <c r="K620" i="61" s="1"/>
  <c r="L620" i="61" s="1"/>
  <c r="K619" i="61"/>
  <c r="L619" i="61" s="1"/>
  <c r="H619" i="61"/>
  <c r="H618" i="61"/>
  <c r="K618" i="61" s="1"/>
  <c r="K617" i="61"/>
  <c r="L617" i="61" s="1"/>
  <c r="H617" i="61"/>
  <c r="K616" i="61"/>
  <c r="L616" i="61" s="1"/>
  <c r="H616" i="61"/>
  <c r="H615" i="61"/>
  <c r="K615" i="61" s="1"/>
  <c r="L615" i="61" s="1"/>
  <c r="H614" i="61"/>
  <c r="H613" i="61"/>
  <c r="H612" i="61"/>
  <c r="K612" i="61" s="1"/>
  <c r="L612" i="61" s="1"/>
  <c r="H611" i="61"/>
  <c r="K611" i="61" s="1"/>
  <c r="K610" i="61"/>
  <c r="H610" i="61"/>
  <c r="K609" i="61"/>
  <c r="H609" i="61"/>
  <c r="K608" i="61"/>
  <c r="H608" i="61"/>
  <c r="H607" i="61"/>
  <c r="K607" i="61" s="1"/>
  <c r="L607" i="61" s="1"/>
  <c r="M607" i="61" s="1"/>
  <c r="H606" i="61"/>
  <c r="K605" i="61"/>
  <c r="L605" i="61" s="1"/>
  <c r="H605" i="61"/>
  <c r="H604" i="61"/>
  <c r="K604" i="61" s="1"/>
  <c r="L604" i="61" s="1"/>
  <c r="H603" i="61"/>
  <c r="K603" i="61" s="1"/>
  <c r="K602" i="61"/>
  <c r="H602" i="61"/>
  <c r="K601" i="61"/>
  <c r="L601" i="61" s="1"/>
  <c r="H601" i="61"/>
  <c r="K600" i="61"/>
  <c r="H600" i="61"/>
  <c r="H599" i="61"/>
  <c r="K599" i="61" s="1"/>
  <c r="H598" i="61"/>
  <c r="K597" i="61"/>
  <c r="L597" i="61" s="1"/>
  <c r="H597" i="61"/>
  <c r="H596" i="61"/>
  <c r="K596" i="61" s="1"/>
  <c r="K595" i="61"/>
  <c r="L595" i="61" s="1"/>
  <c r="H595" i="61"/>
  <c r="H594" i="61"/>
  <c r="K594" i="61" s="1"/>
  <c r="K593" i="61"/>
  <c r="L593" i="61" s="1"/>
  <c r="H593" i="61"/>
  <c r="L592" i="61"/>
  <c r="K592" i="61"/>
  <c r="H592" i="61"/>
  <c r="H591" i="61"/>
  <c r="K591" i="61" s="1"/>
  <c r="H590" i="61"/>
  <c r="H589" i="61"/>
  <c r="L588" i="61"/>
  <c r="H588" i="61"/>
  <c r="K588" i="61" s="1"/>
  <c r="K587" i="61"/>
  <c r="L587" i="61" s="1"/>
  <c r="H587" i="61"/>
  <c r="H586" i="61"/>
  <c r="K586" i="61" s="1"/>
  <c r="K585" i="61"/>
  <c r="H585" i="61"/>
  <c r="K584" i="61"/>
  <c r="H584" i="61"/>
  <c r="K583" i="61"/>
  <c r="H583" i="61"/>
  <c r="H582" i="61"/>
  <c r="K581" i="61"/>
  <c r="H581" i="61"/>
  <c r="K580" i="61"/>
  <c r="H580" i="61"/>
  <c r="K579" i="61"/>
  <c r="H579" i="61"/>
  <c r="H578" i="61"/>
  <c r="K577" i="61"/>
  <c r="H577" i="61"/>
  <c r="K576" i="61"/>
  <c r="H576" i="61"/>
  <c r="K575" i="61"/>
  <c r="H575" i="61"/>
  <c r="H574" i="61"/>
  <c r="K573" i="61"/>
  <c r="H573" i="61"/>
  <c r="K572" i="61"/>
  <c r="H572" i="61"/>
  <c r="K571" i="61"/>
  <c r="H571" i="61"/>
  <c r="H570" i="61"/>
  <c r="K569" i="61"/>
  <c r="H569" i="61"/>
  <c r="K568" i="61"/>
  <c r="H568" i="61"/>
  <c r="K567" i="61"/>
  <c r="H567" i="61"/>
  <c r="H566" i="61"/>
  <c r="M565" i="61"/>
  <c r="K565" i="61"/>
  <c r="L565" i="61" s="1"/>
  <c r="H565" i="61"/>
  <c r="K564" i="61"/>
  <c r="H564" i="61"/>
  <c r="K563" i="61"/>
  <c r="H563" i="61"/>
  <c r="H562" i="61"/>
  <c r="K561" i="61"/>
  <c r="L561" i="61" s="1"/>
  <c r="H561" i="61"/>
  <c r="K560" i="61"/>
  <c r="H560" i="61"/>
  <c r="K559" i="61"/>
  <c r="H559" i="61"/>
  <c r="H558" i="61"/>
  <c r="K557" i="61"/>
  <c r="L557" i="61" s="1"/>
  <c r="H557" i="61"/>
  <c r="K556" i="61"/>
  <c r="H556" i="61"/>
  <c r="K555" i="61"/>
  <c r="H555" i="61"/>
  <c r="H554" i="61"/>
  <c r="K553" i="61"/>
  <c r="L553" i="61" s="1"/>
  <c r="H553" i="61"/>
  <c r="K552" i="61"/>
  <c r="H552" i="61"/>
  <c r="K551" i="61"/>
  <c r="H551" i="61"/>
  <c r="H550" i="61"/>
  <c r="K549" i="61"/>
  <c r="H549" i="61"/>
  <c r="K548" i="61"/>
  <c r="H548" i="61"/>
  <c r="K547" i="61"/>
  <c r="H547" i="61"/>
  <c r="H546" i="61"/>
  <c r="K545" i="61"/>
  <c r="L545" i="61" s="1"/>
  <c r="H545" i="61"/>
  <c r="K544" i="61"/>
  <c r="H544" i="61"/>
  <c r="K543" i="61"/>
  <c r="H543" i="61"/>
  <c r="H542" i="61"/>
  <c r="K541" i="61"/>
  <c r="H541" i="61"/>
  <c r="K540" i="61"/>
  <c r="H540" i="61"/>
  <c r="K539" i="61"/>
  <c r="H539" i="61"/>
  <c r="H538" i="61"/>
  <c r="K537" i="61"/>
  <c r="H537" i="61"/>
  <c r="H536" i="61"/>
  <c r="K535" i="61"/>
  <c r="H535" i="61"/>
  <c r="H534" i="61"/>
  <c r="K533" i="61"/>
  <c r="L533" i="61" s="1"/>
  <c r="H533" i="61"/>
  <c r="K532" i="61"/>
  <c r="H532" i="61"/>
  <c r="K531" i="61"/>
  <c r="H531" i="61"/>
  <c r="H530" i="61"/>
  <c r="K529" i="61"/>
  <c r="L529" i="61" s="1"/>
  <c r="H529" i="61"/>
  <c r="H528" i="61"/>
  <c r="K527" i="61"/>
  <c r="H527" i="61"/>
  <c r="H526" i="61"/>
  <c r="K525" i="61"/>
  <c r="L525" i="61" s="1"/>
  <c r="H525" i="61"/>
  <c r="K524" i="61"/>
  <c r="H524" i="61"/>
  <c r="K523" i="61"/>
  <c r="H523" i="61"/>
  <c r="H522" i="61"/>
  <c r="K521" i="61"/>
  <c r="H521" i="61"/>
  <c r="H520" i="61"/>
  <c r="K519" i="61"/>
  <c r="H519" i="61"/>
  <c r="H518" i="61"/>
  <c r="K517" i="61"/>
  <c r="L517" i="61" s="1"/>
  <c r="H517" i="61"/>
  <c r="K516" i="61"/>
  <c r="H516" i="61"/>
  <c r="K515" i="61"/>
  <c r="H515" i="61"/>
  <c r="H514" i="61"/>
  <c r="K513" i="61"/>
  <c r="L513" i="61" s="1"/>
  <c r="H513" i="61"/>
  <c r="H512" i="61"/>
  <c r="K511" i="61"/>
  <c r="H511" i="61"/>
  <c r="H510" i="61"/>
  <c r="K509" i="61"/>
  <c r="H509" i="61"/>
  <c r="K508" i="61"/>
  <c r="H508" i="61"/>
  <c r="K507" i="61"/>
  <c r="H507" i="61"/>
  <c r="H506" i="61"/>
  <c r="K505" i="61"/>
  <c r="H505" i="61"/>
  <c r="H504" i="61"/>
  <c r="K503" i="61"/>
  <c r="H503" i="61"/>
  <c r="H502" i="61"/>
  <c r="K501" i="61"/>
  <c r="L501" i="61" s="1"/>
  <c r="H501" i="61"/>
  <c r="K500" i="61"/>
  <c r="H500" i="61"/>
  <c r="K499" i="61"/>
  <c r="H499" i="61"/>
  <c r="H498" i="61"/>
  <c r="K497" i="61"/>
  <c r="H497" i="61"/>
  <c r="H496" i="61"/>
  <c r="K495" i="61"/>
  <c r="L495" i="61" s="1"/>
  <c r="H495" i="61"/>
  <c r="H494" i="61"/>
  <c r="K493" i="61"/>
  <c r="H493" i="61"/>
  <c r="H492" i="61"/>
  <c r="K491" i="61"/>
  <c r="L491" i="61" s="1"/>
  <c r="H491" i="61"/>
  <c r="H490" i="61"/>
  <c r="K489" i="61"/>
  <c r="H489" i="61"/>
  <c r="H488" i="61"/>
  <c r="K487" i="61"/>
  <c r="L487" i="61" s="1"/>
  <c r="H487" i="61"/>
  <c r="H486" i="61"/>
  <c r="K485" i="61"/>
  <c r="H485" i="61"/>
  <c r="H484" i="61"/>
  <c r="K483" i="61"/>
  <c r="L483" i="61" s="1"/>
  <c r="H483" i="61"/>
  <c r="H482" i="61"/>
  <c r="K481" i="61"/>
  <c r="H481" i="61"/>
  <c r="H480" i="61"/>
  <c r="K479" i="61"/>
  <c r="L479" i="61" s="1"/>
  <c r="H479" i="61"/>
  <c r="H478" i="61"/>
  <c r="K477" i="61"/>
  <c r="H477" i="61"/>
  <c r="H476" i="61"/>
  <c r="K475" i="61"/>
  <c r="L475" i="61" s="1"/>
  <c r="H475" i="61"/>
  <c r="H474" i="61"/>
  <c r="K473" i="61"/>
  <c r="H473" i="61"/>
  <c r="H472" i="61"/>
  <c r="K471" i="61"/>
  <c r="L471" i="61" s="1"/>
  <c r="H471" i="61"/>
  <c r="H470" i="61"/>
  <c r="K469" i="61"/>
  <c r="H469" i="61"/>
  <c r="H468" i="61"/>
  <c r="K467" i="61"/>
  <c r="L467" i="61" s="1"/>
  <c r="H467" i="61"/>
  <c r="H466" i="61"/>
  <c r="K465" i="61"/>
  <c r="H465" i="61"/>
  <c r="H464" i="61"/>
  <c r="K463" i="61"/>
  <c r="L463" i="61" s="1"/>
  <c r="H463" i="61"/>
  <c r="H462" i="61"/>
  <c r="K461" i="61"/>
  <c r="H461" i="61"/>
  <c r="H460" i="61"/>
  <c r="K459" i="61"/>
  <c r="L459" i="61" s="1"/>
  <c r="H459" i="61"/>
  <c r="H458" i="61"/>
  <c r="K457" i="61"/>
  <c r="H457" i="61"/>
  <c r="H456" i="61"/>
  <c r="K455" i="61"/>
  <c r="L455" i="61" s="1"/>
  <c r="H455" i="61"/>
  <c r="H454" i="61"/>
  <c r="K453" i="61"/>
  <c r="H453" i="61"/>
  <c r="H452" i="61"/>
  <c r="K451" i="61"/>
  <c r="L451" i="61" s="1"/>
  <c r="H451" i="61"/>
  <c r="H450" i="61"/>
  <c r="K449" i="61"/>
  <c r="H449" i="61"/>
  <c r="H448" i="61"/>
  <c r="K447" i="61"/>
  <c r="L447" i="61" s="1"/>
  <c r="H447" i="61"/>
  <c r="H446" i="61"/>
  <c r="K445" i="61"/>
  <c r="H445" i="61"/>
  <c r="H444" i="61"/>
  <c r="K443" i="61"/>
  <c r="L443" i="61" s="1"/>
  <c r="H443" i="61"/>
  <c r="H442" i="61"/>
  <c r="K441" i="61"/>
  <c r="H441" i="61"/>
  <c r="H440" i="61"/>
  <c r="K439" i="61"/>
  <c r="H439" i="61"/>
  <c r="H438" i="61"/>
  <c r="K437" i="61"/>
  <c r="H437" i="61"/>
  <c r="H436" i="61"/>
  <c r="K435" i="61"/>
  <c r="L435" i="61" s="1"/>
  <c r="H435" i="61"/>
  <c r="H434" i="61"/>
  <c r="K433" i="61"/>
  <c r="H433" i="61"/>
  <c r="H432" i="61"/>
  <c r="K431" i="61"/>
  <c r="L431" i="61" s="1"/>
  <c r="H431" i="61"/>
  <c r="H430" i="61"/>
  <c r="K429" i="61"/>
  <c r="H429" i="61"/>
  <c r="H428" i="61"/>
  <c r="K427" i="61"/>
  <c r="L427" i="61" s="1"/>
  <c r="H427" i="61"/>
  <c r="H426" i="61"/>
  <c r="K425" i="61"/>
  <c r="H425" i="61"/>
  <c r="H424" i="61"/>
  <c r="K423" i="61"/>
  <c r="L423" i="61" s="1"/>
  <c r="H423" i="61"/>
  <c r="H422" i="61"/>
  <c r="K421" i="61"/>
  <c r="H421" i="61"/>
  <c r="H420" i="61"/>
  <c r="K419" i="61"/>
  <c r="L419" i="61" s="1"/>
  <c r="H419" i="61"/>
  <c r="H418" i="61"/>
  <c r="K417" i="61"/>
  <c r="H417" i="61"/>
  <c r="H416" i="61"/>
  <c r="K415" i="61"/>
  <c r="L415" i="61" s="1"/>
  <c r="H415" i="61"/>
  <c r="H414" i="61"/>
  <c r="K413" i="61"/>
  <c r="H413" i="61"/>
  <c r="H412" i="61"/>
  <c r="K411" i="61"/>
  <c r="L411" i="61" s="1"/>
  <c r="H411" i="61"/>
  <c r="H410" i="61"/>
  <c r="K409" i="61"/>
  <c r="H409" i="61"/>
  <c r="H408" i="61"/>
  <c r="K407" i="61"/>
  <c r="L407" i="61" s="1"/>
  <c r="H407" i="61"/>
  <c r="H406" i="61"/>
  <c r="K405" i="61"/>
  <c r="H405" i="61"/>
  <c r="H404" i="61"/>
  <c r="K403" i="61"/>
  <c r="L403" i="61" s="1"/>
  <c r="H403" i="61"/>
  <c r="H402" i="61"/>
  <c r="K401" i="61"/>
  <c r="H401" i="61"/>
  <c r="H400" i="61"/>
  <c r="K399" i="61"/>
  <c r="L399" i="61" s="1"/>
  <c r="H399" i="61"/>
  <c r="H398" i="61"/>
  <c r="K397" i="61"/>
  <c r="H397" i="61"/>
  <c r="H396" i="61"/>
  <c r="K395" i="61"/>
  <c r="L395" i="61" s="1"/>
  <c r="H395" i="61"/>
  <c r="H394" i="61"/>
  <c r="K393" i="61"/>
  <c r="H393" i="61"/>
  <c r="H392" i="61"/>
  <c r="K391" i="61"/>
  <c r="H391" i="61"/>
  <c r="H390" i="61"/>
  <c r="K389" i="61"/>
  <c r="H389" i="61"/>
  <c r="H388" i="61"/>
  <c r="K387" i="61"/>
  <c r="H387" i="61"/>
  <c r="H386" i="61"/>
  <c r="K385" i="61"/>
  <c r="H385" i="61"/>
  <c r="H384" i="61"/>
  <c r="K383" i="61"/>
  <c r="H383" i="61"/>
  <c r="H382" i="61"/>
  <c r="K381" i="61"/>
  <c r="L381" i="61" s="1"/>
  <c r="H381" i="61"/>
  <c r="H380" i="61"/>
  <c r="K379" i="61"/>
  <c r="H379" i="61"/>
  <c r="H378" i="61"/>
  <c r="K377" i="61"/>
  <c r="L377" i="61" s="1"/>
  <c r="H377" i="61"/>
  <c r="H376" i="61"/>
  <c r="K375" i="61"/>
  <c r="H375" i="61"/>
  <c r="H374" i="61"/>
  <c r="K373" i="61"/>
  <c r="L373" i="61" s="1"/>
  <c r="H373" i="61"/>
  <c r="H372" i="61"/>
  <c r="K371" i="61"/>
  <c r="H371" i="61"/>
  <c r="H370" i="61"/>
  <c r="K369" i="61"/>
  <c r="L369" i="61" s="1"/>
  <c r="H369" i="61"/>
  <c r="H368" i="61"/>
  <c r="K367" i="61"/>
  <c r="H367" i="61"/>
  <c r="H366" i="61"/>
  <c r="K365" i="61"/>
  <c r="L365" i="61" s="1"/>
  <c r="H365" i="61"/>
  <c r="H364" i="61"/>
  <c r="K363" i="61"/>
  <c r="H363" i="61"/>
  <c r="H362" i="61"/>
  <c r="K361" i="61"/>
  <c r="L361" i="61" s="1"/>
  <c r="H361" i="61"/>
  <c r="H360" i="61"/>
  <c r="K359" i="61"/>
  <c r="H359" i="61"/>
  <c r="H358" i="61"/>
  <c r="K357" i="61"/>
  <c r="L357" i="61" s="1"/>
  <c r="H357" i="61"/>
  <c r="H356" i="61"/>
  <c r="K355" i="61"/>
  <c r="H355" i="61"/>
  <c r="H354" i="61"/>
  <c r="K353" i="61"/>
  <c r="L353" i="61" s="1"/>
  <c r="H353" i="61"/>
  <c r="H352" i="61"/>
  <c r="K351" i="61"/>
  <c r="H351" i="61"/>
  <c r="H350" i="61"/>
  <c r="K349" i="61"/>
  <c r="L349" i="61" s="1"/>
  <c r="H349" i="61"/>
  <c r="H348" i="61"/>
  <c r="K347" i="61"/>
  <c r="H347" i="61"/>
  <c r="H346" i="61"/>
  <c r="K345" i="61"/>
  <c r="L345" i="61" s="1"/>
  <c r="H345" i="61"/>
  <c r="H344" i="61"/>
  <c r="K343" i="61"/>
  <c r="H343" i="61"/>
  <c r="H342" i="61"/>
  <c r="K341" i="61"/>
  <c r="L341" i="61" s="1"/>
  <c r="H341" i="61"/>
  <c r="H340" i="61"/>
  <c r="K339" i="61"/>
  <c r="H339" i="61"/>
  <c r="H338" i="61"/>
  <c r="K337" i="61"/>
  <c r="L337" i="61" s="1"/>
  <c r="H337" i="61"/>
  <c r="H336" i="61"/>
  <c r="K335" i="61"/>
  <c r="H335" i="61"/>
  <c r="H334" i="61"/>
  <c r="K333" i="61"/>
  <c r="L333" i="61" s="1"/>
  <c r="H333" i="61"/>
  <c r="H332" i="61"/>
  <c r="K331" i="61"/>
  <c r="H331" i="61"/>
  <c r="H330" i="61"/>
  <c r="K329" i="61"/>
  <c r="L329" i="61" s="1"/>
  <c r="H329" i="61"/>
  <c r="H328" i="61"/>
  <c r="K327" i="61"/>
  <c r="H327" i="61"/>
  <c r="H326" i="61"/>
  <c r="K325" i="61"/>
  <c r="L325" i="61" s="1"/>
  <c r="H325" i="61"/>
  <c r="H324" i="61"/>
  <c r="K323" i="61"/>
  <c r="H323" i="61"/>
  <c r="H322" i="61"/>
  <c r="K321" i="61"/>
  <c r="L321" i="61" s="1"/>
  <c r="H321" i="61"/>
  <c r="H320" i="61"/>
  <c r="K319" i="61"/>
  <c r="H319" i="61"/>
  <c r="H318" i="61"/>
  <c r="K317" i="61"/>
  <c r="L317" i="61" s="1"/>
  <c r="H317" i="61"/>
  <c r="H316" i="61"/>
  <c r="K315" i="61"/>
  <c r="H315" i="61"/>
  <c r="H314" i="61"/>
  <c r="K313" i="61"/>
  <c r="L313" i="61" s="1"/>
  <c r="H313" i="61"/>
  <c r="H312" i="61"/>
  <c r="K311" i="61"/>
  <c r="H311" i="61"/>
  <c r="H310" i="61"/>
  <c r="K309" i="61"/>
  <c r="H309" i="61"/>
  <c r="H308" i="61"/>
  <c r="K307" i="61"/>
  <c r="H307" i="61"/>
  <c r="H306" i="61"/>
  <c r="K305" i="61"/>
  <c r="H305" i="61"/>
  <c r="H304" i="61"/>
  <c r="K303" i="61"/>
  <c r="H303" i="61"/>
  <c r="H302" i="61"/>
  <c r="K301" i="61"/>
  <c r="H301" i="61"/>
  <c r="H300" i="61"/>
  <c r="K299" i="61"/>
  <c r="H299" i="61"/>
  <c r="H298" i="61"/>
  <c r="K297" i="61"/>
  <c r="H297" i="61"/>
  <c r="H296" i="61"/>
  <c r="K295" i="61"/>
  <c r="H295" i="61"/>
  <c r="H294" i="61"/>
  <c r="K293" i="61"/>
  <c r="H293" i="61"/>
  <c r="H292" i="61"/>
  <c r="K291" i="61"/>
  <c r="H291" i="61"/>
  <c r="H290" i="61"/>
  <c r="K289" i="61"/>
  <c r="H289" i="61"/>
  <c r="H288" i="61"/>
  <c r="K287" i="61"/>
  <c r="H287" i="61"/>
  <c r="H286" i="61"/>
  <c r="K285" i="61"/>
  <c r="H285" i="61"/>
  <c r="H284" i="61"/>
  <c r="K283" i="61"/>
  <c r="H283" i="61"/>
  <c r="H282" i="61"/>
  <c r="K281" i="61"/>
  <c r="H281" i="61"/>
  <c r="H280" i="61"/>
  <c r="K279" i="61"/>
  <c r="H279" i="61"/>
  <c r="H278" i="61"/>
  <c r="K277" i="61"/>
  <c r="H277" i="61"/>
  <c r="H276" i="61"/>
  <c r="K275" i="61"/>
  <c r="H275" i="61"/>
  <c r="H274" i="61"/>
  <c r="K273" i="61"/>
  <c r="H273" i="61"/>
  <c r="H272" i="61"/>
  <c r="K271" i="61"/>
  <c r="H271" i="61"/>
  <c r="H270" i="61"/>
  <c r="K269" i="61"/>
  <c r="H269" i="61"/>
  <c r="H268" i="61"/>
  <c r="K267" i="61"/>
  <c r="H267" i="61"/>
  <c r="H266" i="61"/>
  <c r="K265" i="61"/>
  <c r="H265" i="61"/>
  <c r="H264" i="61"/>
  <c r="K263" i="61"/>
  <c r="H263" i="61"/>
  <c r="H262" i="61"/>
  <c r="K261" i="61"/>
  <c r="H261" i="61"/>
  <c r="H260" i="61"/>
  <c r="K259" i="61"/>
  <c r="H259" i="61"/>
  <c r="H258" i="61"/>
  <c r="K257" i="61"/>
  <c r="H257" i="61"/>
  <c r="K256" i="61"/>
  <c r="L256" i="61" s="1"/>
  <c r="H256" i="61"/>
  <c r="K255" i="61"/>
  <c r="H255" i="61"/>
  <c r="K254" i="61"/>
  <c r="L254" i="61" s="1"/>
  <c r="H254" i="61"/>
  <c r="K253" i="61"/>
  <c r="H253" i="61"/>
  <c r="K252" i="61"/>
  <c r="L252" i="61" s="1"/>
  <c r="H252" i="61"/>
  <c r="K251" i="61"/>
  <c r="H251" i="61"/>
  <c r="K250" i="61"/>
  <c r="L250" i="61" s="1"/>
  <c r="H250" i="61"/>
  <c r="K249" i="61"/>
  <c r="H249" i="61"/>
  <c r="K248" i="61"/>
  <c r="L248" i="61" s="1"/>
  <c r="H248" i="61"/>
  <c r="K247" i="61"/>
  <c r="H247" i="61"/>
  <c r="K246" i="61"/>
  <c r="L246" i="61" s="1"/>
  <c r="H246" i="61"/>
  <c r="K245" i="61"/>
  <c r="H245" i="61"/>
  <c r="K244" i="61"/>
  <c r="L244" i="61" s="1"/>
  <c r="H244" i="61"/>
  <c r="K243" i="61"/>
  <c r="H243" i="61"/>
  <c r="K242" i="61"/>
  <c r="L242" i="61" s="1"/>
  <c r="H242" i="61"/>
  <c r="K241" i="61"/>
  <c r="H241" i="61"/>
  <c r="K240" i="61"/>
  <c r="L240" i="61" s="1"/>
  <c r="H240" i="61"/>
  <c r="K239" i="61"/>
  <c r="H239" i="61"/>
  <c r="K238" i="61"/>
  <c r="L238" i="61" s="1"/>
  <c r="H238" i="61"/>
  <c r="K237" i="61"/>
  <c r="H237" i="61"/>
  <c r="K236" i="61"/>
  <c r="L236" i="61" s="1"/>
  <c r="H236" i="61"/>
  <c r="K235" i="61"/>
  <c r="H235" i="61"/>
  <c r="K234" i="61"/>
  <c r="L234" i="61" s="1"/>
  <c r="H234" i="61"/>
  <c r="K233" i="61"/>
  <c r="H233" i="61"/>
  <c r="M232" i="61"/>
  <c r="K232" i="61"/>
  <c r="L232" i="61" s="1"/>
  <c r="H232" i="61"/>
  <c r="K231" i="61"/>
  <c r="H231" i="61"/>
  <c r="K230" i="61"/>
  <c r="L230" i="61" s="1"/>
  <c r="H230" i="61"/>
  <c r="K229" i="61"/>
  <c r="H229" i="61"/>
  <c r="K228" i="61"/>
  <c r="L228" i="61" s="1"/>
  <c r="H228" i="61"/>
  <c r="K227" i="61"/>
  <c r="H227" i="61"/>
  <c r="K226" i="61"/>
  <c r="L226" i="61" s="1"/>
  <c r="H226" i="61"/>
  <c r="K225" i="61"/>
  <c r="H225" i="61"/>
  <c r="K224" i="61"/>
  <c r="L224" i="61" s="1"/>
  <c r="H224" i="61"/>
  <c r="K223" i="61"/>
  <c r="H223" i="61"/>
  <c r="K222" i="61"/>
  <c r="L222" i="61" s="1"/>
  <c r="H222" i="61"/>
  <c r="K221" i="61"/>
  <c r="H221" i="61"/>
  <c r="K220" i="61"/>
  <c r="L220" i="61" s="1"/>
  <c r="H220" i="61"/>
  <c r="K219" i="61"/>
  <c r="H219" i="61"/>
  <c r="K218" i="61"/>
  <c r="L218" i="61" s="1"/>
  <c r="H218" i="61"/>
  <c r="K217" i="61"/>
  <c r="H217" i="61"/>
  <c r="K216" i="61"/>
  <c r="L216" i="61" s="1"/>
  <c r="H216" i="61"/>
  <c r="K215" i="61"/>
  <c r="H215" i="61"/>
  <c r="K214" i="61"/>
  <c r="L214" i="61" s="1"/>
  <c r="H214" i="61"/>
  <c r="K213" i="61"/>
  <c r="H213" i="61"/>
  <c r="K212" i="61"/>
  <c r="H212" i="61"/>
  <c r="K211" i="61"/>
  <c r="L211" i="61" s="1"/>
  <c r="H211" i="61"/>
  <c r="K210" i="61"/>
  <c r="L210" i="61" s="1"/>
  <c r="H210" i="61"/>
  <c r="K209" i="61"/>
  <c r="L209" i="61" s="1"/>
  <c r="H209" i="61"/>
  <c r="K208" i="61"/>
  <c r="L208" i="61" s="1"/>
  <c r="H208" i="61"/>
  <c r="K207" i="61"/>
  <c r="L207" i="61" s="1"/>
  <c r="H207" i="61"/>
  <c r="K206" i="61"/>
  <c r="H206" i="61"/>
  <c r="K205" i="61"/>
  <c r="H205" i="61"/>
  <c r="K204" i="61"/>
  <c r="H204" i="61"/>
  <c r="K203" i="61"/>
  <c r="H203" i="61"/>
  <c r="K202" i="61"/>
  <c r="L202" i="61" s="1"/>
  <c r="H202" i="61"/>
  <c r="K201" i="61"/>
  <c r="L201" i="61" s="1"/>
  <c r="H201" i="61"/>
  <c r="K200" i="61"/>
  <c r="L200" i="61" s="1"/>
  <c r="H200" i="61"/>
  <c r="M199" i="61"/>
  <c r="K199" i="61"/>
  <c r="L199" i="61" s="1"/>
  <c r="H199" i="61"/>
  <c r="K198" i="61"/>
  <c r="H198" i="61"/>
  <c r="K197" i="61"/>
  <c r="H197" i="61"/>
  <c r="K196" i="61"/>
  <c r="H196" i="61"/>
  <c r="K195" i="61"/>
  <c r="L195" i="61" s="1"/>
  <c r="H195" i="61"/>
  <c r="K194" i="61"/>
  <c r="L194" i="61" s="1"/>
  <c r="H194" i="61"/>
  <c r="K193" i="61"/>
  <c r="L193" i="61" s="1"/>
  <c r="H193" i="61"/>
  <c r="K192" i="61"/>
  <c r="L192" i="61" s="1"/>
  <c r="H192" i="61"/>
  <c r="K191" i="61"/>
  <c r="L191" i="61" s="1"/>
  <c r="H191" i="61"/>
  <c r="K190" i="61"/>
  <c r="H190" i="61"/>
  <c r="K189" i="61"/>
  <c r="H189" i="61"/>
  <c r="K188" i="61"/>
  <c r="H188" i="61"/>
  <c r="K187" i="61"/>
  <c r="L187" i="61" s="1"/>
  <c r="H187" i="61"/>
  <c r="K186" i="61"/>
  <c r="L186" i="61" s="1"/>
  <c r="H186" i="61"/>
  <c r="K185" i="61"/>
  <c r="L185" i="61" s="1"/>
  <c r="H185" i="61"/>
  <c r="K184" i="61"/>
  <c r="L184" i="61" s="1"/>
  <c r="H184" i="61"/>
  <c r="K183" i="61"/>
  <c r="L183" i="61" s="1"/>
  <c r="H183" i="61"/>
  <c r="K182" i="61"/>
  <c r="H182" i="61"/>
  <c r="K181" i="61"/>
  <c r="H181" i="61"/>
  <c r="K180" i="61"/>
  <c r="H180" i="61"/>
  <c r="K179" i="61"/>
  <c r="L179" i="61" s="1"/>
  <c r="H179" i="61"/>
  <c r="K178" i="61"/>
  <c r="L178" i="61" s="1"/>
  <c r="H178" i="61"/>
  <c r="K177" i="61"/>
  <c r="L177" i="61" s="1"/>
  <c r="H177" i="61"/>
  <c r="M176" i="61"/>
  <c r="K176" i="61"/>
  <c r="L176" i="61" s="1"/>
  <c r="H176" i="61"/>
  <c r="K175" i="61"/>
  <c r="L175" i="61" s="1"/>
  <c r="H175" i="61"/>
  <c r="K174" i="61"/>
  <c r="H174" i="61"/>
  <c r="K173" i="61"/>
  <c r="H173" i="61"/>
  <c r="K172" i="61"/>
  <c r="H172" i="61"/>
  <c r="K171" i="61"/>
  <c r="L171" i="61" s="1"/>
  <c r="H171" i="61"/>
  <c r="K170" i="61"/>
  <c r="L170" i="61" s="1"/>
  <c r="H170" i="61"/>
  <c r="K169" i="61"/>
  <c r="H169" i="61"/>
  <c r="K168" i="61"/>
  <c r="H168" i="61"/>
  <c r="K167" i="61"/>
  <c r="L167" i="61" s="1"/>
  <c r="H167" i="61"/>
  <c r="K166" i="61"/>
  <c r="L166" i="61" s="1"/>
  <c r="H166" i="61"/>
  <c r="K165" i="61"/>
  <c r="H165" i="61"/>
  <c r="K164" i="61"/>
  <c r="H164" i="61"/>
  <c r="K163" i="61"/>
  <c r="L163" i="61" s="1"/>
  <c r="H163" i="61"/>
  <c r="K162" i="61"/>
  <c r="L162" i="61" s="1"/>
  <c r="H162" i="61"/>
  <c r="K161" i="61"/>
  <c r="H161" i="61"/>
  <c r="K160" i="61"/>
  <c r="H160" i="61"/>
  <c r="L159" i="61"/>
  <c r="K159" i="61"/>
  <c r="H159" i="61"/>
  <c r="K158" i="61"/>
  <c r="L158" i="61" s="1"/>
  <c r="H158" i="61"/>
  <c r="K157" i="61"/>
  <c r="H157" i="61"/>
  <c r="K156" i="61"/>
  <c r="H156" i="61"/>
  <c r="K155" i="61"/>
  <c r="L155" i="61" s="1"/>
  <c r="H155" i="61"/>
  <c r="K154" i="61"/>
  <c r="L154" i="61" s="1"/>
  <c r="H154" i="61"/>
  <c r="K153" i="61"/>
  <c r="H153" i="61"/>
  <c r="K152" i="61"/>
  <c r="H152" i="61"/>
  <c r="K151" i="61"/>
  <c r="L151" i="61" s="1"/>
  <c r="H151" i="61"/>
  <c r="K150" i="61"/>
  <c r="L150" i="61" s="1"/>
  <c r="H150" i="61"/>
  <c r="K149" i="61"/>
  <c r="H149" i="61"/>
  <c r="K148" i="61"/>
  <c r="H148" i="61"/>
  <c r="K147" i="61"/>
  <c r="L147" i="61" s="1"/>
  <c r="H147" i="61"/>
  <c r="K146" i="61"/>
  <c r="L146" i="61" s="1"/>
  <c r="H146" i="61"/>
  <c r="K145" i="61"/>
  <c r="H145" i="61"/>
  <c r="K144" i="61"/>
  <c r="H144" i="61"/>
  <c r="L143" i="61"/>
  <c r="K143" i="61"/>
  <c r="H143" i="61"/>
  <c r="K142" i="61"/>
  <c r="L142" i="61" s="1"/>
  <c r="H142" i="61"/>
  <c r="K141" i="61"/>
  <c r="H141" i="61"/>
  <c r="K140" i="61"/>
  <c r="H140" i="61"/>
  <c r="K139" i="61"/>
  <c r="L139" i="61" s="1"/>
  <c r="H139" i="61"/>
  <c r="K138" i="61"/>
  <c r="L138" i="61" s="1"/>
  <c r="H138" i="61"/>
  <c r="K137" i="61"/>
  <c r="H137" i="61"/>
  <c r="K136" i="61"/>
  <c r="H136" i="61"/>
  <c r="K135" i="61"/>
  <c r="L135" i="61" s="1"/>
  <c r="H135" i="61"/>
  <c r="K134" i="61"/>
  <c r="L134" i="61" s="1"/>
  <c r="H134" i="61"/>
  <c r="K133" i="61"/>
  <c r="H133" i="61"/>
  <c r="K132" i="61"/>
  <c r="H132" i="61"/>
  <c r="K131" i="61"/>
  <c r="L131" i="61" s="1"/>
  <c r="H131" i="61"/>
  <c r="E131" i="61"/>
  <c r="H130" i="61"/>
  <c r="K130" i="61" s="1"/>
  <c r="K129" i="61"/>
  <c r="L129" i="61" s="1"/>
  <c r="H129" i="61"/>
  <c r="H128" i="61"/>
  <c r="K128" i="61" s="1"/>
  <c r="K127" i="61"/>
  <c r="H127" i="61"/>
  <c r="K126" i="61"/>
  <c r="H126" i="61"/>
  <c r="K125" i="61"/>
  <c r="L125" i="61" s="1"/>
  <c r="H125" i="61"/>
  <c r="K124" i="61"/>
  <c r="L124" i="61" s="1"/>
  <c r="H124" i="61"/>
  <c r="H123" i="61"/>
  <c r="H122" i="61"/>
  <c r="K122" i="61" s="1"/>
  <c r="K121" i="61"/>
  <c r="L121" i="61" s="1"/>
  <c r="H121" i="61"/>
  <c r="H120" i="61"/>
  <c r="K120" i="61" s="1"/>
  <c r="K119" i="61"/>
  <c r="H119" i="61"/>
  <c r="K118" i="61"/>
  <c r="H118" i="61"/>
  <c r="K117" i="61"/>
  <c r="H117" i="61"/>
  <c r="K116" i="61"/>
  <c r="L116" i="61" s="1"/>
  <c r="H116" i="61"/>
  <c r="H115" i="61"/>
  <c r="H114" i="61"/>
  <c r="K114" i="61" s="1"/>
  <c r="K113" i="61"/>
  <c r="L113" i="61" s="1"/>
  <c r="H113" i="61"/>
  <c r="H112" i="61"/>
  <c r="K112" i="61" s="1"/>
  <c r="K111" i="61"/>
  <c r="H111" i="61"/>
  <c r="K110" i="61"/>
  <c r="H110" i="61"/>
  <c r="K109" i="61"/>
  <c r="L109" i="61" s="1"/>
  <c r="H109" i="61"/>
  <c r="K108" i="61"/>
  <c r="L108" i="61" s="1"/>
  <c r="H108" i="61"/>
  <c r="H107" i="61"/>
  <c r="H106" i="61"/>
  <c r="K106" i="61" s="1"/>
  <c r="K105" i="61"/>
  <c r="L105" i="61" s="1"/>
  <c r="H105" i="61"/>
  <c r="H104" i="61"/>
  <c r="K104" i="61" s="1"/>
  <c r="K103" i="61"/>
  <c r="H103" i="61"/>
  <c r="K102" i="61"/>
  <c r="H102" i="61"/>
  <c r="K101" i="61"/>
  <c r="L101" i="61" s="1"/>
  <c r="H101" i="61"/>
  <c r="K100" i="61"/>
  <c r="H100" i="61"/>
  <c r="H99" i="61"/>
  <c r="H98" i="61"/>
  <c r="K98" i="61" s="1"/>
  <c r="H97" i="61"/>
  <c r="H96" i="61"/>
  <c r="K96" i="61" s="1"/>
  <c r="K95" i="61"/>
  <c r="H95" i="61"/>
  <c r="K94" i="61"/>
  <c r="H94" i="61"/>
  <c r="K93" i="61"/>
  <c r="L93" i="61" s="1"/>
  <c r="H93" i="61"/>
  <c r="K92" i="61"/>
  <c r="H92" i="61"/>
  <c r="H91" i="61"/>
  <c r="H90" i="61"/>
  <c r="K90" i="61" s="1"/>
  <c r="H89" i="61"/>
  <c r="H88" i="61"/>
  <c r="K88" i="61" s="1"/>
  <c r="K87" i="61"/>
  <c r="H87" i="61"/>
  <c r="K86" i="61"/>
  <c r="H86" i="61"/>
  <c r="K85" i="61"/>
  <c r="H85" i="61"/>
  <c r="K84" i="61"/>
  <c r="H84" i="61"/>
  <c r="H83" i="61"/>
  <c r="H82" i="61"/>
  <c r="K82" i="61" s="1"/>
  <c r="H81" i="61"/>
  <c r="H80" i="61"/>
  <c r="K80" i="61" s="1"/>
  <c r="K79" i="61"/>
  <c r="H79" i="61"/>
  <c r="K78" i="61"/>
  <c r="H78" i="61"/>
  <c r="L77" i="61"/>
  <c r="K77" i="61"/>
  <c r="H77" i="61"/>
  <c r="K76" i="61"/>
  <c r="H76" i="61"/>
  <c r="H75" i="61"/>
  <c r="K75" i="61" s="1"/>
  <c r="H74" i="61"/>
  <c r="K74" i="61" s="1"/>
  <c r="H73" i="61"/>
  <c r="H72" i="61"/>
  <c r="K72" i="61" s="1"/>
  <c r="K71" i="61"/>
  <c r="H71" i="61"/>
  <c r="H70" i="61"/>
  <c r="K70" i="61" s="1"/>
  <c r="K69" i="61"/>
  <c r="H69" i="61"/>
  <c r="K68" i="61"/>
  <c r="H68" i="61"/>
  <c r="H67" i="61"/>
  <c r="K67" i="61" s="1"/>
  <c r="K66" i="61"/>
  <c r="L66" i="61" s="1"/>
  <c r="H66" i="61"/>
  <c r="H65" i="61"/>
  <c r="H64" i="61"/>
  <c r="K64" i="61" s="1"/>
  <c r="K63" i="61"/>
  <c r="H63" i="61"/>
  <c r="H62" i="61"/>
  <c r="K62" i="61" s="1"/>
  <c r="K61" i="61"/>
  <c r="H61" i="61"/>
  <c r="K60" i="61"/>
  <c r="H60" i="61"/>
  <c r="H59" i="61"/>
  <c r="K59" i="61" s="1"/>
  <c r="K58" i="61"/>
  <c r="L58" i="61" s="1"/>
  <c r="H58" i="61"/>
  <c r="H57" i="61"/>
  <c r="H56" i="61"/>
  <c r="K56" i="61" s="1"/>
  <c r="H55" i="61"/>
  <c r="H54" i="61"/>
  <c r="K54" i="61" s="1"/>
  <c r="K53" i="61"/>
  <c r="H53" i="61"/>
  <c r="K52" i="61"/>
  <c r="H52" i="61"/>
  <c r="H51" i="61"/>
  <c r="K51" i="61" s="1"/>
  <c r="K50" i="61"/>
  <c r="H50" i="61"/>
  <c r="H49" i="61"/>
  <c r="H48" i="61"/>
  <c r="K48" i="61" s="1"/>
  <c r="H47" i="61"/>
  <c r="H46" i="61"/>
  <c r="K46" i="61" s="1"/>
  <c r="K45" i="61"/>
  <c r="H45" i="61"/>
  <c r="K44" i="61"/>
  <c r="H44" i="61"/>
  <c r="H43" i="61"/>
  <c r="K43" i="61" s="1"/>
  <c r="K42" i="61"/>
  <c r="L42" i="61" s="1"/>
  <c r="H42" i="61"/>
  <c r="H41" i="61"/>
  <c r="H40" i="61"/>
  <c r="K40" i="61" s="1"/>
  <c r="H39" i="61"/>
  <c r="K39" i="61" s="1"/>
  <c r="H38" i="61"/>
  <c r="K38" i="61" s="1"/>
  <c r="K37" i="61"/>
  <c r="H37" i="61"/>
  <c r="K36" i="61"/>
  <c r="H36" i="61"/>
  <c r="H35" i="61"/>
  <c r="K35" i="61" s="1"/>
  <c r="K34" i="61"/>
  <c r="L34" i="61" s="1"/>
  <c r="H34" i="61"/>
  <c r="H33" i="61"/>
  <c r="H32" i="61"/>
  <c r="K32" i="61" s="1"/>
  <c r="H31" i="61"/>
  <c r="H30" i="61"/>
  <c r="K30" i="61" s="1"/>
  <c r="K29" i="61"/>
  <c r="H29" i="61"/>
  <c r="K28" i="61"/>
  <c r="H28" i="61"/>
  <c r="H27" i="61"/>
  <c r="K27" i="61" s="1"/>
  <c r="K26" i="61"/>
  <c r="L26" i="61" s="1"/>
  <c r="H26" i="61"/>
  <c r="H25" i="61"/>
  <c r="H24" i="61"/>
  <c r="K24" i="61" s="1"/>
  <c r="M185" i="61" l="1"/>
  <c r="M218" i="61"/>
  <c r="M738" i="61"/>
  <c r="M776" i="61"/>
  <c r="I3" i="61"/>
  <c r="M250" i="61"/>
  <c r="M208" i="61"/>
  <c r="M240" i="61"/>
  <c r="M729" i="61"/>
  <c r="M183" i="61"/>
  <c r="M192" i="61"/>
  <c r="M224" i="61"/>
  <c r="M513" i="61"/>
  <c r="M77" i="61"/>
  <c r="M125" i="61"/>
  <c r="M131" i="61"/>
  <c r="M134" i="61"/>
  <c r="M139" i="61"/>
  <c r="M142" i="61"/>
  <c r="M147" i="61"/>
  <c r="M150" i="61"/>
  <c r="M155" i="61"/>
  <c r="M158" i="61"/>
  <c r="M163" i="61"/>
  <c r="M166" i="61"/>
  <c r="M171" i="61"/>
  <c r="M177" i="61"/>
  <c r="M184" i="61"/>
  <c r="M191" i="61"/>
  <c r="M207" i="61"/>
  <c r="M226" i="61"/>
  <c r="M242" i="61"/>
  <c r="L549" i="61"/>
  <c r="M549" i="61" s="1"/>
  <c r="M597" i="61"/>
  <c r="L599" i="61"/>
  <c r="M599" i="61" s="1"/>
  <c r="L600" i="61"/>
  <c r="M600" i="61" s="1"/>
  <c r="M619" i="61"/>
  <c r="M693" i="61"/>
  <c r="M754" i="61"/>
  <c r="M756" i="61"/>
  <c r="M772" i="61"/>
  <c r="L780" i="61"/>
  <c r="M780" i="61" s="1"/>
  <c r="M806" i="61"/>
  <c r="M85" i="61"/>
  <c r="M101" i="61"/>
  <c r="L85" i="61"/>
  <c r="M93" i="61"/>
  <c r="M109" i="61"/>
  <c r="L117" i="61"/>
  <c r="M117" i="61" s="1"/>
  <c r="M135" i="61"/>
  <c r="M138" i="61"/>
  <c r="M143" i="61"/>
  <c r="M146" i="61"/>
  <c r="M151" i="61"/>
  <c r="M154" i="61"/>
  <c r="M159" i="61"/>
  <c r="M162" i="61"/>
  <c r="M167" i="61"/>
  <c r="M170" i="61"/>
  <c r="M175" i="61"/>
  <c r="M193" i="61"/>
  <c r="M209" i="61"/>
  <c r="M220" i="61"/>
  <c r="M234" i="61"/>
  <c r="M252" i="61"/>
  <c r="M529" i="61"/>
  <c r="G4" i="61"/>
  <c r="L679" i="61"/>
  <c r="M679" i="61" s="1"/>
  <c r="L687" i="61"/>
  <c r="M687" i="61" s="1"/>
  <c r="M697" i="61"/>
  <c r="M746" i="61"/>
  <c r="L39" i="61"/>
  <c r="M39" i="61" s="1"/>
  <c r="L74" i="61"/>
  <c r="M74" i="61" s="1"/>
  <c r="L80" i="61"/>
  <c r="M80" i="61" s="1"/>
  <c r="L98" i="61"/>
  <c r="M98" i="61" s="1"/>
  <c r="L136" i="61"/>
  <c r="M136" i="61" s="1"/>
  <c r="L144" i="61"/>
  <c r="M144" i="61" s="1"/>
  <c r="L152" i="61"/>
  <c r="M152" i="61" s="1"/>
  <c r="L160" i="61"/>
  <c r="M160" i="61" s="1"/>
  <c r="L168" i="61"/>
  <c r="M168" i="61" s="1"/>
  <c r="L206" i="61"/>
  <c r="M206" i="61" s="1"/>
  <c r="L59" i="61"/>
  <c r="M59" i="61" s="1"/>
  <c r="L62" i="61"/>
  <c r="M62" i="61" s="1"/>
  <c r="L64" i="61"/>
  <c r="M64" i="61" s="1"/>
  <c r="L75" i="61"/>
  <c r="M75" i="61" s="1"/>
  <c r="L133" i="61"/>
  <c r="M133" i="61" s="1"/>
  <c r="L141" i="61"/>
  <c r="M141" i="61" s="1"/>
  <c r="L149" i="61"/>
  <c r="M149" i="61" s="1"/>
  <c r="L157" i="61"/>
  <c r="M157" i="61" s="1"/>
  <c r="L165" i="61"/>
  <c r="M165" i="61" s="1"/>
  <c r="L173" i="61"/>
  <c r="M173" i="61" s="1"/>
  <c r="L181" i="61"/>
  <c r="M181" i="61" s="1"/>
  <c r="L189" i="61"/>
  <c r="M189" i="61" s="1"/>
  <c r="L197" i="61"/>
  <c r="M197" i="61" s="1"/>
  <c r="L203" i="61"/>
  <c r="M203" i="61" s="1"/>
  <c r="L24" i="61"/>
  <c r="M24" i="61" s="1"/>
  <c r="L27" i="61"/>
  <c r="M27" i="61" s="1"/>
  <c r="M30" i="61"/>
  <c r="L30" i="61"/>
  <c r="L40" i="61"/>
  <c r="M40" i="61" s="1"/>
  <c r="L88" i="61"/>
  <c r="M88" i="61" s="1"/>
  <c r="L67" i="61"/>
  <c r="M67" i="61" s="1"/>
  <c r="L70" i="61"/>
  <c r="M70" i="61" s="1"/>
  <c r="L72" i="61"/>
  <c r="M72" i="61" s="1"/>
  <c r="L82" i="61"/>
  <c r="M82" i="61" s="1"/>
  <c r="L96" i="61"/>
  <c r="M96" i="61" s="1"/>
  <c r="L132" i="61"/>
  <c r="M132" i="61" s="1"/>
  <c r="L140" i="61"/>
  <c r="M140" i="61" s="1"/>
  <c r="L148" i="61"/>
  <c r="M148" i="61" s="1"/>
  <c r="L156" i="61"/>
  <c r="M156" i="61" s="1"/>
  <c r="L164" i="61"/>
  <c r="M164" i="61" s="1"/>
  <c r="L172" i="61"/>
  <c r="M172" i="61" s="1"/>
  <c r="L180" i="61"/>
  <c r="M180" i="61" s="1"/>
  <c r="L188" i="61"/>
  <c r="M188" i="61" s="1"/>
  <c r="L196" i="61"/>
  <c r="M196" i="61" s="1"/>
  <c r="L205" i="61"/>
  <c r="M205" i="61" s="1"/>
  <c r="L213" i="61"/>
  <c r="M213" i="61" s="1"/>
  <c r="M43" i="61"/>
  <c r="L43" i="61"/>
  <c r="L46" i="61"/>
  <c r="M46" i="61" s="1"/>
  <c r="L56" i="61"/>
  <c r="M56" i="61" s="1"/>
  <c r="L32" i="61"/>
  <c r="M32" i="61" s="1"/>
  <c r="L35" i="61"/>
  <c r="M35" i="61" s="1"/>
  <c r="L38" i="61"/>
  <c r="M38" i="61" s="1"/>
  <c r="L48" i="61"/>
  <c r="M48" i="61" s="1"/>
  <c r="L51" i="61"/>
  <c r="M51" i="61" s="1"/>
  <c r="M54" i="61"/>
  <c r="L54" i="61"/>
  <c r="L90" i="61"/>
  <c r="M90" i="61" s="1"/>
  <c r="L104" i="61"/>
  <c r="M104" i="61" s="1"/>
  <c r="L106" i="61"/>
  <c r="M106" i="61" s="1"/>
  <c r="M112" i="61"/>
  <c r="L112" i="61"/>
  <c r="L114" i="61"/>
  <c r="M114" i="61" s="1"/>
  <c r="L120" i="61"/>
  <c r="M120" i="61" s="1"/>
  <c r="L122" i="61"/>
  <c r="M122" i="61" s="1"/>
  <c r="M128" i="61"/>
  <c r="L128" i="61"/>
  <c r="L130" i="61"/>
  <c r="M130" i="61" s="1"/>
  <c r="L137" i="61"/>
  <c r="M137" i="61" s="1"/>
  <c r="L145" i="61"/>
  <c r="M145" i="61" s="1"/>
  <c r="L153" i="61"/>
  <c r="M153" i="61" s="1"/>
  <c r="L161" i="61"/>
  <c r="M161" i="61" s="1"/>
  <c r="L169" i="61"/>
  <c r="M169" i="61" s="1"/>
  <c r="L174" i="61"/>
  <c r="M174" i="61" s="1"/>
  <c r="L182" i="61"/>
  <c r="M182" i="61" s="1"/>
  <c r="L190" i="61"/>
  <c r="M190" i="61" s="1"/>
  <c r="L198" i="61"/>
  <c r="M198" i="61" s="1"/>
  <c r="L204" i="61"/>
  <c r="M204" i="61" s="1"/>
  <c r="L212" i="61"/>
  <c r="M212" i="61" s="1"/>
  <c r="K31" i="61"/>
  <c r="K55" i="61"/>
  <c r="M105" i="61"/>
  <c r="M108" i="61"/>
  <c r="M113" i="61"/>
  <c r="M116" i="61"/>
  <c r="M121" i="61"/>
  <c r="M124" i="61"/>
  <c r="M129" i="61"/>
  <c r="L219" i="61"/>
  <c r="M219" i="61" s="1"/>
  <c r="L227" i="61"/>
  <c r="M227" i="61" s="1"/>
  <c r="M228" i="61"/>
  <c r="L235" i="61"/>
  <c r="M235" i="61" s="1"/>
  <c r="M236" i="61"/>
  <c r="L243" i="61"/>
  <c r="M243" i="61" s="1"/>
  <c r="M244" i="61"/>
  <c r="L251" i="61"/>
  <c r="M251" i="61" s="1"/>
  <c r="L261" i="61"/>
  <c r="M261" i="61" s="1"/>
  <c r="L263" i="61"/>
  <c r="M263" i="61" s="1"/>
  <c r="K272" i="61"/>
  <c r="L277" i="61"/>
  <c r="M277" i="61" s="1"/>
  <c r="L279" i="61"/>
  <c r="M279" i="61" s="1"/>
  <c r="K288" i="61"/>
  <c r="L293" i="61"/>
  <c r="M293" i="61" s="1"/>
  <c r="L295" i="61"/>
  <c r="M295" i="61"/>
  <c r="K304" i="61"/>
  <c r="L309" i="61"/>
  <c r="M309" i="61" s="1"/>
  <c r="L311" i="61"/>
  <c r="M311" i="61" s="1"/>
  <c r="L327" i="61"/>
  <c r="M327" i="61" s="1"/>
  <c r="L343" i="61"/>
  <c r="M343" i="61" s="1"/>
  <c r="L359" i="61"/>
  <c r="M359" i="61" s="1"/>
  <c r="L375" i="61"/>
  <c r="M375" i="61" s="1"/>
  <c r="L401" i="61"/>
  <c r="M401" i="61" s="1"/>
  <c r="L417" i="61"/>
  <c r="M417" i="61" s="1"/>
  <c r="L433" i="61"/>
  <c r="M433" i="61" s="1"/>
  <c r="L453" i="61"/>
  <c r="M453" i="61" s="1"/>
  <c r="L469" i="61"/>
  <c r="M469" i="61"/>
  <c r="L485" i="61"/>
  <c r="M485" i="61" s="1"/>
  <c r="L524" i="61"/>
  <c r="M524" i="61" s="1"/>
  <c r="L532" i="61"/>
  <c r="M532" i="61" s="1"/>
  <c r="L541" i="61"/>
  <c r="M541" i="61" s="1"/>
  <c r="M34" i="61"/>
  <c r="K47" i="61"/>
  <c r="L50" i="61"/>
  <c r="M50" i="61" s="1"/>
  <c r="L28" i="61"/>
  <c r="M28" i="61" s="1"/>
  <c r="L29" i="61"/>
  <c r="M29" i="61" s="1"/>
  <c r="K33" i="61"/>
  <c r="L36" i="61"/>
  <c r="M36" i="61" s="1"/>
  <c r="L37" i="61"/>
  <c r="M37" i="61" s="1"/>
  <c r="K41" i="61"/>
  <c r="L52" i="61"/>
  <c r="M52" i="61" s="1"/>
  <c r="L53" i="61"/>
  <c r="M53" i="61" s="1"/>
  <c r="K57" i="61"/>
  <c r="L68" i="61"/>
  <c r="M68" i="61" s="1"/>
  <c r="L69" i="61"/>
  <c r="M69" i="61" s="1"/>
  <c r="K73" i="61"/>
  <c r="K81" i="61"/>
  <c r="L84" i="61"/>
  <c r="M84" i="61" s="1"/>
  <c r="L100" i="61"/>
  <c r="M100" i="61" s="1"/>
  <c r="M200" i="61"/>
  <c r="M201" i="61"/>
  <c r="L217" i="61"/>
  <c r="M217" i="61" s="1"/>
  <c r="L225" i="61"/>
  <c r="M225" i="61" s="1"/>
  <c r="L233" i="61"/>
  <c r="M233" i="61" s="1"/>
  <c r="L241" i="61"/>
  <c r="M241" i="61" s="1"/>
  <c r="L249" i="61"/>
  <c r="M249" i="61" s="1"/>
  <c r="L257" i="61"/>
  <c r="M257" i="61"/>
  <c r="L259" i="61"/>
  <c r="M259" i="61" s="1"/>
  <c r="K268" i="61"/>
  <c r="L273" i="61"/>
  <c r="M273" i="61" s="1"/>
  <c r="L275" i="61"/>
  <c r="M275" i="61" s="1"/>
  <c r="K284" i="61"/>
  <c r="L289" i="61"/>
  <c r="M289" i="61" s="1"/>
  <c r="L291" i="61"/>
  <c r="M291" i="61" s="1"/>
  <c r="K300" i="61"/>
  <c r="L305" i="61"/>
  <c r="M305" i="61" s="1"/>
  <c r="L307" i="61"/>
  <c r="M307" i="61" s="1"/>
  <c r="L315" i="61"/>
  <c r="M315" i="61" s="1"/>
  <c r="L331" i="61"/>
  <c r="M331" i="61" s="1"/>
  <c r="L347" i="61"/>
  <c r="M347" i="61" s="1"/>
  <c r="L363" i="61"/>
  <c r="M363" i="61" s="1"/>
  <c r="L379" i="61"/>
  <c r="M379" i="61" s="1"/>
  <c r="L405" i="61"/>
  <c r="M405" i="61" s="1"/>
  <c r="L421" i="61"/>
  <c r="M421" i="61" s="1"/>
  <c r="L437" i="61"/>
  <c r="M437" i="61" s="1"/>
  <c r="L439" i="61"/>
  <c r="M439" i="61" s="1"/>
  <c r="L441" i="61"/>
  <c r="M441" i="61"/>
  <c r="L457" i="61"/>
  <c r="M457" i="61" s="1"/>
  <c r="L473" i="61"/>
  <c r="M473" i="61" s="1"/>
  <c r="L489" i="61"/>
  <c r="M489" i="61" s="1"/>
  <c r="L508" i="61"/>
  <c r="M508" i="61" s="1"/>
  <c r="L519" i="61"/>
  <c r="M519" i="61" s="1"/>
  <c r="L521" i="61"/>
  <c r="M521" i="61" s="1"/>
  <c r="L523" i="61"/>
  <c r="M523" i="61" s="1"/>
  <c r="L531" i="61"/>
  <c r="M531" i="61" s="1"/>
  <c r="M42" i="61"/>
  <c r="K25" i="61"/>
  <c r="L44" i="61"/>
  <c r="M44" i="61" s="1"/>
  <c r="L45" i="61"/>
  <c r="M45" i="61" s="1"/>
  <c r="K49" i="61"/>
  <c r="L60" i="61"/>
  <c r="M60" i="61" s="1"/>
  <c r="L61" i="61"/>
  <c r="M61" i="61" s="1"/>
  <c r="K65" i="61"/>
  <c r="L76" i="61"/>
  <c r="M76" i="61" s="1"/>
  <c r="K89" i="61"/>
  <c r="L92" i="61"/>
  <c r="M92" i="61" s="1"/>
  <c r="K97" i="61"/>
  <c r="L63" i="61"/>
  <c r="M63" i="61" s="1"/>
  <c r="L71" i="61"/>
  <c r="M71" i="61" s="1"/>
  <c r="L78" i="61"/>
  <c r="M78" i="61" s="1"/>
  <c r="L79" i="61"/>
  <c r="M79" i="61" s="1"/>
  <c r="K83" i="61"/>
  <c r="L86" i="61"/>
  <c r="M86" i="61" s="1"/>
  <c r="L87" i="61"/>
  <c r="M87" i="61" s="1"/>
  <c r="K91" i="61"/>
  <c r="L94" i="61"/>
  <c r="M94" i="61" s="1"/>
  <c r="L95" i="61"/>
  <c r="M95" i="61" s="1"/>
  <c r="K99" i="61"/>
  <c r="L102" i="61"/>
  <c r="M102" i="61" s="1"/>
  <c r="L103" i="61"/>
  <c r="M103" i="61" s="1"/>
  <c r="K107" i="61"/>
  <c r="L110" i="61"/>
  <c r="M110" i="61" s="1"/>
  <c r="L111" i="61"/>
  <c r="M111" i="61" s="1"/>
  <c r="K115" i="61"/>
  <c r="L118" i="61"/>
  <c r="M118" i="61" s="1"/>
  <c r="L119" i="61"/>
  <c r="M119" i="61" s="1"/>
  <c r="K123" i="61"/>
  <c r="L126" i="61"/>
  <c r="M126" i="61" s="1"/>
  <c r="L127" i="61"/>
  <c r="M127" i="61" s="1"/>
  <c r="M178" i="61"/>
  <c r="M179" i="61"/>
  <c r="M186" i="61"/>
  <c r="M187" i="61"/>
  <c r="M194" i="61"/>
  <c r="M195" i="61"/>
  <c r="M202" i="61"/>
  <c r="M210" i="61"/>
  <c r="M211" i="61"/>
  <c r="L215" i="61"/>
  <c r="M215" i="61" s="1"/>
  <c r="M216" i="61"/>
  <c r="L223" i="61"/>
  <c r="M223" i="61" s="1"/>
  <c r="L231" i="61"/>
  <c r="M231" i="61" s="1"/>
  <c r="L239" i="61"/>
  <c r="M239" i="61" s="1"/>
  <c r="L247" i="61"/>
  <c r="M247" i="61" s="1"/>
  <c r="M248" i="61"/>
  <c r="L255" i="61"/>
  <c r="M255" i="61" s="1"/>
  <c r="M256" i="61"/>
  <c r="K264" i="61"/>
  <c r="L269" i="61"/>
  <c r="M269" i="61" s="1"/>
  <c r="L271" i="61"/>
  <c r="M271" i="61" s="1"/>
  <c r="K280" i="61"/>
  <c r="L285" i="61"/>
  <c r="M285" i="61" s="1"/>
  <c r="L287" i="61"/>
  <c r="M287" i="61" s="1"/>
  <c r="K296" i="61"/>
  <c r="L301" i="61"/>
  <c r="M301" i="61" s="1"/>
  <c r="L303" i="61"/>
  <c r="M303" i="61" s="1"/>
  <c r="L319" i="61"/>
  <c r="M319" i="61" s="1"/>
  <c r="L335" i="61"/>
  <c r="M335" i="61" s="1"/>
  <c r="L351" i="61"/>
  <c r="M351" i="61"/>
  <c r="L367" i="61"/>
  <c r="M367" i="61" s="1"/>
  <c r="L383" i="61"/>
  <c r="M383" i="61" s="1"/>
  <c r="L385" i="61"/>
  <c r="M385" i="61" s="1"/>
  <c r="L387" i="61"/>
  <c r="M387" i="61" s="1"/>
  <c r="L389" i="61"/>
  <c r="M389" i="61" s="1"/>
  <c r="L391" i="61"/>
  <c r="M391" i="61" s="1"/>
  <c r="L393" i="61"/>
  <c r="M393" i="61" s="1"/>
  <c r="L409" i="61"/>
  <c r="M409" i="61" s="1"/>
  <c r="L425" i="61"/>
  <c r="M425" i="61" s="1"/>
  <c r="L445" i="61"/>
  <c r="M445" i="61" s="1"/>
  <c r="L461" i="61"/>
  <c r="M461" i="61" s="1"/>
  <c r="L477" i="61"/>
  <c r="M477" i="61" s="1"/>
  <c r="L493" i="61"/>
  <c r="M493" i="61" s="1"/>
  <c r="L503" i="61"/>
  <c r="M503" i="61" s="1"/>
  <c r="L505" i="61"/>
  <c r="M505" i="61" s="1"/>
  <c r="L507" i="61"/>
  <c r="M507" i="61"/>
  <c r="L516" i="61"/>
  <c r="M516" i="61" s="1"/>
  <c r="L540" i="61"/>
  <c r="M540" i="61" s="1"/>
  <c r="M26" i="61"/>
  <c r="M58" i="61"/>
  <c r="M66" i="61"/>
  <c r="M214" i="61"/>
  <c r="L221" i="61"/>
  <c r="M221" i="61" s="1"/>
  <c r="M222" i="61"/>
  <c r="L229" i="61"/>
  <c r="M229" i="61" s="1"/>
  <c r="M230" i="61"/>
  <c r="L237" i="61"/>
  <c r="M237" i="61" s="1"/>
  <c r="M238" i="61"/>
  <c r="L245" i="61"/>
  <c r="M245" i="61" s="1"/>
  <c r="M246" i="61"/>
  <c r="L253" i="61"/>
  <c r="M253" i="61" s="1"/>
  <c r="M254" i="61"/>
  <c r="K260" i="61"/>
  <c r="L265" i="61"/>
  <c r="M265" i="61" s="1"/>
  <c r="L267" i="61"/>
  <c r="M267" i="61" s="1"/>
  <c r="K276" i="61"/>
  <c r="L281" i="61"/>
  <c r="M281" i="61" s="1"/>
  <c r="L283" i="61"/>
  <c r="M283" i="61" s="1"/>
  <c r="K292" i="61"/>
  <c r="L297" i="61"/>
  <c r="M297" i="61" s="1"/>
  <c r="L299" i="61"/>
  <c r="M299" i="61" s="1"/>
  <c r="K308" i="61"/>
  <c r="L323" i="61"/>
  <c r="M323" i="61" s="1"/>
  <c r="L339" i="61"/>
  <c r="M339" i="61" s="1"/>
  <c r="L355" i="61"/>
  <c r="M355" i="61" s="1"/>
  <c r="L371" i="61"/>
  <c r="M371" i="61" s="1"/>
  <c r="L397" i="61"/>
  <c r="M397" i="61" s="1"/>
  <c r="L413" i="61"/>
  <c r="M413" i="61" s="1"/>
  <c r="L429" i="61"/>
  <c r="M429" i="61" s="1"/>
  <c r="L449" i="61"/>
  <c r="M449" i="61" s="1"/>
  <c r="L465" i="61"/>
  <c r="M465" i="61" s="1"/>
  <c r="L481" i="61"/>
  <c r="M481" i="61" s="1"/>
  <c r="L497" i="61"/>
  <c r="M497" i="61" s="1"/>
  <c r="L500" i="61"/>
  <c r="M500" i="61" s="1"/>
  <c r="L509" i="61"/>
  <c r="M509" i="61" s="1"/>
  <c r="L527" i="61"/>
  <c r="M527" i="61" s="1"/>
  <c r="L535" i="61"/>
  <c r="M535" i="61" s="1"/>
  <c r="L537" i="61"/>
  <c r="M537" i="61" s="1"/>
  <c r="L539" i="61"/>
  <c r="M539" i="61" s="1"/>
  <c r="K502" i="61"/>
  <c r="K518" i="61"/>
  <c r="K534" i="61"/>
  <c r="L544" i="61"/>
  <c r="M544" i="61" s="1"/>
  <c r="M545" i="61"/>
  <c r="L552" i="61"/>
  <c r="M552" i="61" s="1"/>
  <c r="M553" i="61"/>
  <c r="L560" i="61"/>
  <c r="M560" i="61" s="1"/>
  <c r="M561" i="61"/>
  <c r="L568" i="61"/>
  <c r="M568" i="61" s="1"/>
  <c r="K570" i="61"/>
  <c r="L572" i="61"/>
  <c r="M572" i="61" s="1"/>
  <c r="K574" i="61"/>
  <c r="L576" i="61"/>
  <c r="M576" i="61" s="1"/>
  <c r="K578" i="61"/>
  <c r="L580" i="61"/>
  <c r="M580" i="61" s="1"/>
  <c r="K582" i="61"/>
  <c r="G3" i="61" s="1"/>
  <c r="L584" i="61"/>
  <c r="M584" i="61" s="1"/>
  <c r="L586" i="61"/>
  <c r="M586" i="61" s="1"/>
  <c r="L618" i="61"/>
  <c r="M618" i="61" s="1"/>
  <c r="L635" i="61"/>
  <c r="M635" i="61" s="1"/>
  <c r="K312" i="61"/>
  <c r="M313" i="61"/>
  <c r="K316" i="61"/>
  <c r="M317" i="61"/>
  <c r="K320" i="61"/>
  <c r="M321" i="61"/>
  <c r="K324" i="61"/>
  <c r="M325" i="61"/>
  <c r="K328" i="61"/>
  <c r="M329" i="61"/>
  <c r="K332" i="61"/>
  <c r="M333" i="61"/>
  <c r="K336" i="61"/>
  <c r="M337" i="61"/>
  <c r="K340" i="61"/>
  <c r="M341" i="61"/>
  <c r="K344" i="61"/>
  <c r="M345" i="61"/>
  <c r="K348" i="61"/>
  <c r="M349" i="61"/>
  <c r="K352" i="61"/>
  <c r="M353" i="61"/>
  <c r="K356" i="61"/>
  <c r="M357" i="61"/>
  <c r="K360" i="61"/>
  <c r="M361" i="61"/>
  <c r="K364" i="61"/>
  <c r="M365" i="61"/>
  <c r="K368" i="61"/>
  <c r="M369" i="61"/>
  <c r="K372" i="61"/>
  <c r="M373" i="61"/>
  <c r="K376" i="61"/>
  <c r="M377" i="61"/>
  <c r="K380" i="61"/>
  <c r="M381" i="61"/>
  <c r="K384" i="61"/>
  <c r="K388" i="61"/>
  <c r="K392" i="61"/>
  <c r="K396" i="61"/>
  <c r="K400" i="61"/>
  <c r="K404" i="61"/>
  <c r="K408" i="61"/>
  <c r="K412" i="61"/>
  <c r="K416" i="61"/>
  <c r="K420" i="61"/>
  <c r="K424" i="61"/>
  <c r="K428" i="61"/>
  <c r="K432" i="61"/>
  <c r="K436" i="61"/>
  <c r="K440" i="61"/>
  <c r="K444" i="61"/>
  <c r="K448" i="61"/>
  <c r="K452" i="61"/>
  <c r="K456" i="61"/>
  <c r="K460" i="61"/>
  <c r="K464" i="61"/>
  <c r="K468" i="61"/>
  <c r="K472" i="61"/>
  <c r="K476" i="61"/>
  <c r="K480" i="61"/>
  <c r="K484" i="61"/>
  <c r="K488" i="61"/>
  <c r="K492" i="61"/>
  <c r="K496" i="61"/>
  <c r="K504" i="61"/>
  <c r="K506" i="61"/>
  <c r="L511" i="61"/>
  <c r="M511" i="61" s="1"/>
  <c r="K520" i="61"/>
  <c r="K522" i="61"/>
  <c r="M525" i="61"/>
  <c r="K536" i="61"/>
  <c r="K538" i="61"/>
  <c r="L543" i="61"/>
  <c r="M543" i="61" s="1"/>
  <c r="K546" i="61"/>
  <c r="L551" i="61"/>
  <c r="M551" i="61"/>
  <c r="K554" i="61"/>
  <c r="L559" i="61"/>
  <c r="M559" i="61" s="1"/>
  <c r="K562" i="61"/>
  <c r="L567" i="61"/>
  <c r="M567" i="61" s="1"/>
  <c r="L571" i="61"/>
  <c r="M571" i="61" s="1"/>
  <c r="L575" i="61"/>
  <c r="M575" i="61" s="1"/>
  <c r="L579" i="61"/>
  <c r="M579" i="61" s="1"/>
  <c r="L583" i="61"/>
  <c r="M583" i="61" s="1"/>
  <c r="L603" i="61"/>
  <c r="M603" i="61" s="1"/>
  <c r="L499" i="61"/>
  <c r="M499" i="61" s="1"/>
  <c r="K510" i="61"/>
  <c r="L515" i="61"/>
  <c r="M515" i="61" s="1"/>
  <c r="K526" i="61"/>
  <c r="K542" i="61"/>
  <c r="L548" i="61"/>
  <c r="M548" i="61" s="1"/>
  <c r="L556" i="61"/>
  <c r="M556" i="61" s="1"/>
  <c r="M557" i="61"/>
  <c r="L564" i="61"/>
  <c r="M564" i="61" s="1"/>
  <c r="L569" i="61"/>
  <c r="M569" i="61" s="1"/>
  <c r="L573" i="61"/>
  <c r="M573" i="61" s="1"/>
  <c r="L577" i="61"/>
  <c r="M577" i="61" s="1"/>
  <c r="L581" i="61"/>
  <c r="M581" i="61" s="1"/>
  <c r="L585" i="61"/>
  <c r="M585" i="61" s="1"/>
  <c r="L611" i="61"/>
  <c r="M611" i="61" s="1"/>
  <c r="K258" i="61"/>
  <c r="K262" i="61"/>
  <c r="K266" i="61"/>
  <c r="K270" i="61"/>
  <c r="K274" i="61"/>
  <c r="K278" i="61"/>
  <c r="K282" i="61"/>
  <c r="K286" i="61"/>
  <c r="K290" i="61"/>
  <c r="K294" i="61"/>
  <c r="K298" i="61"/>
  <c r="K302" i="61"/>
  <c r="K306" i="61"/>
  <c r="K310" i="61"/>
  <c r="K314" i="61"/>
  <c r="K318" i="61"/>
  <c r="K322" i="61"/>
  <c r="K326" i="61"/>
  <c r="K330" i="61"/>
  <c r="K334" i="61"/>
  <c r="K338" i="61"/>
  <c r="K342" i="61"/>
  <c r="K346" i="61"/>
  <c r="K350" i="61"/>
  <c r="K354" i="61"/>
  <c r="K358" i="61"/>
  <c r="K362" i="61"/>
  <c r="K366" i="61"/>
  <c r="K370" i="61"/>
  <c r="K374" i="61"/>
  <c r="K378" i="61"/>
  <c r="K382" i="61"/>
  <c r="K386" i="61"/>
  <c r="K390" i="61"/>
  <c r="K394" i="61"/>
  <c r="M395" i="61"/>
  <c r="K398" i="61"/>
  <c r="M399" i="61"/>
  <c r="K402" i="61"/>
  <c r="M403" i="61"/>
  <c r="K406" i="61"/>
  <c r="M407" i="61"/>
  <c r="K410" i="61"/>
  <c r="M411" i="61"/>
  <c r="K414" i="61"/>
  <c r="M415" i="61"/>
  <c r="K418" i="61"/>
  <c r="M419" i="61"/>
  <c r="K422" i="61"/>
  <c r="M423" i="61"/>
  <c r="K426" i="61"/>
  <c r="M427" i="61"/>
  <c r="K430" i="61"/>
  <c r="M431" i="61"/>
  <c r="K434" i="61"/>
  <c r="M435" i="61"/>
  <c r="K438" i="61"/>
  <c r="K442" i="61"/>
  <c r="M443" i="61"/>
  <c r="K446" i="61"/>
  <c r="M447" i="61"/>
  <c r="K450" i="61"/>
  <c r="M451" i="61"/>
  <c r="K454" i="61"/>
  <c r="M455" i="61"/>
  <c r="K458" i="61"/>
  <c r="M459" i="61"/>
  <c r="K462" i="61"/>
  <c r="M463" i="61"/>
  <c r="K466" i="61"/>
  <c r="M467" i="61"/>
  <c r="K470" i="61"/>
  <c r="M471" i="61"/>
  <c r="K474" i="61"/>
  <c r="M475" i="61"/>
  <c r="K478" i="61"/>
  <c r="M479" i="61"/>
  <c r="K482" i="61"/>
  <c r="M483" i="61"/>
  <c r="K486" i="61"/>
  <c r="M487" i="61"/>
  <c r="K490" i="61"/>
  <c r="M491" i="61"/>
  <c r="K494" i="61"/>
  <c r="M495" i="61"/>
  <c r="K498" i="61"/>
  <c r="M501" i="61"/>
  <c r="K512" i="61"/>
  <c r="K514" i="61"/>
  <c r="M517" i="61"/>
  <c r="K528" i="61"/>
  <c r="K530" i="61"/>
  <c r="M533" i="61"/>
  <c r="L547" i="61"/>
  <c r="M547" i="61" s="1"/>
  <c r="K550" i="61"/>
  <c r="L555" i="61"/>
  <c r="M555" i="61" s="1"/>
  <c r="K558" i="61"/>
  <c r="L563" i="61"/>
  <c r="M563" i="61" s="1"/>
  <c r="K566" i="61"/>
  <c r="L594" i="61"/>
  <c r="M594" i="61" s="1"/>
  <c r="M626" i="61"/>
  <c r="L626" i="61"/>
  <c r="M634" i="61"/>
  <c r="L634" i="61"/>
  <c r="M588" i="61"/>
  <c r="K589" i="61"/>
  <c r="L591" i="61"/>
  <c r="M591" i="61" s="1"/>
  <c r="M592" i="61"/>
  <c r="M595" i="61"/>
  <c r="K598" i="61"/>
  <c r="M601" i="61"/>
  <c r="M605" i="61"/>
  <c r="M615" i="61"/>
  <c r="M620" i="61"/>
  <c r="K621" i="61"/>
  <c r="L623" i="61"/>
  <c r="M623" i="61" s="1"/>
  <c r="M624" i="61"/>
  <c r="M627" i="61"/>
  <c r="K630" i="61"/>
  <c r="M633" i="61"/>
  <c r="K638" i="61"/>
  <c r="M639" i="61"/>
  <c r="K646" i="61"/>
  <c r="M647" i="61"/>
  <c r="K654" i="61"/>
  <c r="M655" i="61"/>
  <c r="M677" i="61"/>
  <c r="L602" i="61"/>
  <c r="M602" i="61" s="1"/>
  <c r="K606" i="61"/>
  <c r="M628" i="61"/>
  <c r="M632" i="61"/>
  <c r="K642" i="61"/>
  <c r="M643" i="61"/>
  <c r="K650" i="61"/>
  <c r="M651" i="61"/>
  <c r="M604" i="61"/>
  <c r="L610" i="61"/>
  <c r="M610" i="61" s="1"/>
  <c r="K614" i="61"/>
  <c r="M617" i="61"/>
  <c r="M636" i="61"/>
  <c r="M641" i="61"/>
  <c r="M644" i="61"/>
  <c r="M649" i="61"/>
  <c r="M652" i="61"/>
  <c r="M653" i="61"/>
  <c r="M657" i="61"/>
  <c r="M658" i="61"/>
  <c r="L658" i="61"/>
  <c r="M587" i="61"/>
  <c r="K590" i="61"/>
  <c r="M593" i="61"/>
  <c r="L596" i="61"/>
  <c r="M596" i="61" s="1"/>
  <c r="L608" i="61"/>
  <c r="M608" i="61" s="1"/>
  <c r="L609" i="61"/>
  <c r="M609" i="61" s="1"/>
  <c r="M612" i="61"/>
  <c r="K613" i="61"/>
  <c r="M616" i="61"/>
  <c r="K622" i="61"/>
  <c r="M625" i="61"/>
  <c r="L637" i="61"/>
  <c r="M637" i="61" s="1"/>
  <c r="L645" i="61"/>
  <c r="M645" i="61" s="1"/>
  <c r="L653" i="61"/>
  <c r="L659" i="61"/>
  <c r="M659" i="61" s="1"/>
  <c r="L663" i="61"/>
  <c r="M663" i="61" s="1"/>
  <c r="M666" i="61"/>
  <c r="L666" i="61"/>
  <c r="K662" i="61"/>
  <c r="M665" i="61"/>
  <c r="K675" i="61"/>
  <c r="L677" i="61"/>
  <c r="K685" i="61"/>
  <c r="L690" i="61"/>
  <c r="M690" i="61" s="1"/>
  <c r="K692" i="61"/>
  <c r="L695" i="61"/>
  <c r="M695" i="61" s="1"/>
  <c r="M660" i="61"/>
  <c r="M667" i="61"/>
  <c r="K670" i="61"/>
  <c r="M673" i="61"/>
  <c r="K683" i="61"/>
  <c r="L688" i="61"/>
  <c r="M688" i="61" s="1"/>
  <c r="L705" i="61"/>
  <c r="M705" i="61" s="1"/>
  <c r="L721" i="61"/>
  <c r="M721" i="61"/>
  <c r="M640" i="61"/>
  <c r="M648" i="61"/>
  <c r="M656" i="61"/>
  <c r="L664" i="61"/>
  <c r="M664" i="61" s="1"/>
  <c r="M668" i="61"/>
  <c r="K669" i="61"/>
  <c r="M672" i="61"/>
  <c r="L674" i="61"/>
  <c r="M674" i="61" s="1"/>
  <c r="K678" i="61"/>
  <c r="M681" i="61"/>
  <c r="L684" i="61"/>
  <c r="M684" i="61" s="1"/>
  <c r="L691" i="61"/>
  <c r="M691" i="61" s="1"/>
  <c r="M676" i="61"/>
  <c r="M680" i="61"/>
  <c r="L682" i="61"/>
  <c r="M682" i="61" s="1"/>
  <c r="K686" i="61"/>
  <c r="M689" i="61"/>
  <c r="K701" i="61"/>
  <c r="K704" i="61"/>
  <c r="L712" i="61"/>
  <c r="M712" i="61" s="1"/>
  <c r="M706" i="61"/>
  <c r="M710" i="61"/>
  <c r="K716" i="61"/>
  <c r="M719" i="61"/>
  <c r="K724" i="61"/>
  <c r="M725" i="61"/>
  <c r="K737" i="61"/>
  <c r="K745" i="61"/>
  <c r="K753" i="61"/>
  <c r="L757" i="61"/>
  <c r="M757" i="61" s="1"/>
  <c r="L760" i="61"/>
  <c r="M760" i="61"/>
  <c r="L791" i="61"/>
  <c r="M791" i="61" s="1"/>
  <c r="L720" i="61"/>
  <c r="M720" i="61" s="1"/>
  <c r="K728" i="61"/>
  <c r="M752" i="61"/>
  <c r="M755" i="61"/>
  <c r="L758" i="61"/>
  <c r="M758" i="61" s="1"/>
  <c r="L767" i="61"/>
  <c r="M767" i="61" s="1"/>
  <c r="L799" i="61"/>
  <c r="M799" i="61" s="1"/>
  <c r="L696" i="61"/>
  <c r="M696" i="61" s="1"/>
  <c r="K700" i="61"/>
  <c r="M703" i="61"/>
  <c r="K713" i="61"/>
  <c r="L715" i="61"/>
  <c r="M715" i="61" s="1"/>
  <c r="L718" i="61"/>
  <c r="M718" i="61" s="1"/>
  <c r="M722" i="61"/>
  <c r="M727" i="61"/>
  <c r="M730" i="61"/>
  <c r="L740" i="61"/>
  <c r="M740" i="61" s="1"/>
  <c r="L748" i="61"/>
  <c r="M748" i="61" s="1"/>
  <c r="K761" i="61"/>
  <c r="L694" i="61"/>
  <c r="M694" i="61" s="1"/>
  <c r="M698" i="61"/>
  <c r="K699" i="61"/>
  <c r="M702" i="61"/>
  <c r="K708" i="61"/>
  <c r="M711" i="61"/>
  <c r="L714" i="61"/>
  <c r="M714" i="61" s="1"/>
  <c r="L723" i="61"/>
  <c r="M723" i="61" s="1"/>
  <c r="L731" i="61"/>
  <c r="M731" i="61" s="1"/>
  <c r="K733" i="61"/>
  <c r="M734" i="61"/>
  <c r="L736" i="61"/>
  <c r="M736" i="61" s="1"/>
  <c r="L739" i="61"/>
  <c r="M739" i="61" s="1"/>
  <c r="K741" i="61"/>
  <c r="M742" i="61"/>
  <c r="L744" i="61"/>
  <c r="M744" i="61" s="1"/>
  <c r="L747" i="61"/>
  <c r="M747" i="61" s="1"/>
  <c r="K749" i="61"/>
  <c r="M750" i="61"/>
  <c r="K768" i="61"/>
  <c r="L770" i="61"/>
  <c r="M770" i="61" s="1"/>
  <c r="K778" i="61"/>
  <c r="M781" i="61"/>
  <c r="L783" i="61"/>
  <c r="M783" i="61" s="1"/>
  <c r="K787" i="61"/>
  <c r="K800" i="61"/>
  <c r="L802" i="61"/>
  <c r="M802" i="61" s="1"/>
  <c r="L818" i="61"/>
  <c r="M818" i="61" s="1"/>
  <c r="L829" i="61"/>
  <c r="M829" i="61" s="1"/>
  <c r="L831" i="61"/>
  <c r="M831" i="61" s="1"/>
  <c r="L851" i="61"/>
  <c r="M851" i="61" s="1"/>
  <c r="L853" i="61"/>
  <c r="M853" i="61"/>
  <c r="L855" i="61"/>
  <c r="M855" i="61" s="1"/>
  <c r="L877" i="61"/>
  <c r="M877" i="61" s="1"/>
  <c r="L879" i="61"/>
  <c r="M879" i="61" s="1"/>
  <c r="K763" i="61"/>
  <c r="M766" i="61"/>
  <c r="L788" i="61"/>
  <c r="M788" i="61" s="1"/>
  <c r="M792" i="61"/>
  <c r="K795" i="61"/>
  <c r="M798" i="61"/>
  <c r="M804" i="61"/>
  <c r="L809" i="61"/>
  <c r="M809" i="61" s="1"/>
  <c r="L817" i="61"/>
  <c r="M817" i="61" s="1"/>
  <c r="L859" i="61"/>
  <c r="M859" i="61" s="1"/>
  <c r="L861" i="61"/>
  <c r="M861" i="61" s="1"/>
  <c r="L863" i="61"/>
  <c r="M863" i="61" s="1"/>
  <c r="L883" i="61"/>
  <c r="M883" i="61" s="1"/>
  <c r="L885" i="61"/>
  <c r="M885" i="61"/>
  <c r="L887" i="61"/>
  <c r="M887" i="61" s="1"/>
  <c r="M726" i="61"/>
  <c r="M735" i="61"/>
  <c r="M743" i="61"/>
  <c r="M751" i="61"/>
  <c r="M759" i="61"/>
  <c r="K762" i="61"/>
  <c r="M765" i="61"/>
  <c r="K771" i="61"/>
  <c r="M774" i="61"/>
  <c r="L777" i="61"/>
  <c r="M777" i="61" s="1"/>
  <c r="K784" i="61"/>
  <c r="L789" i="61"/>
  <c r="M789" i="61" s="1"/>
  <c r="L790" i="61"/>
  <c r="M790" i="61" s="1"/>
  <c r="M793" i="61"/>
  <c r="K794" i="61"/>
  <c r="M797" i="61"/>
  <c r="L805" i="61"/>
  <c r="M805" i="61" s="1"/>
  <c r="L819" i="61"/>
  <c r="M819" i="61" s="1"/>
  <c r="L821" i="61"/>
  <c r="M821" i="61" s="1"/>
  <c r="L823" i="61"/>
  <c r="M823" i="61" s="1"/>
  <c r="L837" i="61"/>
  <c r="M837" i="61" s="1"/>
  <c r="L839" i="61"/>
  <c r="M839" i="61" s="1"/>
  <c r="L867" i="61"/>
  <c r="M867" i="61" s="1"/>
  <c r="L869" i="61"/>
  <c r="M869" i="61" s="1"/>
  <c r="L871" i="61"/>
  <c r="M871" i="61" s="1"/>
  <c r="L891" i="61"/>
  <c r="M891" i="61" s="1"/>
  <c r="L893" i="61"/>
  <c r="M893" i="61" s="1"/>
  <c r="L895" i="61"/>
  <c r="M895" i="61" s="1"/>
  <c r="M769" i="61"/>
  <c r="M773" i="61"/>
  <c r="L775" i="61"/>
  <c r="M775" i="61" s="1"/>
  <c r="K779" i="61"/>
  <c r="M782" i="61"/>
  <c r="L785" i="61"/>
  <c r="M785" i="61" s="1"/>
  <c r="M801" i="61"/>
  <c r="M803" i="61"/>
  <c r="L812" i="61"/>
  <c r="M812" i="61" s="1"/>
  <c r="L843" i="61"/>
  <c r="M843" i="61" s="1"/>
  <c r="L845" i="61"/>
  <c r="M845" i="61" s="1"/>
  <c r="L847" i="61"/>
  <c r="M847" i="61" s="1"/>
  <c r="M810" i="61"/>
  <c r="K820" i="61"/>
  <c r="K822" i="61"/>
  <c r="L827" i="61"/>
  <c r="M827" i="61" s="1"/>
  <c r="K830" i="61"/>
  <c r="L835" i="61"/>
  <c r="M835" i="61" s="1"/>
  <c r="K838" i="61"/>
  <c r="K846" i="61"/>
  <c r="K854" i="61"/>
  <c r="K862" i="61"/>
  <c r="K870" i="61"/>
  <c r="L875" i="61"/>
  <c r="M875" i="61" s="1"/>
  <c r="K878" i="61"/>
  <c r="K886" i="61"/>
  <c r="K894" i="61"/>
  <c r="L901" i="61"/>
  <c r="M901" i="61" s="1"/>
  <c r="L903" i="61"/>
  <c r="M903" i="61" s="1"/>
  <c r="L919" i="61"/>
  <c r="M919" i="61" s="1"/>
  <c r="L935" i="61"/>
  <c r="M935" i="61" s="1"/>
  <c r="L813" i="61"/>
  <c r="M813" i="61" s="1"/>
  <c r="M814" i="61"/>
  <c r="L825" i="61"/>
  <c r="M825" i="61" s="1"/>
  <c r="K828" i="61"/>
  <c r="L833" i="61"/>
  <c r="M833" i="61" s="1"/>
  <c r="K836" i="61"/>
  <c r="L841" i="61"/>
  <c r="M841" i="61" s="1"/>
  <c r="K844" i="61"/>
  <c r="L849" i="61"/>
  <c r="M849" i="61" s="1"/>
  <c r="K852" i="61"/>
  <c r="L857" i="61"/>
  <c r="M857" i="61" s="1"/>
  <c r="K860" i="61"/>
  <c r="L865" i="61"/>
  <c r="M865" i="61" s="1"/>
  <c r="K868" i="61"/>
  <c r="L873" i="61"/>
  <c r="M873" i="61"/>
  <c r="K876" i="61"/>
  <c r="L881" i="61"/>
  <c r="M881" i="61" s="1"/>
  <c r="K884" i="61"/>
  <c r="L889" i="61"/>
  <c r="M889" i="61" s="1"/>
  <c r="K892" i="61"/>
  <c r="L897" i="61"/>
  <c r="M897" i="61" s="1"/>
  <c r="L899" i="61"/>
  <c r="M899" i="61" s="1"/>
  <c r="L907" i="61"/>
  <c r="M907" i="61" s="1"/>
  <c r="L923" i="61"/>
  <c r="M923" i="61" s="1"/>
  <c r="L939" i="61"/>
  <c r="M939" i="61" s="1"/>
  <c r="L807" i="61"/>
  <c r="M807" i="61" s="1"/>
  <c r="L808" i="61"/>
  <c r="M808" i="61" s="1"/>
  <c r="M815" i="61"/>
  <c r="K826" i="61"/>
  <c r="K834" i="61"/>
  <c r="K842" i="61"/>
  <c r="K850" i="61"/>
  <c r="K858" i="61"/>
  <c r="K866" i="61"/>
  <c r="K874" i="61"/>
  <c r="K882" i="61"/>
  <c r="K890" i="61"/>
  <c r="L911" i="61"/>
  <c r="M911" i="61" s="1"/>
  <c r="L927" i="61"/>
  <c r="M927" i="61" s="1"/>
  <c r="L943" i="61"/>
  <c r="M943" i="61" s="1"/>
  <c r="M811" i="61"/>
  <c r="K816" i="61"/>
  <c r="K824" i="61"/>
  <c r="K832" i="61"/>
  <c r="K840" i="61"/>
  <c r="K848" i="61"/>
  <c r="K856" i="61"/>
  <c r="K864" i="61"/>
  <c r="K872" i="61"/>
  <c r="K880" i="61"/>
  <c r="K888" i="61"/>
  <c r="K896" i="61"/>
  <c r="K900" i="61"/>
  <c r="L915" i="61"/>
  <c r="M915" i="61" s="1"/>
  <c r="L931" i="61"/>
  <c r="M931" i="61" s="1"/>
  <c r="K947" i="61"/>
  <c r="L952" i="61"/>
  <c r="M952" i="61" s="1"/>
  <c r="K955" i="61"/>
  <c r="L960" i="61"/>
  <c r="M960" i="61" s="1"/>
  <c r="K963" i="61"/>
  <c r="L968" i="61"/>
  <c r="M968" i="61" s="1"/>
  <c r="K971" i="61"/>
  <c r="K983" i="61"/>
  <c r="K994" i="61"/>
  <c r="K904" i="61"/>
  <c r="M905" i="61"/>
  <c r="K908" i="61"/>
  <c r="M909" i="61"/>
  <c r="K912" i="61"/>
  <c r="M913" i="61"/>
  <c r="K916" i="61"/>
  <c r="M917" i="61"/>
  <c r="K920" i="61"/>
  <c r="M921" i="61"/>
  <c r="K924" i="61"/>
  <c r="M925" i="61"/>
  <c r="K928" i="61"/>
  <c r="M929" i="61"/>
  <c r="K932" i="61"/>
  <c r="M933" i="61"/>
  <c r="K936" i="61"/>
  <c r="M937" i="61"/>
  <c r="K940" i="61"/>
  <c r="M941" i="61"/>
  <c r="K944" i="61"/>
  <c r="K987" i="61"/>
  <c r="K992" i="61"/>
  <c r="K1000" i="61"/>
  <c r="M945" i="61"/>
  <c r="L948" i="61"/>
  <c r="M948" i="61" s="1"/>
  <c r="L949" i="61"/>
  <c r="M949" i="61" s="1"/>
  <c r="K951" i="61"/>
  <c r="M953" i="61"/>
  <c r="L956" i="61"/>
  <c r="M956" i="61" s="1"/>
  <c r="L957" i="61"/>
  <c r="M957" i="61" s="1"/>
  <c r="K959" i="61"/>
  <c r="M961" i="61"/>
  <c r="L964" i="61"/>
  <c r="M964" i="61" s="1"/>
  <c r="L965" i="61"/>
  <c r="M965" i="61" s="1"/>
  <c r="K967" i="61"/>
  <c r="M969" i="61"/>
  <c r="L972" i="61"/>
  <c r="M972" i="61" s="1"/>
  <c r="L973" i="61"/>
  <c r="M973" i="61" s="1"/>
  <c r="K975" i="61"/>
  <c r="K990" i="61"/>
  <c r="K998" i="61"/>
  <c r="K898" i="61"/>
  <c r="K902" i="61"/>
  <c r="K906" i="61"/>
  <c r="K910" i="61"/>
  <c r="K914" i="61"/>
  <c r="K918" i="61"/>
  <c r="K922" i="61"/>
  <c r="K926" i="61"/>
  <c r="K930" i="61"/>
  <c r="K934" i="61"/>
  <c r="K938" i="61"/>
  <c r="K942" i="61"/>
  <c r="L976" i="61"/>
  <c r="M976" i="61" s="1"/>
  <c r="K979" i="61"/>
  <c r="K996" i="61"/>
  <c r="M946" i="61"/>
  <c r="M950" i="61"/>
  <c r="M954" i="61"/>
  <c r="M958" i="61"/>
  <c r="M962" i="61"/>
  <c r="M966" i="61"/>
  <c r="M970" i="61"/>
  <c r="M974" i="61"/>
  <c r="M978" i="61"/>
  <c r="M982" i="61"/>
  <c r="M986" i="61"/>
  <c r="M977" i="61"/>
  <c r="M981" i="61"/>
  <c r="M985" i="61"/>
  <c r="L989" i="61"/>
  <c r="M989" i="61" s="1"/>
  <c r="L991" i="61"/>
  <c r="M991" i="61" s="1"/>
  <c r="L993" i="61"/>
  <c r="M993" i="61" s="1"/>
  <c r="L995" i="61"/>
  <c r="M995" i="61" s="1"/>
  <c r="L997" i="61"/>
  <c r="M997" i="61" s="1"/>
  <c r="L999" i="61"/>
  <c r="M999" i="61" s="1"/>
  <c r="L1001" i="61"/>
  <c r="M1001" i="61" s="1"/>
  <c r="M980" i="61"/>
  <c r="M984" i="61"/>
  <c r="M988" i="61"/>
  <c r="J4" i="61" l="1"/>
  <c r="K4" i="61" s="1"/>
  <c r="K14" i="61"/>
  <c r="I33" i="2" s="1"/>
  <c r="I14" i="61"/>
  <c r="G33" i="2" s="1"/>
  <c r="L14" i="61"/>
  <c r="J33" i="2" s="1"/>
  <c r="H14" i="61"/>
  <c r="F33" i="2" s="1"/>
  <c r="J14" i="61"/>
  <c r="H33" i="2" s="1"/>
  <c r="J3" i="61"/>
  <c r="K13" i="61" s="1"/>
  <c r="I32" i="2" s="1"/>
  <c r="L996" i="61"/>
  <c r="M996" i="61" s="1"/>
  <c r="L926" i="61"/>
  <c r="M926" i="61" s="1"/>
  <c r="L998" i="61"/>
  <c r="M998" i="61" s="1"/>
  <c r="L1000" i="61"/>
  <c r="M1000" i="61" s="1"/>
  <c r="L971" i="61"/>
  <c r="M971" i="61" s="1"/>
  <c r="L900" i="61"/>
  <c r="M900" i="61" s="1"/>
  <c r="L888" i="61"/>
  <c r="M888" i="61" s="1"/>
  <c r="L872" i="61"/>
  <c r="M872" i="61" s="1"/>
  <c r="L856" i="61"/>
  <c r="M856" i="61" s="1"/>
  <c r="L840" i="61"/>
  <c r="M840" i="61" s="1"/>
  <c r="L824" i="61"/>
  <c r="M824" i="61" s="1"/>
  <c r="L892" i="61"/>
  <c r="M892" i="61" s="1"/>
  <c r="L884" i="61"/>
  <c r="M884" i="61" s="1"/>
  <c r="L876" i="61"/>
  <c r="M876" i="61" s="1"/>
  <c r="L868" i="61"/>
  <c r="M868" i="61" s="1"/>
  <c r="L860" i="61"/>
  <c r="M860" i="61" s="1"/>
  <c r="L852" i="61"/>
  <c r="M852" i="61" s="1"/>
  <c r="L844" i="61"/>
  <c r="M844" i="61" s="1"/>
  <c r="L836" i="61"/>
  <c r="M836" i="61" s="1"/>
  <c r="L828" i="61"/>
  <c r="M828" i="61" s="1"/>
  <c r="L771" i="61"/>
  <c r="M771" i="61" s="1"/>
  <c r="L699" i="61"/>
  <c r="M699" i="61"/>
  <c r="L713" i="61"/>
  <c r="M713" i="61" s="1"/>
  <c r="L701" i="61"/>
  <c r="M701" i="61"/>
  <c r="L642" i="61"/>
  <c r="M642" i="61" s="1"/>
  <c r="L438" i="61"/>
  <c r="M438" i="61" s="1"/>
  <c r="L430" i="61"/>
  <c r="M430" i="61" s="1"/>
  <c r="L422" i="61"/>
  <c r="M422" i="61" s="1"/>
  <c r="L414" i="61"/>
  <c r="M414" i="61" s="1"/>
  <c r="L406" i="61"/>
  <c r="M406" i="61" s="1"/>
  <c r="L398" i="61"/>
  <c r="M398" i="61" s="1"/>
  <c r="L386" i="61"/>
  <c r="M386" i="61" s="1"/>
  <c r="L370" i="61"/>
  <c r="M370" i="61" s="1"/>
  <c r="L354" i="61"/>
  <c r="M354" i="61" s="1"/>
  <c r="L338" i="61"/>
  <c r="M338" i="61" s="1"/>
  <c r="L322" i="61"/>
  <c r="M322" i="61" s="1"/>
  <c r="L306" i="61"/>
  <c r="M306" i="61" s="1"/>
  <c r="L290" i="61"/>
  <c r="M290" i="61" s="1"/>
  <c r="L274" i="61"/>
  <c r="M274" i="61" s="1"/>
  <c r="L258" i="61"/>
  <c r="M258" i="61" s="1"/>
  <c r="L526" i="61"/>
  <c r="M526" i="61" s="1"/>
  <c r="L510" i="61"/>
  <c r="M510" i="61" s="1"/>
  <c r="L562" i="61"/>
  <c r="M562" i="61" s="1"/>
  <c r="L554" i="61"/>
  <c r="M554" i="61" s="1"/>
  <c r="L546" i="61"/>
  <c r="M546" i="61" s="1"/>
  <c r="L538" i="61"/>
  <c r="M538" i="61" s="1"/>
  <c r="L522" i="61"/>
  <c r="M522" i="61" s="1"/>
  <c r="L496" i="61"/>
  <c r="M496" i="61" s="1"/>
  <c r="L480" i="61"/>
  <c r="M480" i="61" s="1"/>
  <c r="L464" i="61"/>
  <c r="M464" i="61" s="1"/>
  <c r="L448" i="61"/>
  <c r="M448" i="61" s="1"/>
  <c r="L432" i="61"/>
  <c r="M432" i="61" s="1"/>
  <c r="L416" i="61"/>
  <c r="M416" i="61" s="1"/>
  <c r="L400" i="61"/>
  <c r="M400" i="61" s="1"/>
  <c r="L384" i="61"/>
  <c r="M384" i="61" s="1"/>
  <c r="L376" i="61"/>
  <c r="M376" i="61" s="1"/>
  <c r="L368" i="61"/>
  <c r="M368" i="61" s="1"/>
  <c r="L360" i="61"/>
  <c r="M360" i="61" s="1"/>
  <c r="L352" i="61"/>
  <c r="M352" i="61" s="1"/>
  <c r="L344" i="61"/>
  <c r="M344" i="61" s="1"/>
  <c r="L336" i="61"/>
  <c r="M336" i="61" s="1"/>
  <c r="L328" i="61"/>
  <c r="M328" i="61" s="1"/>
  <c r="L320" i="61"/>
  <c r="M320" i="61" s="1"/>
  <c r="L312" i="61"/>
  <c r="M312" i="61" s="1"/>
  <c r="L518" i="61"/>
  <c r="M518" i="61" s="1"/>
  <c r="L292" i="61"/>
  <c r="M292" i="61" s="1"/>
  <c r="L260" i="61"/>
  <c r="M260" i="61" s="1"/>
  <c r="L123" i="61"/>
  <c r="M123" i="61" s="1"/>
  <c r="L115" i="61"/>
  <c r="M115" i="61" s="1"/>
  <c r="L107" i="61"/>
  <c r="M107" i="61" s="1"/>
  <c r="L99" i="61"/>
  <c r="M99" i="61" s="1"/>
  <c r="L91" i="61"/>
  <c r="M91" i="61" s="1"/>
  <c r="L83" i="61"/>
  <c r="M83" i="61" s="1"/>
  <c r="L81" i="61"/>
  <c r="M81" i="61" s="1"/>
  <c r="L922" i="61"/>
  <c r="M922" i="61" s="1"/>
  <c r="L975" i="61"/>
  <c r="M975" i="61" s="1"/>
  <c r="L987" i="61"/>
  <c r="M987" i="61" s="1"/>
  <c r="L928" i="61"/>
  <c r="M928" i="61" s="1"/>
  <c r="L912" i="61"/>
  <c r="M912" i="61" s="1"/>
  <c r="L983" i="61"/>
  <c r="M983" i="61" s="1"/>
  <c r="L963" i="61"/>
  <c r="M963" i="61" s="1"/>
  <c r="L882" i="61"/>
  <c r="M882" i="61" s="1"/>
  <c r="L866" i="61"/>
  <c r="M866" i="61" s="1"/>
  <c r="L850" i="61"/>
  <c r="M850" i="61" s="1"/>
  <c r="L834" i="61"/>
  <c r="M834" i="61" s="1"/>
  <c r="L886" i="61"/>
  <c r="M886" i="61" s="1"/>
  <c r="L862" i="61"/>
  <c r="M862" i="61" s="1"/>
  <c r="L846" i="61"/>
  <c r="M846" i="61" s="1"/>
  <c r="L820" i="61"/>
  <c r="M820" i="61" s="1"/>
  <c r="L794" i="61"/>
  <c r="M794" i="61"/>
  <c r="L800" i="61"/>
  <c r="M800" i="61" s="1"/>
  <c r="L733" i="61"/>
  <c r="M733" i="61" s="1"/>
  <c r="L745" i="61"/>
  <c r="M745" i="61" s="1"/>
  <c r="L678" i="61"/>
  <c r="M678" i="61" s="1"/>
  <c r="L669" i="61"/>
  <c r="M669" i="61" s="1"/>
  <c r="L692" i="61"/>
  <c r="M692" i="61" s="1"/>
  <c r="L685" i="61"/>
  <c r="M685" i="61" s="1"/>
  <c r="L675" i="61"/>
  <c r="M675" i="61" s="1"/>
  <c r="L613" i="61"/>
  <c r="M613" i="61" s="1"/>
  <c r="L650" i="61"/>
  <c r="M650" i="61" s="1"/>
  <c r="L606" i="61"/>
  <c r="M606" i="61" s="1"/>
  <c r="L654" i="61"/>
  <c r="M654" i="61" s="1"/>
  <c r="L646" i="61"/>
  <c r="M646" i="61" s="1"/>
  <c r="L638" i="61"/>
  <c r="M638" i="61" s="1"/>
  <c r="L598" i="61"/>
  <c r="M598" i="61" s="1"/>
  <c r="L589" i="61"/>
  <c r="M589" i="61" s="1"/>
  <c r="L528" i="61"/>
  <c r="M528" i="61" s="1"/>
  <c r="L512" i="61"/>
  <c r="M512" i="61" s="1"/>
  <c r="L494" i="61"/>
  <c r="M494" i="61" s="1"/>
  <c r="L486" i="61"/>
  <c r="M486" i="61" s="1"/>
  <c r="L478" i="61"/>
  <c r="M478" i="61" s="1"/>
  <c r="L470" i="61"/>
  <c r="M470" i="61" s="1"/>
  <c r="L462" i="61"/>
  <c r="M462" i="61" s="1"/>
  <c r="L454" i="61"/>
  <c r="M454" i="61" s="1"/>
  <c r="L446" i="61"/>
  <c r="M446" i="61" s="1"/>
  <c r="L382" i="61"/>
  <c r="M382" i="61" s="1"/>
  <c r="L366" i="61"/>
  <c r="M366" i="61" s="1"/>
  <c r="L350" i="61"/>
  <c r="M350" i="61" s="1"/>
  <c r="L334" i="61"/>
  <c r="M334" i="61" s="1"/>
  <c r="L318" i="61"/>
  <c r="M318" i="61" s="1"/>
  <c r="L302" i="61"/>
  <c r="M302" i="61" s="1"/>
  <c r="L286" i="61"/>
  <c r="M286" i="61" s="1"/>
  <c r="L270" i="61"/>
  <c r="M270" i="61" s="1"/>
  <c r="L506" i="61"/>
  <c r="M506" i="61"/>
  <c r="L492" i="61"/>
  <c r="M492" i="61" s="1"/>
  <c r="L476" i="61"/>
  <c r="M476" i="61"/>
  <c r="L460" i="61"/>
  <c r="M460" i="61" s="1"/>
  <c r="L444" i="61"/>
  <c r="M444" i="61"/>
  <c r="L428" i="61"/>
  <c r="M428" i="61" s="1"/>
  <c r="L412" i="61"/>
  <c r="M412" i="61"/>
  <c r="L396" i="61"/>
  <c r="M396" i="61" s="1"/>
  <c r="L582" i="61"/>
  <c r="M582" i="61"/>
  <c r="L578" i="61"/>
  <c r="M578" i="61" s="1"/>
  <c r="L574" i="61"/>
  <c r="M574" i="61"/>
  <c r="L570" i="61"/>
  <c r="M570" i="61" s="1"/>
  <c r="L280" i="61"/>
  <c r="M280" i="61"/>
  <c r="L97" i="61"/>
  <c r="M97" i="61" s="1"/>
  <c r="L89" i="61"/>
  <c r="M89" i="61"/>
  <c r="L65" i="61"/>
  <c r="M65" i="61" s="1"/>
  <c r="L49" i="61"/>
  <c r="M49" i="61" s="1"/>
  <c r="L25" i="61"/>
  <c r="M25" i="61" s="1"/>
  <c r="L284" i="61"/>
  <c r="M284" i="61" s="1"/>
  <c r="L304" i="61"/>
  <c r="M304" i="61" s="1"/>
  <c r="L272" i="61"/>
  <c r="M272" i="61" s="1"/>
  <c r="L31" i="61"/>
  <c r="M31" i="61" s="1"/>
  <c r="L910" i="61"/>
  <c r="M910" i="61" s="1"/>
  <c r="L906" i="61"/>
  <c r="M906" i="61" s="1"/>
  <c r="L959" i="61"/>
  <c r="M959" i="61" s="1"/>
  <c r="L936" i="61"/>
  <c r="M936" i="61" s="1"/>
  <c r="L904" i="61"/>
  <c r="M904" i="61" s="1"/>
  <c r="L902" i="61"/>
  <c r="M902" i="61" s="1"/>
  <c r="L992" i="61"/>
  <c r="M992" i="61" s="1"/>
  <c r="L994" i="61"/>
  <c r="M994" i="61" s="1"/>
  <c r="L955" i="61"/>
  <c r="M955" i="61" s="1"/>
  <c r="L896" i="61"/>
  <c r="M896" i="61" s="1"/>
  <c r="L880" i="61"/>
  <c r="M880" i="61"/>
  <c r="L864" i="61"/>
  <c r="M864" i="61" s="1"/>
  <c r="L848" i="61"/>
  <c r="M848" i="61"/>
  <c r="L832" i="61"/>
  <c r="M832" i="61" s="1"/>
  <c r="L816" i="61"/>
  <c r="M816" i="61" s="1"/>
  <c r="L784" i="61"/>
  <c r="M784" i="61" s="1"/>
  <c r="L762" i="61"/>
  <c r="M762" i="61" s="1"/>
  <c r="L763" i="61"/>
  <c r="M763" i="61" s="1"/>
  <c r="L787" i="61"/>
  <c r="M787" i="61" s="1"/>
  <c r="L778" i="61"/>
  <c r="M778" i="61" s="1"/>
  <c r="L768" i="61"/>
  <c r="M768" i="61" s="1"/>
  <c r="L749" i="61"/>
  <c r="M749" i="61" s="1"/>
  <c r="L708" i="61"/>
  <c r="M708" i="61" s="1"/>
  <c r="L761" i="61"/>
  <c r="M761" i="61" s="1"/>
  <c r="L724" i="61"/>
  <c r="M724" i="61" s="1"/>
  <c r="L704" i="61"/>
  <c r="M704" i="61" s="1"/>
  <c r="L670" i="61"/>
  <c r="M670" i="61" s="1"/>
  <c r="L662" i="61"/>
  <c r="M662" i="61" s="1"/>
  <c r="L614" i="61"/>
  <c r="M614" i="61" s="1"/>
  <c r="L566" i="61"/>
  <c r="M566" i="61" s="1"/>
  <c r="L558" i="61"/>
  <c r="M558" i="61" s="1"/>
  <c r="L550" i="61"/>
  <c r="M550" i="61" s="1"/>
  <c r="L434" i="61"/>
  <c r="M434" i="61" s="1"/>
  <c r="L426" i="61"/>
  <c r="M426" i="61" s="1"/>
  <c r="L418" i="61"/>
  <c r="M418" i="61" s="1"/>
  <c r="L410" i="61"/>
  <c r="M410" i="61" s="1"/>
  <c r="L402" i="61"/>
  <c r="M402" i="61" s="1"/>
  <c r="L394" i="61"/>
  <c r="M394" i="61" s="1"/>
  <c r="L378" i="61"/>
  <c r="M378" i="61" s="1"/>
  <c r="L362" i="61"/>
  <c r="M362" i="61" s="1"/>
  <c r="L346" i="61"/>
  <c r="M346" i="61" s="1"/>
  <c r="L330" i="61"/>
  <c r="M330" i="61" s="1"/>
  <c r="L314" i="61"/>
  <c r="M314" i="61" s="1"/>
  <c r="L298" i="61"/>
  <c r="M298" i="61" s="1"/>
  <c r="L282" i="61"/>
  <c r="M282" i="61" s="1"/>
  <c r="L266" i="61"/>
  <c r="M266" i="61" s="1"/>
  <c r="L542" i="61"/>
  <c r="M542" i="61" s="1"/>
  <c r="L536" i="61"/>
  <c r="M536" i="61" s="1"/>
  <c r="L520" i="61"/>
  <c r="M520" i="61"/>
  <c r="L488" i="61"/>
  <c r="M488" i="61" s="1"/>
  <c r="L472" i="61"/>
  <c r="M472" i="61"/>
  <c r="L456" i="61"/>
  <c r="M456" i="61" s="1"/>
  <c r="L440" i="61"/>
  <c r="M440" i="61" s="1"/>
  <c r="L424" i="61"/>
  <c r="M424" i="61" s="1"/>
  <c r="L408" i="61"/>
  <c r="M408" i="61" s="1"/>
  <c r="L392" i="61"/>
  <c r="M392" i="61" s="1"/>
  <c r="L380" i="61"/>
  <c r="M380" i="61"/>
  <c r="L372" i="61"/>
  <c r="M372" i="61" s="1"/>
  <c r="L364" i="61"/>
  <c r="M364" i="61"/>
  <c r="L356" i="61"/>
  <c r="M356" i="61" s="1"/>
  <c r="L348" i="61"/>
  <c r="M348" i="61" s="1"/>
  <c r="L340" i="61"/>
  <c r="M340" i="61" s="1"/>
  <c r="L332" i="61"/>
  <c r="M332" i="61" s="1"/>
  <c r="L324" i="61"/>
  <c r="M324" i="61" s="1"/>
  <c r="L316" i="61"/>
  <c r="M316" i="61"/>
  <c r="L534" i="61"/>
  <c r="M534" i="61" s="1"/>
  <c r="L502" i="61"/>
  <c r="M502" i="61" s="1"/>
  <c r="L308" i="61"/>
  <c r="M308" i="61"/>
  <c r="L276" i="61"/>
  <c r="M276" i="61" s="1"/>
  <c r="L73" i="61"/>
  <c r="M73" i="61"/>
  <c r="L57" i="61"/>
  <c r="M57" i="61" s="1"/>
  <c r="L41" i="61"/>
  <c r="M41" i="61" s="1"/>
  <c r="L47" i="61"/>
  <c r="M47" i="61" s="1"/>
  <c r="L55" i="61"/>
  <c r="M55" i="61" s="1"/>
  <c r="K20" i="61"/>
  <c r="S20" i="61" s="1"/>
  <c r="L942" i="61"/>
  <c r="M942" i="61" s="1"/>
  <c r="L938" i="61"/>
  <c r="M938" i="61" s="1"/>
  <c r="L944" i="61"/>
  <c r="M944" i="61" s="1"/>
  <c r="L920" i="61"/>
  <c r="M920" i="61" s="1"/>
  <c r="L934" i="61"/>
  <c r="M934" i="61" s="1"/>
  <c r="L918" i="61"/>
  <c r="M918" i="61" s="1"/>
  <c r="L990" i="61"/>
  <c r="M990" i="61" s="1"/>
  <c r="L979" i="61"/>
  <c r="M979" i="61" s="1"/>
  <c r="L930" i="61"/>
  <c r="M930" i="61" s="1"/>
  <c r="L914" i="61"/>
  <c r="M914" i="61" s="1"/>
  <c r="M898" i="61"/>
  <c r="L898" i="61"/>
  <c r="L967" i="61"/>
  <c r="M967" i="61" s="1"/>
  <c r="L951" i="61"/>
  <c r="M951" i="61" s="1"/>
  <c r="L940" i="61"/>
  <c r="M940" i="61" s="1"/>
  <c r="L932" i="61"/>
  <c r="M932" i="61" s="1"/>
  <c r="L924" i="61"/>
  <c r="M924" i="61" s="1"/>
  <c r="L916" i="61"/>
  <c r="M916" i="61" s="1"/>
  <c r="L908" i="61"/>
  <c r="M908" i="61" s="1"/>
  <c r="L947" i="61"/>
  <c r="M947" i="61" s="1"/>
  <c r="L890" i="61"/>
  <c r="M890" i="61" s="1"/>
  <c r="L874" i="61"/>
  <c r="M874" i="61" s="1"/>
  <c r="L858" i="61"/>
  <c r="M858" i="61" s="1"/>
  <c r="L842" i="61"/>
  <c r="M842" i="61" s="1"/>
  <c r="L826" i="61"/>
  <c r="M826" i="61" s="1"/>
  <c r="L894" i="61"/>
  <c r="M894" i="61" s="1"/>
  <c r="L878" i="61"/>
  <c r="M878" i="61" s="1"/>
  <c r="L870" i="61"/>
  <c r="M870" i="61" s="1"/>
  <c r="L854" i="61"/>
  <c r="M854" i="61" s="1"/>
  <c r="L838" i="61"/>
  <c r="M838" i="61" s="1"/>
  <c r="L830" i="61"/>
  <c r="M830" i="61" s="1"/>
  <c r="L822" i="61"/>
  <c r="M822" i="61" s="1"/>
  <c r="L779" i="61"/>
  <c r="M779" i="61" s="1"/>
  <c r="L795" i="61"/>
  <c r="M795" i="61" s="1"/>
  <c r="L741" i="61"/>
  <c r="M741" i="61" s="1"/>
  <c r="L700" i="61"/>
  <c r="M700" i="61" s="1"/>
  <c r="L728" i="61"/>
  <c r="M728" i="61" s="1"/>
  <c r="L753" i="61"/>
  <c r="M753" i="61" s="1"/>
  <c r="L737" i="61"/>
  <c r="M737" i="61" s="1"/>
  <c r="L716" i="61"/>
  <c r="M716" i="61" s="1"/>
  <c r="L686" i="61"/>
  <c r="M686" i="61" s="1"/>
  <c r="L683" i="61"/>
  <c r="M683" i="61" s="1"/>
  <c r="L622" i="61"/>
  <c r="M622" i="61" s="1"/>
  <c r="L590" i="61"/>
  <c r="M590" i="61" s="1"/>
  <c r="L630" i="61"/>
  <c r="M630" i="61" s="1"/>
  <c r="L621" i="61"/>
  <c r="M621" i="61" s="1"/>
  <c r="L530" i="61"/>
  <c r="M530" i="61" s="1"/>
  <c r="L514" i="61"/>
  <c r="M514" i="61" s="1"/>
  <c r="L498" i="61"/>
  <c r="M498" i="61" s="1"/>
  <c r="L490" i="61"/>
  <c r="M490" i="61" s="1"/>
  <c r="L482" i="61"/>
  <c r="M482" i="61" s="1"/>
  <c r="L474" i="61"/>
  <c r="M474" i="61" s="1"/>
  <c r="L466" i="61"/>
  <c r="M466" i="61" s="1"/>
  <c r="L458" i="61"/>
  <c r="M458" i="61" s="1"/>
  <c r="L450" i="61"/>
  <c r="M450" i="61" s="1"/>
  <c r="L442" i="61"/>
  <c r="M442" i="61" s="1"/>
  <c r="L390" i="61"/>
  <c r="M390" i="61" s="1"/>
  <c r="L374" i="61"/>
  <c r="M374" i="61" s="1"/>
  <c r="L358" i="61"/>
  <c r="M358" i="61" s="1"/>
  <c r="L342" i="61"/>
  <c r="M342" i="61" s="1"/>
  <c r="L326" i="61"/>
  <c r="M326" i="61" s="1"/>
  <c r="L310" i="61"/>
  <c r="M310" i="61" s="1"/>
  <c r="L294" i="61"/>
  <c r="M294" i="61" s="1"/>
  <c r="L278" i="61"/>
  <c r="M278" i="61" s="1"/>
  <c r="L262" i="61"/>
  <c r="M262" i="61" s="1"/>
  <c r="L504" i="61"/>
  <c r="M504" i="61" s="1"/>
  <c r="L484" i="61"/>
  <c r="M484" i="61" s="1"/>
  <c r="L468" i="61"/>
  <c r="M468" i="61" s="1"/>
  <c r="L452" i="61"/>
  <c r="M452" i="61" s="1"/>
  <c r="L436" i="61"/>
  <c r="M436" i="61" s="1"/>
  <c r="L420" i="61"/>
  <c r="M420" i="61" s="1"/>
  <c r="L404" i="61"/>
  <c r="M404" i="61" s="1"/>
  <c r="L388" i="61"/>
  <c r="M388" i="61" s="1"/>
  <c r="L296" i="61"/>
  <c r="M296" i="61" s="1"/>
  <c r="L264" i="61"/>
  <c r="M264" i="61" s="1"/>
  <c r="L300" i="61"/>
  <c r="M300" i="61" s="1"/>
  <c r="L268" i="61"/>
  <c r="M268" i="61"/>
  <c r="L33" i="61"/>
  <c r="M33" i="61" s="1"/>
  <c r="L288" i="61"/>
  <c r="M288" i="61" s="1"/>
  <c r="G14" i="61" l="1"/>
  <c r="E33" i="2" s="1"/>
  <c r="G13" i="61"/>
  <c r="E32" i="2" s="1"/>
  <c r="K3" i="61"/>
  <c r="M14" i="61"/>
  <c r="L13" i="61"/>
  <c r="J32" i="2" s="1"/>
  <c r="L20" i="61"/>
  <c r="J13" i="61"/>
  <c r="H32" i="2" s="1"/>
  <c r="I13" i="61"/>
  <c r="G32" i="2" s="1"/>
  <c r="H13" i="61"/>
  <c r="F32" i="2" s="1"/>
  <c r="M20" i="61"/>
  <c r="S19" i="61" s="1"/>
  <c r="M13" i="61" l="1"/>
  <c r="I24" i="12"/>
  <c r="I25" i="12"/>
  <c r="J27" i="12"/>
  <c r="F369" i="17" l="1"/>
  <c r="G350" i="1" s="1"/>
  <c r="I350" i="1"/>
  <c r="G351" i="1"/>
  <c r="I351" i="1"/>
  <c r="I82" i="1"/>
  <c r="E351" i="1" l="1"/>
  <c r="E350" i="1"/>
  <c r="E82" i="1"/>
  <c r="F476" i="1" l="1"/>
  <c r="H474" i="1"/>
  <c r="E201" i="1"/>
  <c r="H18" i="21"/>
  <c r="J27" i="2" s="1"/>
  <c r="E25" i="2"/>
  <c r="G25" i="2"/>
  <c r="F25" i="2"/>
  <c r="C20" i="64" l="1"/>
  <c r="D21" i="2"/>
  <c r="G202" i="1"/>
  <c r="G187" i="1"/>
  <c r="C23" i="64"/>
  <c r="H15" i="2" l="1"/>
  <c r="G15" i="2"/>
  <c r="E15" i="2"/>
  <c r="H25" i="2" l="1"/>
  <c r="D25" i="2" s="1"/>
  <c r="D24" i="2"/>
  <c r="I38" i="2"/>
  <c r="J37" i="2"/>
  <c r="J38" i="2"/>
  <c r="C22" i="64"/>
  <c r="F15" i="2"/>
  <c r="J15" i="2"/>
  <c r="I37" i="2" l="1"/>
  <c r="D37" i="2" s="1"/>
  <c r="C38" i="64"/>
  <c r="J38" i="64" s="1"/>
  <c r="C39" i="64"/>
  <c r="J39" i="64" s="1"/>
  <c r="D18" i="2"/>
  <c r="D38" i="2"/>
  <c r="D19" i="2" l="1"/>
  <c r="D14" i="2"/>
  <c r="I15" i="2"/>
  <c r="E249" i="1"/>
  <c r="E248" i="1" s="1"/>
  <c r="E467" i="1"/>
  <c r="E242" i="1"/>
  <c r="E241" i="1" s="1"/>
  <c r="E460" i="1"/>
  <c r="D16" i="2"/>
  <c r="D17" i="2"/>
  <c r="F467" i="1" l="1"/>
  <c r="E466" i="1"/>
  <c r="E470" i="1" s="1"/>
  <c r="C19" i="64"/>
  <c r="E459" i="1"/>
  <c r="E462" i="1" s="1"/>
  <c r="F460" i="1"/>
  <c r="H34" i="64" l="1"/>
  <c r="I35" i="2" s="1"/>
  <c r="D37" i="64"/>
  <c r="I35" i="64"/>
  <c r="G37" i="64"/>
  <c r="H36" i="2" s="1"/>
  <c r="D34" i="64"/>
  <c r="G34" i="64"/>
  <c r="H35" i="2" s="1"/>
  <c r="F37" i="64"/>
  <c r="G36" i="2" s="1"/>
  <c r="F34" i="64"/>
  <c r="G35" i="2" s="1"/>
  <c r="I34" i="64"/>
  <c r="J35" i="2" s="1"/>
  <c r="I37" i="64"/>
  <c r="J36" i="2" s="1"/>
  <c r="E34" i="64"/>
  <c r="F35" i="2" s="1"/>
  <c r="E37" i="64"/>
  <c r="F36" i="2" s="1"/>
  <c r="H37" i="64"/>
  <c r="D36" i="64"/>
  <c r="G35" i="64"/>
  <c r="F36" i="64"/>
  <c r="G36" i="64"/>
  <c r="D35" i="64"/>
  <c r="F35" i="64"/>
  <c r="I36" i="64"/>
  <c r="E36" i="64"/>
  <c r="E35" i="64"/>
  <c r="H36" i="64"/>
  <c r="H35" i="64"/>
  <c r="F466" i="1"/>
  <c r="F459" i="1"/>
  <c r="D40" i="64"/>
  <c r="E39" i="2" s="1"/>
  <c r="F40" i="64"/>
  <c r="G39" i="2" s="1"/>
  <c r="G40" i="64"/>
  <c r="H39" i="2" s="1"/>
  <c r="E40" i="64"/>
  <c r="F39" i="2" s="1"/>
  <c r="I40" i="64"/>
  <c r="J39" i="2" s="1"/>
  <c r="H40" i="64"/>
  <c r="I39" i="2" s="1"/>
  <c r="I36" i="2"/>
  <c r="I43" i="64" l="1"/>
  <c r="E35" i="2"/>
  <c r="D35" i="2" s="1"/>
  <c r="C34" i="64"/>
  <c r="C36" i="64"/>
  <c r="C35" i="64"/>
  <c r="E36" i="2"/>
  <c r="D36" i="2" s="1"/>
  <c r="C37" i="64"/>
  <c r="D39" i="2"/>
  <c r="C40" i="64"/>
  <c r="I44" i="64" l="1"/>
  <c r="I45" i="64" s="1"/>
  <c r="I47" i="64" s="1"/>
  <c r="I48" i="64" s="1"/>
  <c r="J36" i="64"/>
  <c r="E415" i="1"/>
  <c r="E197" i="1"/>
  <c r="E196" i="1" s="1"/>
  <c r="J34" i="64"/>
  <c r="E185" i="1"/>
  <c r="E184" i="1" s="1"/>
  <c r="E403" i="1"/>
  <c r="J40" i="64"/>
  <c r="E484" i="1"/>
  <c r="E266" i="1"/>
  <c r="E265" i="1" s="1"/>
  <c r="J35" i="64"/>
  <c r="E413" i="1"/>
  <c r="E195" i="1"/>
  <c r="E194" i="1" s="1"/>
  <c r="E432" i="1"/>
  <c r="E214" i="1"/>
  <c r="E213" i="1" s="1"/>
  <c r="J37" i="64"/>
  <c r="C41" i="64"/>
  <c r="E202" i="1"/>
  <c r="H45" i="64" l="1"/>
  <c r="H47" i="64" s="1"/>
  <c r="H48" i="64" s="1"/>
  <c r="E431" i="1"/>
  <c r="E441" i="1" s="1"/>
  <c r="E450" i="1" s="1"/>
  <c r="F432" i="1"/>
  <c r="F400" i="1"/>
  <c r="E402" i="1"/>
  <c r="F402" i="1" s="1"/>
  <c r="F403" i="1"/>
  <c r="E412" i="1"/>
  <c r="F413" i="1"/>
  <c r="E414" i="1"/>
  <c r="F414" i="1" s="1"/>
  <c r="F415" i="1"/>
  <c r="F404" i="1"/>
  <c r="F401" i="1"/>
  <c r="E408" i="1"/>
  <c r="F484" i="1"/>
  <c r="E483" i="1"/>
  <c r="E492" i="1" s="1"/>
  <c r="F431" i="1" l="1"/>
  <c r="F406" i="1"/>
  <c r="F483" i="1"/>
  <c r="E417" i="1"/>
  <c r="E420" i="1"/>
  <c r="F419" i="1"/>
  <c r="E405" i="1"/>
  <c r="E409" i="1" s="1"/>
  <c r="F412" i="1"/>
  <c r="E421" i="1" l="1"/>
  <c r="E452" i="1" s="1"/>
  <c r="I15" i="48" l="1"/>
  <c r="F31" i="2" s="1"/>
  <c r="J15" i="48"/>
  <c r="G31" i="2" s="1"/>
  <c r="K15" i="48"/>
  <c r="H31" i="2" s="1"/>
  <c r="L15" i="48"/>
  <c r="I31" i="2" s="1"/>
  <c r="M15" i="48"/>
  <c r="J31" i="2" s="1"/>
  <c r="H15" i="48"/>
  <c r="E31" i="2" s="1"/>
  <c r="C18" i="48"/>
  <c r="C16" i="48"/>
  <c r="C11" i="48"/>
  <c r="E9" i="48"/>
  <c r="C6" i="48"/>
  <c r="E4" i="48"/>
  <c r="D9" i="48"/>
  <c r="D31" i="2" l="1"/>
  <c r="G15" i="48"/>
  <c r="D11" i="48"/>
  <c r="D4" i="48"/>
  <c r="D6" i="48" s="1"/>
  <c r="I274" i="1" l="1"/>
  <c r="E189" i="1" l="1"/>
  <c r="F407" i="1" s="1"/>
  <c r="E198" i="1"/>
  <c r="F416" i="1" s="1"/>
  <c r="E206" i="1"/>
  <c r="F424" i="1" s="1"/>
  <c r="E208" i="1"/>
  <c r="F426" i="1" s="1"/>
  <c r="E222" i="1"/>
  <c r="F440" i="1" s="1"/>
  <c r="E221" i="1"/>
  <c r="F439" i="1" s="1"/>
  <c r="E220" i="1"/>
  <c r="F438" i="1" s="1"/>
  <c r="E219" i="1"/>
  <c r="F437" i="1" s="1"/>
  <c r="E218" i="1"/>
  <c r="F436" i="1" s="1"/>
  <c r="E217" i="1"/>
  <c r="F435" i="1" s="1"/>
  <c r="E216" i="1"/>
  <c r="F434" i="1" s="1"/>
  <c r="E215" i="1"/>
  <c r="F433" i="1" s="1"/>
  <c r="E230" i="1"/>
  <c r="F448" i="1" s="1"/>
  <c r="E229" i="1"/>
  <c r="F447" i="1" s="1"/>
  <c r="E228" i="1"/>
  <c r="F446" i="1" s="1"/>
  <c r="E227" i="1"/>
  <c r="F445" i="1" s="1"/>
  <c r="E226" i="1"/>
  <c r="F444" i="1" s="1"/>
  <c r="E225" i="1"/>
  <c r="F443" i="1" s="1"/>
  <c r="E224" i="1"/>
  <c r="F442" i="1" s="1"/>
  <c r="E240" i="1"/>
  <c r="F458" i="1" s="1"/>
  <c r="E239" i="1"/>
  <c r="F457" i="1" s="1"/>
  <c r="E251" i="1"/>
  <c r="F469" i="1" s="1"/>
  <c r="E250" i="1"/>
  <c r="F468" i="1" s="1"/>
  <c r="E247" i="1"/>
  <c r="E258" i="1"/>
  <c r="E257" i="1"/>
  <c r="F475" i="1" s="1"/>
  <c r="E256" i="1"/>
  <c r="E474" i="1" s="1"/>
  <c r="E255" i="1"/>
  <c r="F473" i="1" s="1"/>
  <c r="E267" i="1"/>
  <c r="F485" i="1" s="1"/>
  <c r="E268" i="1"/>
  <c r="F486" i="1" s="1"/>
  <c r="E269" i="1"/>
  <c r="F487" i="1" s="1"/>
  <c r="E270" i="1"/>
  <c r="F488" i="1" s="1"/>
  <c r="E271" i="1"/>
  <c r="F489" i="1" s="1"/>
  <c r="E272" i="1"/>
  <c r="F490" i="1" s="1"/>
  <c r="E273" i="1"/>
  <c r="F491" i="1" s="1"/>
  <c r="E207" i="1"/>
  <c r="F474" i="1" l="1"/>
  <c r="E477" i="1"/>
  <c r="E479" i="1" s="1"/>
  <c r="E187" i="1"/>
  <c r="E209" i="1"/>
  <c r="E210" i="1" s="1"/>
  <c r="E190" i="1"/>
  <c r="E252" i="1"/>
  <c r="E231" i="1"/>
  <c r="E223" i="1"/>
  <c r="E259" i="1"/>
  <c r="E274" i="1"/>
  <c r="E276" i="1" s="1"/>
  <c r="E199" i="1"/>
  <c r="AE140" i="36"/>
  <c r="AD140" i="36"/>
  <c r="AC140" i="36"/>
  <c r="AB140" i="36"/>
  <c r="AA140" i="36"/>
  <c r="Z140" i="36"/>
  <c r="Y140" i="36"/>
  <c r="X140" i="36"/>
  <c r="W140" i="36"/>
  <c r="V140" i="36"/>
  <c r="U140" i="36"/>
  <c r="T140" i="36"/>
  <c r="S140" i="36"/>
  <c r="R140" i="36"/>
  <c r="Q140" i="36"/>
  <c r="P140" i="36"/>
  <c r="O140" i="36"/>
  <c r="N140" i="36"/>
  <c r="M140" i="36"/>
  <c r="L140" i="36"/>
  <c r="K140" i="36"/>
  <c r="J140" i="36"/>
  <c r="H140" i="36"/>
  <c r="AE121" i="36"/>
  <c r="AD121" i="36"/>
  <c r="AC121" i="36"/>
  <c r="AB121" i="36"/>
  <c r="AA121" i="36"/>
  <c r="Z121" i="36"/>
  <c r="Y121" i="36"/>
  <c r="X121" i="36"/>
  <c r="W121" i="36"/>
  <c r="V121" i="36"/>
  <c r="U121" i="36"/>
  <c r="T121" i="36"/>
  <c r="S121" i="36"/>
  <c r="R121" i="36"/>
  <c r="Q121" i="36"/>
  <c r="P121" i="36"/>
  <c r="O121" i="36"/>
  <c r="N121" i="36"/>
  <c r="M121" i="36"/>
  <c r="L121" i="36"/>
  <c r="K121" i="36"/>
  <c r="J121" i="36"/>
  <c r="H121" i="36"/>
  <c r="AE102" i="36"/>
  <c r="AD102" i="36"/>
  <c r="AC102" i="36"/>
  <c r="AB102" i="36"/>
  <c r="AA102" i="36"/>
  <c r="Z102" i="36"/>
  <c r="Y102" i="36"/>
  <c r="X102" i="36"/>
  <c r="W102" i="36"/>
  <c r="V102" i="36"/>
  <c r="U102" i="36"/>
  <c r="T102" i="36"/>
  <c r="S102" i="36"/>
  <c r="R102" i="36"/>
  <c r="Q102" i="36"/>
  <c r="P102" i="36"/>
  <c r="O102" i="36"/>
  <c r="N102" i="36"/>
  <c r="M102" i="36"/>
  <c r="L102" i="36"/>
  <c r="K102" i="36"/>
  <c r="J102" i="36"/>
  <c r="H102" i="36"/>
  <c r="AE83" i="36"/>
  <c r="AD83" i="36"/>
  <c r="AC83" i="36"/>
  <c r="AB83" i="36"/>
  <c r="AA83" i="36"/>
  <c r="Z83" i="36"/>
  <c r="Y83" i="36"/>
  <c r="X83" i="36"/>
  <c r="W83" i="36"/>
  <c r="V83" i="36"/>
  <c r="U83" i="36"/>
  <c r="T83" i="36"/>
  <c r="S83" i="36"/>
  <c r="R83" i="36"/>
  <c r="Q83" i="36"/>
  <c r="P83" i="36"/>
  <c r="O83" i="36"/>
  <c r="AE82" i="36"/>
  <c r="AD82" i="36"/>
  <c r="AC82" i="36"/>
  <c r="AB82" i="36"/>
  <c r="AA82" i="36"/>
  <c r="Z82" i="36"/>
  <c r="Y82" i="36"/>
  <c r="X82" i="36"/>
  <c r="W82" i="36"/>
  <c r="V82" i="36"/>
  <c r="U82" i="36"/>
  <c r="T82" i="36"/>
  <c r="S82" i="36"/>
  <c r="R82" i="36"/>
  <c r="Q82" i="36"/>
  <c r="P82" i="36"/>
  <c r="O82" i="36"/>
  <c r="AE81" i="36"/>
  <c r="AD81" i="36"/>
  <c r="AC81" i="36"/>
  <c r="AB81" i="36"/>
  <c r="AA81" i="36"/>
  <c r="Z81" i="36"/>
  <c r="Y81" i="36"/>
  <c r="X81" i="36"/>
  <c r="W81" i="36"/>
  <c r="V81" i="36"/>
  <c r="U81" i="36"/>
  <c r="T81" i="36"/>
  <c r="S81" i="36"/>
  <c r="R81" i="36"/>
  <c r="Q81" i="36"/>
  <c r="P81" i="36"/>
  <c r="O81" i="36"/>
  <c r="AE80" i="36"/>
  <c r="AD80" i="36"/>
  <c r="AC80" i="36"/>
  <c r="AB80" i="36"/>
  <c r="AA80" i="36"/>
  <c r="Z80" i="36"/>
  <c r="Y80" i="36"/>
  <c r="X80" i="36"/>
  <c r="W80" i="36"/>
  <c r="V80" i="36"/>
  <c r="U80" i="36"/>
  <c r="T80" i="36"/>
  <c r="S80" i="36"/>
  <c r="R80" i="36"/>
  <c r="Q80" i="36"/>
  <c r="P80" i="36"/>
  <c r="O80" i="36"/>
  <c r="AE78" i="36"/>
  <c r="AD78" i="36"/>
  <c r="AC78" i="36"/>
  <c r="AB78" i="36"/>
  <c r="AA78" i="36"/>
  <c r="Z78" i="36"/>
  <c r="Y78" i="36"/>
  <c r="X78" i="36"/>
  <c r="W78" i="36"/>
  <c r="V78" i="36"/>
  <c r="U78" i="36"/>
  <c r="T78" i="36"/>
  <c r="S78" i="36"/>
  <c r="R78" i="36"/>
  <c r="Q78" i="36"/>
  <c r="P78" i="36"/>
  <c r="O78" i="36"/>
  <c r="AE76" i="36"/>
  <c r="AD76" i="36"/>
  <c r="AC76" i="36"/>
  <c r="AB76" i="36"/>
  <c r="AA76" i="36"/>
  <c r="Z76" i="36"/>
  <c r="Y76" i="36"/>
  <c r="X76" i="36"/>
  <c r="W76" i="36"/>
  <c r="V76" i="36"/>
  <c r="U76" i="36"/>
  <c r="T76" i="36"/>
  <c r="S76" i="36"/>
  <c r="R76" i="36"/>
  <c r="Q76" i="36"/>
  <c r="P76" i="36"/>
  <c r="O76" i="36"/>
  <c r="N76" i="36"/>
  <c r="AE65" i="36"/>
  <c r="AD65" i="36"/>
  <c r="AC65" i="36"/>
  <c r="AB65" i="36"/>
  <c r="AA65" i="36"/>
  <c r="Z65" i="36"/>
  <c r="Y65" i="36"/>
  <c r="X65" i="36"/>
  <c r="W65" i="36"/>
  <c r="V65" i="36"/>
  <c r="U65" i="36"/>
  <c r="T65" i="36"/>
  <c r="S65" i="36"/>
  <c r="O65" i="36"/>
  <c r="AE64" i="36"/>
  <c r="AD64" i="36"/>
  <c r="AC64" i="36"/>
  <c r="AB64" i="36"/>
  <c r="AA64" i="36"/>
  <c r="Z64" i="36"/>
  <c r="Y64" i="36"/>
  <c r="X64" i="36"/>
  <c r="W64" i="36"/>
  <c r="V64" i="36"/>
  <c r="U64" i="36"/>
  <c r="T64" i="36"/>
  <c r="S64" i="36"/>
  <c r="O64" i="36"/>
  <c r="AE63" i="36"/>
  <c r="AD63" i="36"/>
  <c r="AC63" i="36"/>
  <c r="AB63" i="36"/>
  <c r="AA63" i="36"/>
  <c r="Z63" i="36"/>
  <c r="Y63" i="36"/>
  <c r="X63" i="36"/>
  <c r="W63" i="36"/>
  <c r="V63" i="36"/>
  <c r="U63" i="36"/>
  <c r="T63" i="36"/>
  <c r="S63" i="36"/>
  <c r="O63" i="36"/>
  <c r="AE62" i="36"/>
  <c r="AD62" i="36"/>
  <c r="AC62" i="36"/>
  <c r="AB62" i="36"/>
  <c r="AA62" i="36"/>
  <c r="Z62" i="36"/>
  <c r="Y62" i="36"/>
  <c r="X62" i="36"/>
  <c r="W62" i="36"/>
  <c r="V62" i="36"/>
  <c r="U62" i="36"/>
  <c r="T62" i="36"/>
  <c r="S62" i="36"/>
  <c r="R62" i="36"/>
  <c r="Q62" i="36"/>
  <c r="P62" i="36"/>
  <c r="O62" i="36"/>
  <c r="N62" i="36"/>
  <c r="AE61" i="36"/>
  <c r="AD61" i="36"/>
  <c r="AC61" i="36"/>
  <c r="AB61" i="36"/>
  <c r="AA61" i="36"/>
  <c r="Z61" i="36"/>
  <c r="Y61" i="36"/>
  <c r="X61" i="36"/>
  <c r="W61" i="36"/>
  <c r="V61" i="36"/>
  <c r="U61" i="36"/>
  <c r="T61" i="36"/>
  <c r="S61" i="36"/>
  <c r="R61" i="36"/>
  <c r="Q61" i="36"/>
  <c r="P61" i="36"/>
  <c r="O61" i="36"/>
  <c r="N61" i="36"/>
  <c r="M61" i="36"/>
  <c r="L61" i="36"/>
  <c r="K61" i="36"/>
  <c r="J61" i="36"/>
  <c r="AE60" i="36"/>
  <c r="AD60" i="36"/>
  <c r="AC60" i="36"/>
  <c r="AB60" i="36"/>
  <c r="AA60" i="36"/>
  <c r="Z60" i="36"/>
  <c r="Y60" i="36"/>
  <c r="X60" i="36"/>
  <c r="W60" i="36"/>
  <c r="V60" i="36"/>
  <c r="U60" i="36"/>
  <c r="T60" i="36"/>
  <c r="S60" i="36"/>
  <c r="R60" i="36"/>
  <c r="Q60" i="36"/>
  <c r="P60" i="36"/>
  <c r="O60" i="36"/>
  <c r="N60" i="36"/>
  <c r="M60" i="36"/>
  <c r="L60" i="36"/>
  <c r="K60" i="36"/>
  <c r="J60" i="36"/>
  <c r="AE59" i="36"/>
  <c r="AD59" i="36"/>
  <c r="AC59" i="36"/>
  <c r="AB59" i="36"/>
  <c r="AA59" i="36"/>
  <c r="Z59" i="36"/>
  <c r="Y59" i="36"/>
  <c r="X59" i="36"/>
  <c r="W59" i="36"/>
  <c r="V59" i="36"/>
  <c r="U59" i="36"/>
  <c r="T59" i="36"/>
  <c r="S59" i="36"/>
  <c r="R59" i="36"/>
  <c r="Q59" i="36"/>
  <c r="P59" i="36"/>
  <c r="O59" i="36"/>
  <c r="N59" i="36"/>
  <c r="M59" i="36"/>
  <c r="L59" i="36"/>
  <c r="K59" i="36"/>
  <c r="J59" i="36"/>
  <c r="AE58" i="36"/>
  <c r="AD58" i="36"/>
  <c r="AC58" i="36"/>
  <c r="AB58" i="36"/>
  <c r="AA58" i="36"/>
  <c r="Z58" i="36"/>
  <c r="Y58" i="36"/>
  <c r="X58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AE57" i="36"/>
  <c r="AD57" i="36"/>
  <c r="AC57" i="36"/>
  <c r="AB57" i="36"/>
  <c r="AA57" i="36"/>
  <c r="Z57" i="36"/>
  <c r="Y57" i="36"/>
  <c r="X57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V56" i="36"/>
  <c r="U56" i="36"/>
  <c r="T56" i="36"/>
  <c r="S56" i="36"/>
  <c r="R56" i="36"/>
  <c r="Q56" i="36"/>
  <c r="P56" i="36"/>
  <c r="O56" i="36"/>
  <c r="N56" i="36"/>
  <c r="M56" i="36"/>
  <c r="L56" i="36"/>
  <c r="K56" i="36"/>
  <c r="J56" i="36"/>
  <c r="R55" i="36"/>
  <c r="Q55" i="36"/>
  <c r="P55" i="36"/>
  <c r="O55" i="36"/>
  <c r="N55" i="36"/>
  <c r="M55" i="36"/>
  <c r="L55" i="36"/>
  <c r="K55" i="36"/>
  <c r="J55" i="36"/>
  <c r="Q54" i="36"/>
  <c r="P54" i="36"/>
  <c r="O54" i="36"/>
  <c r="N54" i="36"/>
  <c r="M54" i="36"/>
  <c r="L54" i="36"/>
  <c r="K54" i="36"/>
  <c r="J54" i="36"/>
  <c r="P53" i="36"/>
  <c r="O53" i="36"/>
  <c r="N53" i="36"/>
  <c r="M53" i="36"/>
  <c r="L53" i="36"/>
  <c r="K53" i="36"/>
  <c r="J53" i="36"/>
  <c r="AE47" i="36"/>
  <c r="AD47" i="36"/>
  <c r="AC47" i="36"/>
  <c r="AB47" i="36"/>
  <c r="AA47" i="36"/>
  <c r="Z47" i="36"/>
  <c r="Y47" i="36"/>
  <c r="X47" i="36"/>
  <c r="W47" i="36"/>
  <c r="V47" i="36"/>
  <c r="U47" i="36"/>
  <c r="T47" i="36"/>
  <c r="S47" i="36"/>
  <c r="O47" i="36"/>
  <c r="AE46" i="36"/>
  <c r="AD46" i="36"/>
  <c r="AC46" i="36"/>
  <c r="AB46" i="36"/>
  <c r="AA46" i="36"/>
  <c r="Z46" i="36"/>
  <c r="Y46" i="36"/>
  <c r="X46" i="36"/>
  <c r="W46" i="36"/>
  <c r="V46" i="36"/>
  <c r="U46" i="36"/>
  <c r="T46" i="36"/>
  <c r="S46" i="36"/>
  <c r="O46" i="36"/>
  <c r="AE45" i="36"/>
  <c r="AD45" i="36"/>
  <c r="AC45" i="36"/>
  <c r="AB45" i="36"/>
  <c r="AA45" i="36"/>
  <c r="Z45" i="36"/>
  <c r="Y45" i="36"/>
  <c r="X45" i="36"/>
  <c r="W45" i="36"/>
  <c r="V45" i="36"/>
  <c r="U45" i="36"/>
  <c r="T45" i="36"/>
  <c r="S45" i="36"/>
  <c r="O45" i="36"/>
  <c r="AE44" i="36"/>
  <c r="AD44" i="36"/>
  <c r="AC44" i="36"/>
  <c r="AB44" i="36"/>
  <c r="AA44" i="36"/>
  <c r="Z44" i="36"/>
  <c r="Y44" i="36"/>
  <c r="X44" i="36"/>
  <c r="W44" i="36"/>
  <c r="V44" i="36"/>
  <c r="U44" i="36"/>
  <c r="T44" i="36"/>
  <c r="S44" i="36"/>
  <c r="O44" i="36"/>
  <c r="AE43" i="36"/>
  <c r="AD43" i="36"/>
  <c r="AC43" i="36"/>
  <c r="AB43" i="36"/>
  <c r="AA43" i="36"/>
  <c r="Z43" i="36"/>
  <c r="Y43" i="36"/>
  <c r="X43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AE42" i="36"/>
  <c r="AD42" i="36"/>
  <c r="AC42" i="36"/>
  <c r="AB42" i="36"/>
  <c r="AA42" i="36"/>
  <c r="Z42" i="36"/>
  <c r="Y42" i="36"/>
  <c r="X42" i="36"/>
  <c r="W42" i="36"/>
  <c r="V42" i="36"/>
  <c r="U42" i="36"/>
  <c r="T42" i="36"/>
  <c r="S42" i="36"/>
  <c r="R42" i="36"/>
  <c r="Q42" i="36"/>
  <c r="P42" i="36"/>
  <c r="O42" i="36"/>
  <c r="N42" i="36"/>
  <c r="M42" i="36"/>
  <c r="L42" i="36"/>
  <c r="K42" i="36"/>
  <c r="J42" i="36"/>
  <c r="AE41" i="36"/>
  <c r="AD41" i="36"/>
  <c r="AC41" i="36"/>
  <c r="AB41" i="36"/>
  <c r="AA41" i="36"/>
  <c r="Z41" i="36"/>
  <c r="Y41" i="36"/>
  <c r="X41" i="36"/>
  <c r="W41" i="36"/>
  <c r="V41" i="36"/>
  <c r="U41" i="36"/>
  <c r="T41" i="36"/>
  <c r="S41" i="36"/>
  <c r="R41" i="36"/>
  <c r="Q41" i="36"/>
  <c r="P41" i="36"/>
  <c r="O41" i="36"/>
  <c r="N41" i="36"/>
  <c r="M41" i="36"/>
  <c r="L41" i="36"/>
  <c r="K41" i="36"/>
  <c r="J41" i="36"/>
  <c r="AE40" i="36"/>
  <c r="AD40" i="36"/>
  <c r="AC40" i="36"/>
  <c r="AB40" i="36"/>
  <c r="AA40" i="36"/>
  <c r="Z40" i="36"/>
  <c r="Y40" i="36"/>
  <c r="X40" i="36"/>
  <c r="W40" i="36"/>
  <c r="V40" i="36"/>
  <c r="U40" i="36"/>
  <c r="T40" i="36"/>
  <c r="S40" i="36"/>
  <c r="R40" i="36"/>
  <c r="Q40" i="36"/>
  <c r="P40" i="36"/>
  <c r="O40" i="36"/>
  <c r="N40" i="36"/>
  <c r="M40" i="36"/>
  <c r="L40" i="36"/>
  <c r="K40" i="36"/>
  <c r="J40" i="36"/>
  <c r="AE39" i="36"/>
  <c r="AD39" i="36"/>
  <c r="AC39" i="36"/>
  <c r="AB39" i="36"/>
  <c r="AA39" i="36"/>
  <c r="Z39" i="36"/>
  <c r="Y39" i="36"/>
  <c r="X39" i="36"/>
  <c r="W39" i="36"/>
  <c r="V39" i="36"/>
  <c r="U39" i="36"/>
  <c r="T39" i="36"/>
  <c r="S39" i="36"/>
  <c r="R39" i="36"/>
  <c r="Q39" i="36"/>
  <c r="P39" i="36"/>
  <c r="O39" i="36"/>
  <c r="N39" i="36"/>
  <c r="M39" i="36"/>
  <c r="L39" i="36"/>
  <c r="K39" i="36"/>
  <c r="J39" i="36"/>
  <c r="V38" i="36"/>
  <c r="U38" i="36"/>
  <c r="T38" i="36"/>
  <c r="S38" i="36"/>
  <c r="R38" i="36"/>
  <c r="Q38" i="36"/>
  <c r="P38" i="36"/>
  <c r="O38" i="36"/>
  <c r="N38" i="36"/>
  <c r="M38" i="36"/>
  <c r="L38" i="36"/>
  <c r="K38" i="36"/>
  <c r="J38" i="36"/>
  <c r="AD37" i="36"/>
  <c r="AC37" i="36"/>
  <c r="AB37" i="36"/>
  <c r="AA37" i="36"/>
  <c r="Z37" i="36"/>
  <c r="Y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Q36" i="36"/>
  <c r="P36" i="36"/>
  <c r="O36" i="36"/>
  <c r="N36" i="36"/>
  <c r="M36" i="36"/>
  <c r="L36" i="36"/>
  <c r="K36" i="36"/>
  <c r="J36" i="36"/>
  <c r="P35" i="36"/>
  <c r="O35" i="36"/>
  <c r="N35" i="36"/>
  <c r="M35" i="36"/>
  <c r="L35" i="36"/>
  <c r="K35" i="36"/>
  <c r="J35" i="36"/>
  <c r="O31" i="36"/>
  <c r="N31" i="36"/>
  <c r="L31" i="36"/>
  <c r="O30" i="36"/>
  <c r="N30" i="36"/>
  <c r="M30" i="36"/>
  <c r="L30" i="36"/>
  <c r="J30" i="36"/>
  <c r="L29" i="36"/>
  <c r="K29" i="36"/>
  <c r="J29" i="36"/>
  <c r="O27" i="36"/>
  <c r="N27" i="36"/>
  <c r="M27" i="36"/>
  <c r="L27" i="36"/>
  <c r="K27" i="36"/>
  <c r="J27" i="36"/>
  <c r="AE23" i="36"/>
  <c r="AD23" i="36"/>
  <c r="AC23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L23" i="36"/>
  <c r="K23" i="36"/>
  <c r="J23" i="36"/>
  <c r="R9" i="11"/>
  <c r="Q7" i="11"/>
  <c r="L8" i="11"/>
  <c r="K8" i="11"/>
  <c r="L7" i="11"/>
  <c r="K7" i="11"/>
  <c r="B37" i="12"/>
  <c r="B36" i="12"/>
  <c r="C35" i="12"/>
  <c r="B34" i="12"/>
  <c r="B33" i="12"/>
  <c r="B32" i="12"/>
  <c r="B30" i="12"/>
  <c r="I29" i="12"/>
  <c r="J29" i="12" s="1"/>
  <c r="I28" i="12"/>
  <c r="J28" i="12" s="1"/>
  <c r="I27" i="12"/>
  <c r="I26" i="12"/>
  <c r="B22" i="12"/>
  <c r="I21" i="12"/>
  <c r="J21" i="12" s="1"/>
  <c r="I20" i="12"/>
  <c r="J20" i="12" s="1"/>
  <c r="I19" i="12"/>
  <c r="I18" i="12"/>
  <c r="I17" i="12"/>
  <c r="H16" i="12"/>
  <c r="G16" i="12"/>
  <c r="F16" i="12"/>
  <c r="H15" i="12"/>
  <c r="G15" i="12"/>
  <c r="F15" i="12"/>
  <c r="H14" i="12"/>
  <c r="G14" i="12"/>
  <c r="F14" i="12"/>
  <c r="H13" i="12"/>
  <c r="G13" i="12"/>
  <c r="F13" i="12"/>
  <c r="H12" i="12"/>
  <c r="G12" i="12"/>
  <c r="F12" i="12"/>
  <c r="H11" i="12"/>
  <c r="G11" i="12"/>
  <c r="F11" i="12"/>
  <c r="H10" i="12"/>
  <c r="G10" i="12"/>
  <c r="F10" i="12"/>
  <c r="B8" i="12"/>
  <c r="I7" i="12"/>
  <c r="J7" i="12" s="1"/>
  <c r="G18" i="21"/>
  <c r="I27" i="2" s="1"/>
  <c r="F18" i="21"/>
  <c r="H27" i="2" s="1"/>
  <c r="E18" i="21"/>
  <c r="G27" i="2" s="1"/>
  <c r="D18" i="21"/>
  <c r="F27" i="2" s="1"/>
  <c r="E27" i="2"/>
  <c r="G6" i="48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E449" i="17"/>
  <c r="D449" i="17"/>
  <c r="C449" i="17"/>
  <c r="E448" i="17"/>
  <c r="D448" i="17"/>
  <c r="C448" i="17"/>
  <c r="E447" i="17"/>
  <c r="D447" i="17"/>
  <c r="C447" i="17"/>
  <c r="E446" i="17"/>
  <c r="D446" i="17"/>
  <c r="C446" i="17"/>
  <c r="E445" i="17"/>
  <c r="D445" i="17"/>
  <c r="C445" i="17"/>
  <c r="E444" i="17"/>
  <c r="D444" i="17"/>
  <c r="C444" i="17"/>
  <c r="E443" i="17"/>
  <c r="D443" i="17"/>
  <c r="C443" i="17"/>
  <c r="E442" i="17"/>
  <c r="D442" i="17"/>
  <c r="C442" i="17"/>
  <c r="E441" i="17"/>
  <c r="D441" i="17"/>
  <c r="C441" i="17"/>
  <c r="E440" i="17"/>
  <c r="D440" i="17"/>
  <c r="C440" i="17"/>
  <c r="E433" i="17"/>
  <c r="E431" i="17"/>
  <c r="E430" i="17"/>
  <c r="E429" i="17"/>
  <c r="E427" i="17"/>
  <c r="E426" i="17"/>
  <c r="E425" i="17"/>
  <c r="E424" i="17"/>
  <c r="E423" i="17"/>
  <c r="E422" i="17"/>
  <c r="E418" i="17"/>
  <c r="E416" i="17"/>
  <c r="E415" i="17"/>
  <c r="E414" i="17"/>
  <c r="E413" i="17"/>
  <c r="E412" i="17"/>
  <c r="E411" i="17"/>
  <c r="E410" i="17"/>
  <c r="E409" i="17"/>
  <c r="E408" i="17"/>
  <c r="E405" i="17"/>
  <c r="E403" i="17"/>
  <c r="E402" i="17"/>
  <c r="E401" i="17"/>
  <c r="E400" i="17"/>
  <c r="E399" i="17"/>
  <c r="E398" i="17"/>
  <c r="E397" i="17"/>
  <c r="E396" i="17"/>
  <c r="E395" i="17"/>
  <c r="E392" i="17"/>
  <c r="E390" i="17"/>
  <c r="E389" i="17"/>
  <c r="E388" i="17"/>
  <c r="E387" i="17"/>
  <c r="E386" i="17"/>
  <c r="E385" i="17"/>
  <c r="E384" i="17"/>
  <c r="E383" i="17"/>
  <c r="E382" i="17"/>
  <c r="G380" i="17"/>
  <c r="G379" i="17"/>
  <c r="G378" i="17"/>
  <c r="E378" i="17"/>
  <c r="C378" i="17"/>
  <c r="H377" i="17"/>
  <c r="G377" i="17"/>
  <c r="F377" i="17"/>
  <c r="H376" i="17"/>
  <c r="G376" i="17"/>
  <c r="F376" i="17"/>
  <c r="H375" i="17"/>
  <c r="G375" i="17"/>
  <c r="F375" i="17"/>
  <c r="H374" i="17"/>
  <c r="G374" i="17"/>
  <c r="F374" i="17"/>
  <c r="H373" i="17"/>
  <c r="G373" i="17"/>
  <c r="F373" i="17"/>
  <c r="H372" i="17"/>
  <c r="G372" i="17"/>
  <c r="F372" i="17"/>
  <c r="H371" i="17"/>
  <c r="G371" i="17"/>
  <c r="F371" i="17"/>
  <c r="H370" i="17"/>
  <c r="G370" i="17"/>
  <c r="F370" i="17"/>
  <c r="H369" i="17"/>
  <c r="G369" i="17"/>
  <c r="H368" i="17"/>
  <c r="G368" i="17"/>
  <c r="F368" i="17"/>
  <c r="H367" i="17"/>
  <c r="G367" i="17"/>
  <c r="F367" i="17"/>
  <c r="H366" i="17"/>
  <c r="G366" i="17"/>
  <c r="F366" i="17"/>
  <c r="H365" i="17"/>
  <c r="G365" i="17"/>
  <c r="F365" i="17"/>
  <c r="H364" i="17"/>
  <c r="G364" i="17"/>
  <c r="F364" i="17"/>
  <c r="H363" i="17"/>
  <c r="G363" i="17"/>
  <c r="F363" i="17"/>
  <c r="H362" i="17"/>
  <c r="G362" i="17"/>
  <c r="F362" i="17"/>
  <c r="H361" i="17"/>
  <c r="G361" i="17"/>
  <c r="F361" i="17"/>
  <c r="H360" i="17"/>
  <c r="G360" i="17"/>
  <c r="F360" i="17"/>
  <c r="H359" i="17"/>
  <c r="G359" i="17"/>
  <c r="F359" i="17"/>
  <c r="H358" i="17"/>
  <c r="G358" i="17"/>
  <c r="F358" i="17"/>
  <c r="H357" i="17"/>
  <c r="G357" i="17"/>
  <c r="F357" i="17"/>
  <c r="H356" i="17"/>
  <c r="G356" i="17"/>
  <c r="F356" i="17"/>
  <c r="H355" i="17"/>
  <c r="G355" i="17"/>
  <c r="F355" i="17"/>
  <c r="H354" i="17"/>
  <c r="G354" i="17"/>
  <c r="F354" i="17"/>
  <c r="G353" i="17"/>
  <c r="F353" i="17"/>
  <c r="G352" i="17"/>
  <c r="F352" i="17"/>
  <c r="G351" i="17"/>
  <c r="F351" i="17"/>
  <c r="G350" i="17"/>
  <c r="F350" i="17"/>
  <c r="G349" i="17"/>
  <c r="F349" i="17"/>
  <c r="G348" i="17"/>
  <c r="F348" i="17"/>
  <c r="G347" i="17"/>
  <c r="F347" i="17"/>
  <c r="G346" i="17"/>
  <c r="F346" i="17"/>
  <c r="G345" i="17"/>
  <c r="F345" i="17"/>
  <c r="G344" i="17"/>
  <c r="F344" i="17"/>
  <c r="G343" i="17"/>
  <c r="F343" i="17"/>
  <c r="G342" i="17"/>
  <c r="F342" i="17"/>
  <c r="G341" i="17"/>
  <c r="F341" i="17"/>
  <c r="G340" i="17"/>
  <c r="F340" i="17"/>
  <c r="G339" i="17"/>
  <c r="F339" i="17"/>
  <c r="G338" i="17"/>
  <c r="F338" i="17"/>
  <c r="G337" i="17"/>
  <c r="F337" i="17"/>
  <c r="G336" i="17"/>
  <c r="F336" i="17"/>
  <c r="G335" i="17"/>
  <c r="F335" i="17"/>
  <c r="G334" i="17"/>
  <c r="F334" i="17"/>
  <c r="G333" i="17"/>
  <c r="F333" i="17"/>
  <c r="G332" i="17"/>
  <c r="F332" i="17"/>
  <c r="G331" i="17"/>
  <c r="F331" i="17"/>
  <c r="G330" i="17"/>
  <c r="F330" i="17"/>
  <c r="H329" i="17"/>
  <c r="G329" i="17"/>
  <c r="F329" i="17"/>
  <c r="H328" i="17"/>
  <c r="G328" i="17"/>
  <c r="F328" i="17"/>
  <c r="H327" i="17"/>
  <c r="G327" i="17"/>
  <c r="F327" i="17"/>
  <c r="H326" i="17"/>
  <c r="G326" i="17"/>
  <c r="F326" i="17"/>
  <c r="H325" i="17"/>
  <c r="G325" i="17"/>
  <c r="F325" i="17"/>
  <c r="H324" i="17"/>
  <c r="G324" i="17"/>
  <c r="F324" i="17"/>
  <c r="G323" i="17"/>
  <c r="F323" i="17"/>
  <c r="G322" i="17"/>
  <c r="F322" i="17"/>
  <c r="G321" i="17"/>
  <c r="F321" i="17"/>
  <c r="G320" i="17"/>
  <c r="F320" i="17"/>
  <c r="H319" i="17"/>
  <c r="G319" i="17"/>
  <c r="F319" i="17"/>
  <c r="H318" i="17"/>
  <c r="G318" i="17"/>
  <c r="F318" i="17"/>
  <c r="H317" i="17"/>
  <c r="G317" i="17"/>
  <c r="F317" i="17"/>
  <c r="H316" i="17"/>
  <c r="G316" i="17"/>
  <c r="F316" i="17"/>
  <c r="H315" i="17"/>
  <c r="G315" i="17"/>
  <c r="F315" i="17"/>
  <c r="H314" i="17"/>
  <c r="G314" i="17"/>
  <c r="F314" i="17"/>
  <c r="H313" i="17"/>
  <c r="G313" i="17"/>
  <c r="F313" i="17"/>
  <c r="H312" i="17"/>
  <c r="G312" i="17"/>
  <c r="F312" i="17"/>
  <c r="H311" i="17"/>
  <c r="G311" i="17"/>
  <c r="F311" i="17"/>
  <c r="H310" i="17"/>
  <c r="G310" i="17"/>
  <c r="F310" i="17"/>
  <c r="H309" i="17"/>
  <c r="G309" i="17"/>
  <c r="F309" i="17"/>
  <c r="H308" i="17"/>
  <c r="G308" i="17"/>
  <c r="F308" i="17"/>
  <c r="H307" i="17"/>
  <c r="G307" i="17"/>
  <c r="F307" i="17"/>
  <c r="H306" i="17"/>
  <c r="G306" i="17"/>
  <c r="F306" i="17"/>
  <c r="H305" i="17"/>
  <c r="G305" i="17"/>
  <c r="F305" i="17"/>
  <c r="H304" i="17"/>
  <c r="G304" i="17"/>
  <c r="F304" i="17"/>
  <c r="H303" i="17"/>
  <c r="G303" i="17"/>
  <c r="F303" i="17"/>
  <c r="H302" i="17"/>
  <c r="G302" i="17"/>
  <c r="F302" i="17"/>
  <c r="H301" i="17"/>
  <c r="G301" i="17"/>
  <c r="F301" i="17"/>
  <c r="H300" i="17"/>
  <c r="G300" i="17"/>
  <c r="F300" i="17"/>
  <c r="H299" i="17"/>
  <c r="G299" i="17"/>
  <c r="F299" i="17"/>
  <c r="H298" i="17"/>
  <c r="G298" i="17"/>
  <c r="F298" i="17"/>
  <c r="H297" i="17"/>
  <c r="G297" i="17"/>
  <c r="F297" i="17"/>
  <c r="H296" i="17"/>
  <c r="G296" i="17"/>
  <c r="F296" i="17"/>
  <c r="H295" i="17"/>
  <c r="G295" i="17"/>
  <c r="F295" i="17"/>
  <c r="H294" i="17"/>
  <c r="G294" i="17"/>
  <c r="F294" i="17"/>
  <c r="H293" i="17"/>
  <c r="G293" i="17"/>
  <c r="F293" i="17"/>
  <c r="H292" i="17"/>
  <c r="G292" i="17"/>
  <c r="F292" i="17"/>
  <c r="H291" i="17"/>
  <c r="G291" i="17"/>
  <c r="F291" i="17"/>
  <c r="H290" i="17"/>
  <c r="G290" i="17"/>
  <c r="F290" i="17"/>
  <c r="H289" i="17"/>
  <c r="G289" i="17"/>
  <c r="F289" i="17"/>
  <c r="H288" i="17"/>
  <c r="G288" i="17"/>
  <c r="F288" i="17"/>
  <c r="H287" i="17"/>
  <c r="G287" i="17"/>
  <c r="F287" i="17"/>
  <c r="H286" i="17"/>
  <c r="G286" i="17"/>
  <c r="F286" i="17"/>
  <c r="H285" i="17"/>
  <c r="G285" i="17"/>
  <c r="F285" i="17"/>
  <c r="H284" i="17"/>
  <c r="G284" i="17"/>
  <c r="F284" i="17"/>
  <c r="G283" i="17"/>
  <c r="F283" i="17"/>
  <c r="G282" i="17"/>
  <c r="F282" i="17"/>
  <c r="G281" i="17"/>
  <c r="F281" i="17"/>
  <c r="G280" i="17"/>
  <c r="F280" i="17"/>
  <c r="G279" i="17"/>
  <c r="F279" i="17"/>
  <c r="G278" i="17"/>
  <c r="F278" i="17"/>
  <c r="G277" i="17"/>
  <c r="F277" i="17"/>
  <c r="G276" i="17"/>
  <c r="F276" i="17"/>
  <c r="G275" i="17"/>
  <c r="F275" i="17"/>
  <c r="G274" i="17"/>
  <c r="F274" i="17"/>
  <c r="G273" i="17"/>
  <c r="F273" i="17"/>
  <c r="G272" i="17"/>
  <c r="F272" i="17"/>
  <c r="G271" i="17"/>
  <c r="F271" i="17"/>
  <c r="G270" i="17"/>
  <c r="F270" i="17"/>
  <c r="G269" i="17"/>
  <c r="F269" i="17"/>
  <c r="G268" i="17"/>
  <c r="F268" i="17"/>
  <c r="G267" i="17"/>
  <c r="F267" i="17"/>
  <c r="G266" i="17"/>
  <c r="F266" i="17"/>
  <c r="G265" i="17"/>
  <c r="F265" i="17"/>
  <c r="G264" i="17"/>
  <c r="F264" i="17"/>
  <c r="H263" i="17"/>
  <c r="G263" i="17"/>
  <c r="F263" i="17"/>
  <c r="H262" i="17"/>
  <c r="G262" i="17"/>
  <c r="F262" i="17"/>
  <c r="H261" i="17"/>
  <c r="G261" i="17"/>
  <c r="F261" i="17"/>
  <c r="H260" i="17"/>
  <c r="G260" i="17"/>
  <c r="F260" i="17"/>
  <c r="H259" i="17"/>
  <c r="G259" i="17"/>
  <c r="F259" i="17"/>
  <c r="F258" i="17"/>
  <c r="F257" i="17"/>
  <c r="E253" i="17"/>
  <c r="C253" i="17"/>
  <c r="C248" i="17"/>
  <c r="C245" i="17"/>
  <c r="C244" i="17"/>
  <c r="C243" i="17"/>
  <c r="C242" i="17"/>
  <c r="C239" i="17"/>
  <c r="C233" i="17"/>
  <c r="C232" i="17"/>
  <c r="E128" i="17"/>
  <c r="C128" i="17"/>
  <c r="E127" i="17"/>
  <c r="C127" i="17"/>
  <c r="E126" i="17"/>
  <c r="C126" i="17"/>
  <c r="E125" i="17"/>
  <c r="C125" i="17"/>
  <c r="E124" i="17"/>
  <c r="C124" i="17"/>
  <c r="E123" i="17"/>
  <c r="C123" i="17"/>
  <c r="E122" i="17"/>
  <c r="C122" i="17"/>
  <c r="E121" i="17"/>
  <c r="C121" i="17"/>
  <c r="E120" i="17"/>
  <c r="C120" i="17"/>
  <c r="E119" i="17"/>
  <c r="C119" i="17"/>
  <c r="E118" i="17"/>
  <c r="C118" i="17"/>
  <c r="E117" i="17"/>
  <c r="C117" i="17"/>
  <c r="E116" i="17"/>
  <c r="C116" i="17"/>
  <c r="E115" i="17"/>
  <c r="C115" i="17"/>
  <c r="E114" i="17"/>
  <c r="C114" i="17"/>
  <c r="E113" i="17"/>
  <c r="C113" i="17"/>
  <c r="E112" i="17"/>
  <c r="C112" i="17"/>
  <c r="E111" i="17"/>
  <c r="C111" i="17"/>
  <c r="C110" i="17"/>
  <c r="C109" i="17"/>
  <c r="E108" i="17"/>
  <c r="C108" i="17"/>
  <c r="E107" i="17"/>
  <c r="C107" i="17"/>
  <c r="E106" i="17"/>
  <c r="C106" i="17"/>
  <c r="E105" i="17"/>
  <c r="C105" i="17"/>
  <c r="E104" i="17"/>
  <c r="C104" i="17"/>
  <c r="E103" i="17"/>
  <c r="C103" i="17"/>
  <c r="E102" i="17"/>
  <c r="C102" i="17"/>
  <c r="E101" i="17"/>
  <c r="C101" i="17"/>
  <c r="E100" i="17"/>
  <c r="C100" i="17"/>
  <c r="E99" i="17"/>
  <c r="C99" i="17"/>
  <c r="E98" i="17"/>
  <c r="C98" i="17"/>
  <c r="E97" i="17"/>
  <c r="C97" i="17"/>
  <c r="E96" i="17"/>
  <c r="C96" i="17"/>
  <c r="E95" i="17"/>
  <c r="C95" i="17"/>
  <c r="E94" i="17"/>
  <c r="C94" i="17"/>
  <c r="E93" i="17"/>
  <c r="C93" i="17"/>
  <c r="E92" i="17"/>
  <c r="C92" i="17"/>
  <c r="E91" i="17"/>
  <c r="C91" i="17"/>
  <c r="E90" i="17"/>
  <c r="C90" i="17"/>
  <c r="E89" i="17"/>
  <c r="C89" i="17"/>
  <c r="E88" i="17"/>
  <c r="C88" i="17"/>
  <c r="E87" i="17"/>
  <c r="C87" i="17"/>
  <c r="E86" i="17"/>
  <c r="C86" i="17"/>
  <c r="E85" i="17"/>
  <c r="C85" i="17"/>
  <c r="E84" i="17"/>
  <c r="C84" i="17"/>
  <c r="E83" i="17"/>
  <c r="C83" i="17"/>
  <c r="C82" i="17"/>
  <c r="E81" i="17"/>
  <c r="C81" i="17"/>
  <c r="E80" i="17"/>
  <c r="C80" i="17"/>
  <c r="E79" i="17"/>
  <c r="C79" i="17"/>
  <c r="E78" i="17"/>
  <c r="C78" i="17"/>
  <c r="E77" i="17"/>
  <c r="C77" i="17"/>
  <c r="E76" i="17"/>
  <c r="C76" i="17"/>
  <c r="E75" i="17"/>
  <c r="C75" i="17"/>
  <c r="E74" i="17"/>
  <c r="C74" i="17"/>
  <c r="E73" i="17"/>
  <c r="C73" i="17"/>
  <c r="E72" i="17"/>
  <c r="C72" i="17"/>
  <c r="E71" i="17"/>
  <c r="C71" i="17"/>
  <c r="E70" i="17"/>
  <c r="C70" i="17"/>
  <c r="E69" i="17"/>
  <c r="C69" i="17"/>
  <c r="E68" i="17"/>
  <c r="C68" i="17"/>
  <c r="E67" i="17"/>
  <c r="C67" i="17"/>
  <c r="E66" i="17"/>
  <c r="C66" i="17"/>
  <c r="E65" i="17"/>
  <c r="C65" i="17"/>
  <c r="E64" i="17"/>
  <c r="C64" i="17"/>
  <c r="E63" i="17"/>
  <c r="C63" i="17"/>
  <c r="E62" i="17"/>
  <c r="C62" i="17"/>
  <c r="E61" i="17"/>
  <c r="C61" i="17"/>
  <c r="E60" i="17"/>
  <c r="C60" i="17"/>
  <c r="E59" i="17"/>
  <c r="C59" i="17"/>
  <c r="E58" i="17"/>
  <c r="C58" i="17"/>
  <c r="E57" i="17"/>
  <c r="C57" i="17"/>
  <c r="E56" i="17"/>
  <c r="C56" i="17"/>
  <c r="E55" i="17"/>
  <c r="C55" i="17"/>
  <c r="E54" i="17"/>
  <c r="C54" i="17"/>
  <c r="E53" i="17"/>
  <c r="C53" i="17"/>
  <c r="E52" i="17"/>
  <c r="C52" i="17"/>
  <c r="E51" i="17"/>
  <c r="C51" i="17"/>
  <c r="E50" i="17"/>
  <c r="C50" i="17"/>
  <c r="E49" i="17"/>
  <c r="C49" i="17"/>
  <c r="E48" i="17"/>
  <c r="C48" i="17"/>
  <c r="E47" i="17"/>
  <c r="C47" i="17"/>
  <c r="E46" i="17"/>
  <c r="C46" i="17"/>
  <c r="E45" i="17"/>
  <c r="C45" i="17"/>
  <c r="E44" i="17"/>
  <c r="C44" i="17"/>
  <c r="E43" i="17"/>
  <c r="C43" i="17"/>
  <c r="E42" i="17"/>
  <c r="C42" i="17"/>
  <c r="E41" i="17"/>
  <c r="C41" i="17"/>
  <c r="E40" i="17"/>
  <c r="C40" i="17"/>
  <c r="E39" i="17"/>
  <c r="C39" i="17"/>
  <c r="E38" i="17"/>
  <c r="C38" i="17"/>
  <c r="E37" i="17"/>
  <c r="C37" i="17"/>
  <c r="E36" i="17"/>
  <c r="C36" i="17"/>
  <c r="E35" i="17"/>
  <c r="C35" i="17"/>
  <c r="E34" i="17"/>
  <c r="C34" i="17"/>
  <c r="E33" i="17"/>
  <c r="C33" i="17"/>
  <c r="E32" i="17"/>
  <c r="C32" i="17"/>
  <c r="E31" i="17"/>
  <c r="C31" i="17"/>
  <c r="E30" i="17"/>
  <c r="C30" i="17"/>
  <c r="E29" i="17"/>
  <c r="C29" i="17"/>
  <c r="E28" i="17"/>
  <c r="C28" i="17"/>
  <c r="E27" i="17"/>
  <c r="C27" i="17"/>
  <c r="E26" i="17"/>
  <c r="C26" i="17"/>
  <c r="E25" i="17"/>
  <c r="C25" i="17"/>
  <c r="E24" i="17"/>
  <c r="C24" i="17"/>
  <c r="E23" i="17"/>
  <c r="C23" i="17"/>
  <c r="E22" i="17"/>
  <c r="C22" i="17"/>
  <c r="E21" i="17"/>
  <c r="C21" i="17"/>
  <c r="E20" i="17"/>
  <c r="C20" i="17"/>
  <c r="E19" i="17"/>
  <c r="C19" i="17"/>
  <c r="E18" i="17"/>
  <c r="C18" i="17"/>
  <c r="E17" i="17"/>
  <c r="C17" i="17"/>
  <c r="E16" i="17"/>
  <c r="C16" i="17"/>
  <c r="E15" i="17"/>
  <c r="C15" i="17"/>
  <c r="E14" i="17"/>
  <c r="C14" i="17"/>
  <c r="E13" i="17"/>
  <c r="C13" i="17"/>
  <c r="E12" i="17"/>
  <c r="C12" i="17"/>
  <c r="E11" i="17"/>
  <c r="C11" i="17"/>
  <c r="E10" i="17"/>
  <c r="C10" i="17"/>
  <c r="E9" i="17"/>
  <c r="C9" i="17"/>
  <c r="E8" i="17"/>
  <c r="C8" i="17"/>
  <c r="E7" i="17"/>
  <c r="C7" i="17"/>
  <c r="M32" i="35"/>
  <c r="H32" i="35"/>
  <c r="E32" i="35"/>
  <c r="A32" i="35"/>
  <c r="N30" i="35"/>
  <c r="M30" i="35"/>
  <c r="L30" i="35"/>
  <c r="K30" i="35"/>
  <c r="N29" i="35"/>
  <c r="M29" i="35"/>
  <c r="L29" i="35"/>
  <c r="K29" i="35"/>
  <c r="H29" i="35"/>
  <c r="G29" i="35"/>
  <c r="E29" i="35"/>
  <c r="A29" i="35"/>
  <c r="N28" i="35"/>
  <c r="M28" i="35"/>
  <c r="L28" i="35"/>
  <c r="K28" i="35"/>
  <c r="N27" i="35"/>
  <c r="M27" i="35"/>
  <c r="L27" i="35"/>
  <c r="K27" i="35"/>
  <c r="H27" i="35"/>
  <c r="G27" i="35"/>
  <c r="E27" i="35"/>
  <c r="A27" i="35"/>
  <c r="N26" i="35"/>
  <c r="M26" i="35"/>
  <c r="L26" i="35"/>
  <c r="K26" i="35"/>
  <c r="H26" i="35"/>
  <c r="G26" i="35"/>
  <c r="E26" i="35"/>
  <c r="A26" i="35"/>
  <c r="N25" i="35"/>
  <c r="M25" i="35"/>
  <c r="L25" i="35"/>
  <c r="K25" i="35"/>
  <c r="N24" i="35"/>
  <c r="M24" i="35"/>
  <c r="L24" i="35"/>
  <c r="K24" i="35"/>
  <c r="H24" i="35"/>
  <c r="E24" i="35"/>
  <c r="A24" i="35"/>
  <c r="N23" i="35"/>
  <c r="M23" i="35"/>
  <c r="K23" i="35"/>
  <c r="N22" i="35"/>
  <c r="M22" i="35"/>
  <c r="K22" i="35"/>
  <c r="H22" i="35"/>
  <c r="G22" i="35"/>
  <c r="E22" i="35"/>
  <c r="A22" i="35"/>
  <c r="N21" i="35"/>
  <c r="M21" i="35"/>
  <c r="L21" i="35"/>
  <c r="K21" i="35"/>
  <c r="H21" i="35"/>
  <c r="G21" i="35"/>
  <c r="E21" i="35"/>
  <c r="A21" i="35"/>
  <c r="N20" i="35"/>
  <c r="M20" i="35"/>
  <c r="K20" i="35"/>
  <c r="H20" i="35"/>
  <c r="E20" i="35"/>
  <c r="A20" i="35"/>
  <c r="N19" i="35"/>
  <c r="M19" i="35"/>
  <c r="L19" i="35"/>
  <c r="K19" i="35"/>
  <c r="N18" i="35"/>
  <c r="M18" i="35"/>
  <c r="L18" i="35"/>
  <c r="K18" i="35"/>
  <c r="H18" i="35"/>
  <c r="G18" i="35"/>
  <c r="E18" i="35"/>
  <c r="A18" i="35"/>
  <c r="N17" i="35"/>
  <c r="M17" i="35"/>
  <c r="L17" i="35"/>
  <c r="K17" i="35"/>
  <c r="N16" i="35"/>
  <c r="M16" i="35"/>
  <c r="L16" i="35"/>
  <c r="K16" i="35"/>
  <c r="H16" i="35"/>
  <c r="G16" i="35"/>
  <c r="E16" i="35"/>
  <c r="A16" i="35"/>
  <c r="N15" i="35"/>
  <c r="M15" i="35"/>
  <c r="K15" i="35"/>
  <c r="N14" i="35"/>
  <c r="M14" i="35"/>
  <c r="K14" i="35"/>
  <c r="N13" i="35"/>
  <c r="M13" i="35"/>
  <c r="K13" i="35"/>
  <c r="N12" i="35"/>
  <c r="M12" i="35"/>
  <c r="K12" i="35"/>
  <c r="H12" i="35"/>
  <c r="G12" i="35"/>
  <c r="E12" i="35"/>
  <c r="A12" i="35"/>
  <c r="N11" i="35"/>
  <c r="M11" i="35"/>
  <c r="K11" i="35"/>
  <c r="N10" i="35"/>
  <c r="M10" i="35"/>
  <c r="K10" i="35"/>
  <c r="N9" i="35"/>
  <c r="M9" i="35"/>
  <c r="K9" i="35"/>
  <c r="H9" i="35"/>
  <c r="E9" i="35"/>
  <c r="A9" i="35"/>
  <c r="N8" i="35"/>
  <c r="M8" i="35"/>
  <c r="K8" i="35"/>
  <c r="H8" i="35"/>
  <c r="E8" i="35"/>
  <c r="A8" i="35"/>
  <c r="N7" i="35"/>
  <c r="M7" i="35"/>
  <c r="K7" i="35"/>
  <c r="N6" i="35"/>
  <c r="M6" i="35"/>
  <c r="K6" i="35"/>
  <c r="H6" i="35"/>
  <c r="E6" i="35"/>
  <c r="E365" i="1"/>
  <c r="I352" i="1"/>
  <c r="G352" i="1"/>
  <c r="I349" i="1"/>
  <c r="G349" i="1"/>
  <c r="I348" i="1"/>
  <c r="G348" i="1"/>
  <c r="I347" i="1"/>
  <c r="G347" i="1"/>
  <c r="I346" i="1"/>
  <c r="G346" i="1"/>
  <c r="I345" i="1"/>
  <c r="G345" i="1"/>
  <c r="I344" i="1"/>
  <c r="G344" i="1"/>
  <c r="I343" i="1"/>
  <c r="G343" i="1"/>
  <c r="I342" i="1"/>
  <c r="G342" i="1"/>
  <c r="I341" i="1"/>
  <c r="G341" i="1"/>
  <c r="I340" i="1"/>
  <c r="G340" i="1"/>
  <c r="I339" i="1"/>
  <c r="G339" i="1"/>
  <c r="I335" i="1"/>
  <c r="G335" i="1"/>
  <c r="I334" i="1"/>
  <c r="G334" i="1"/>
  <c r="I333" i="1"/>
  <c r="G333" i="1"/>
  <c r="I332" i="1"/>
  <c r="G332" i="1"/>
  <c r="I331" i="1"/>
  <c r="G331" i="1"/>
  <c r="I330" i="1"/>
  <c r="G330" i="1"/>
  <c r="I329" i="1"/>
  <c r="G329" i="1"/>
  <c r="I328" i="1"/>
  <c r="G328" i="1"/>
  <c r="I327" i="1"/>
  <c r="G327" i="1"/>
  <c r="I326" i="1"/>
  <c r="G326" i="1"/>
  <c r="I325" i="1"/>
  <c r="G325" i="1"/>
  <c r="I324" i="1"/>
  <c r="G324" i="1"/>
  <c r="I323" i="1"/>
  <c r="G323" i="1"/>
  <c r="I322" i="1"/>
  <c r="G322" i="1"/>
  <c r="I318" i="1"/>
  <c r="G318" i="1"/>
  <c r="I317" i="1"/>
  <c r="G317" i="1"/>
  <c r="I316" i="1"/>
  <c r="G316" i="1"/>
  <c r="I315" i="1"/>
  <c r="G315" i="1"/>
  <c r="I314" i="1"/>
  <c r="G314" i="1"/>
  <c r="I313" i="1"/>
  <c r="G313" i="1"/>
  <c r="I309" i="1"/>
  <c r="G309" i="1"/>
  <c r="I308" i="1"/>
  <c r="G308" i="1"/>
  <c r="I307" i="1"/>
  <c r="G307" i="1"/>
  <c r="I306" i="1"/>
  <c r="G306" i="1"/>
  <c r="I305" i="1"/>
  <c r="G305" i="1"/>
  <c r="I304" i="1"/>
  <c r="G304" i="1"/>
  <c r="I303" i="1"/>
  <c r="G303" i="1"/>
  <c r="I302" i="1"/>
  <c r="G302" i="1"/>
  <c r="I301" i="1"/>
  <c r="G301" i="1"/>
  <c r="I297" i="1"/>
  <c r="G297" i="1"/>
  <c r="I296" i="1"/>
  <c r="G296" i="1"/>
  <c r="I295" i="1"/>
  <c r="G295" i="1"/>
  <c r="I294" i="1"/>
  <c r="G294" i="1"/>
  <c r="I293" i="1"/>
  <c r="G293" i="1"/>
  <c r="I292" i="1"/>
  <c r="G292" i="1"/>
  <c r="I291" i="1"/>
  <c r="G291" i="1"/>
  <c r="I290" i="1"/>
  <c r="G290" i="1"/>
  <c r="I286" i="1"/>
  <c r="G286" i="1"/>
  <c r="I285" i="1"/>
  <c r="G285" i="1"/>
  <c r="I284" i="1"/>
  <c r="G284" i="1"/>
  <c r="I283" i="1"/>
  <c r="G283" i="1"/>
  <c r="I282" i="1"/>
  <c r="G282" i="1"/>
  <c r="I281" i="1"/>
  <c r="G281" i="1"/>
  <c r="G209" i="1"/>
  <c r="G207" i="1"/>
  <c r="G199" i="1"/>
  <c r="I84" i="1"/>
  <c r="I83" i="1"/>
  <c r="I81" i="1"/>
  <c r="I80" i="1"/>
  <c r="I79" i="1"/>
  <c r="I78" i="1"/>
  <c r="I77" i="1"/>
  <c r="I76" i="1"/>
  <c r="I75" i="1"/>
  <c r="I74" i="1"/>
  <c r="I73" i="1"/>
  <c r="I72" i="1"/>
  <c r="I71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0" i="1"/>
  <c r="I49" i="1"/>
  <c r="I48" i="1"/>
  <c r="I47" i="1"/>
  <c r="I46" i="1"/>
  <c r="I45" i="1"/>
  <c r="I41" i="1"/>
  <c r="I40" i="1"/>
  <c r="I39" i="1"/>
  <c r="I38" i="1"/>
  <c r="I37" i="1"/>
  <c r="I36" i="1"/>
  <c r="I35" i="1"/>
  <c r="I34" i="1"/>
  <c r="I33" i="1"/>
  <c r="I29" i="1"/>
  <c r="I28" i="1"/>
  <c r="I27" i="1"/>
  <c r="I26" i="1"/>
  <c r="I25" i="1"/>
  <c r="I24" i="1"/>
  <c r="I23" i="1"/>
  <c r="I22" i="1"/>
  <c r="I18" i="1"/>
  <c r="I17" i="1"/>
  <c r="I16" i="1"/>
  <c r="I15" i="1"/>
  <c r="I14" i="1"/>
  <c r="I13" i="1"/>
  <c r="R32" i="36" l="1"/>
  <c r="E28" i="2"/>
  <c r="L32" i="36"/>
  <c r="M32" i="36"/>
  <c r="K32" i="36"/>
  <c r="N32" i="36"/>
  <c r="O32" i="36"/>
  <c r="J32" i="36"/>
  <c r="I14" i="12"/>
  <c r="J14" i="12" s="1"/>
  <c r="F44" i="12" s="1"/>
  <c r="H7" i="2" s="1"/>
  <c r="I12" i="12"/>
  <c r="J12" i="12" s="1"/>
  <c r="I16" i="12"/>
  <c r="J16" i="12" s="1"/>
  <c r="I10" i="12"/>
  <c r="J10" i="12" s="1"/>
  <c r="C44" i="12" s="1"/>
  <c r="I11" i="12"/>
  <c r="J11" i="12" s="1"/>
  <c r="D40" i="12" s="1"/>
  <c r="F6" i="2" s="1"/>
  <c r="F11" i="2" s="1"/>
  <c r="I15" i="12"/>
  <c r="J15" i="12" s="1"/>
  <c r="I13" i="12"/>
  <c r="J13" i="12" s="1"/>
  <c r="F42" i="12"/>
  <c r="H8" i="2" s="1"/>
  <c r="B9" i="12"/>
  <c r="D15" i="2"/>
  <c r="D27" i="2"/>
  <c r="D22" i="2"/>
  <c r="E191" i="1"/>
  <c r="E317" i="1"/>
  <c r="E322" i="1"/>
  <c r="E324" i="1"/>
  <c r="E326" i="1"/>
  <c r="E328" i="1"/>
  <c r="E343" i="1"/>
  <c r="E345" i="1"/>
  <c r="D28" i="2"/>
  <c r="E290" i="1"/>
  <c r="E292" i="1"/>
  <c r="E307" i="1"/>
  <c r="E309" i="1"/>
  <c r="E333" i="1"/>
  <c r="E347" i="1"/>
  <c r="E349" i="1"/>
  <c r="E57" i="1"/>
  <c r="E74" i="1"/>
  <c r="E130" i="1"/>
  <c r="E16" i="1"/>
  <c r="E36" i="1"/>
  <c r="E40" i="1"/>
  <c r="E64" i="1"/>
  <c r="E79" i="1"/>
  <c r="E84" i="1"/>
  <c r="E281" i="1"/>
  <c r="E285" i="1"/>
  <c r="E39" i="1"/>
  <c r="E78" i="1"/>
  <c r="E232" i="1"/>
  <c r="E203" i="1"/>
  <c r="F40" i="12"/>
  <c r="H6" i="2" s="1"/>
  <c r="H11" i="2" s="1"/>
  <c r="G9" i="48"/>
  <c r="H9" i="48" s="1"/>
  <c r="H6" i="48"/>
  <c r="O9" i="11"/>
  <c r="P9" i="11"/>
  <c r="M9" i="11"/>
  <c r="Q9" i="11"/>
  <c r="N9" i="11"/>
  <c r="P8" i="11"/>
  <c r="M8" i="11"/>
  <c r="Q8" i="11"/>
  <c r="Q6" i="11" s="1"/>
  <c r="I30" i="2" s="1"/>
  <c r="N8" i="11"/>
  <c r="R8" i="11"/>
  <c r="O8" i="11"/>
  <c r="O7" i="11"/>
  <c r="N7" i="11"/>
  <c r="R7" i="11"/>
  <c r="P7" i="11"/>
  <c r="M7" i="11"/>
  <c r="E375" i="1"/>
  <c r="E364" i="1"/>
  <c r="E368" i="1" s="1"/>
  <c r="G51" i="1"/>
  <c r="E63" i="1"/>
  <c r="E73" i="1"/>
  <c r="I354" i="1"/>
  <c r="E303" i="1"/>
  <c r="E305" i="1"/>
  <c r="E13" i="1"/>
  <c r="E17" i="1"/>
  <c r="E25" i="1"/>
  <c r="E29" i="1"/>
  <c r="E35" i="1"/>
  <c r="E41" i="1"/>
  <c r="E45" i="1"/>
  <c r="E56" i="1"/>
  <c r="E60" i="1"/>
  <c r="E62" i="1"/>
  <c r="E67" i="1"/>
  <c r="E72" i="1"/>
  <c r="E77" i="1"/>
  <c r="E284" i="1"/>
  <c r="E294" i="1"/>
  <c r="E314" i="1"/>
  <c r="E316" i="1"/>
  <c r="E325" i="1"/>
  <c r="E329" i="1"/>
  <c r="E331" i="1"/>
  <c r="E22" i="1"/>
  <c r="E26" i="1"/>
  <c r="E28" i="1"/>
  <c r="E34" i="1"/>
  <c r="E46" i="1"/>
  <c r="E50" i="1"/>
  <c r="E66" i="1"/>
  <c r="E76" i="1"/>
  <c r="E83" i="1"/>
  <c r="E295" i="1"/>
  <c r="E297" i="1"/>
  <c r="E302" i="1"/>
  <c r="E335" i="1"/>
  <c r="E340" i="1"/>
  <c r="E342" i="1"/>
  <c r="E346" i="1"/>
  <c r="G203" i="1"/>
  <c r="I85" i="1"/>
  <c r="E15" i="1"/>
  <c r="E23" i="1"/>
  <c r="E38" i="1"/>
  <c r="E49" i="1"/>
  <c r="E55" i="1"/>
  <c r="E81" i="1"/>
  <c r="E109" i="1"/>
  <c r="G287" i="1"/>
  <c r="G298" i="1"/>
  <c r="E14" i="1"/>
  <c r="E27" i="1"/>
  <c r="G42" i="1"/>
  <c r="E48" i="1"/>
  <c r="E54" i="1"/>
  <c r="E59" i="1"/>
  <c r="E61" i="1"/>
  <c r="G85" i="1"/>
  <c r="E80" i="1"/>
  <c r="E98" i="1"/>
  <c r="E121" i="1"/>
  <c r="E164" i="1"/>
  <c r="G190" i="1"/>
  <c r="G244" i="1"/>
  <c r="G252" i="1"/>
  <c r="G259" i="1"/>
  <c r="G274" i="1"/>
  <c r="E286" i="1"/>
  <c r="E296" i="1"/>
  <c r="E304" i="1"/>
  <c r="E306" i="1"/>
  <c r="E318" i="1"/>
  <c r="E323" i="1"/>
  <c r="E330" i="1"/>
  <c r="E332" i="1"/>
  <c r="E344" i="1"/>
  <c r="E352" i="1"/>
  <c r="E391" i="1"/>
  <c r="E393" i="1" s="1"/>
  <c r="E18" i="1"/>
  <c r="G30" i="1"/>
  <c r="E24" i="1"/>
  <c r="E37" i="1"/>
  <c r="E58" i="1"/>
  <c r="E65" i="1"/>
  <c r="E75" i="1"/>
  <c r="E147" i="1"/>
  <c r="G223" i="1"/>
  <c r="G231" i="1"/>
  <c r="E283" i="1"/>
  <c r="E291" i="1"/>
  <c r="E293" i="1"/>
  <c r="G310" i="1"/>
  <c r="E308" i="1"/>
  <c r="E313" i="1"/>
  <c r="E315" i="1"/>
  <c r="E327" i="1"/>
  <c r="E334" i="1"/>
  <c r="G353" i="1"/>
  <c r="E341" i="1"/>
  <c r="E348" i="1"/>
  <c r="G210" i="1"/>
  <c r="G68" i="1"/>
  <c r="G19" i="1"/>
  <c r="E301" i="1"/>
  <c r="G319" i="1"/>
  <c r="G336" i="1"/>
  <c r="E33" i="1"/>
  <c r="E47" i="1"/>
  <c r="E71" i="1"/>
  <c r="E282" i="1"/>
  <c r="E339" i="1"/>
  <c r="C42" i="12" l="1"/>
  <c r="E8" i="2" s="1"/>
  <c r="C40" i="12"/>
  <c r="E6" i="2" s="1"/>
  <c r="E11" i="2" s="1"/>
  <c r="D42" i="12"/>
  <c r="F8" i="2" s="1"/>
  <c r="D44" i="12"/>
  <c r="F7" i="2" s="1"/>
  <c r="E7" i="2"/>
  <c r="B10" i="12"/>
  <c r="B11" i="12" s="1"/>
  <c r="E353" i="1"/>
  <c r="E319" i="1"/>
  <c r="E287" i="1"/>
  <c r="E298" i="1"/>
  <c r="E166" i="1"/>
  <c r="E19" i="1"/>
  <c r="E85" i="1"/>
  <c r="E42" i="1"/>
  <c r="G261" i="1"/>
  <c r="G232" i="1"/>
  <c r="E234" i="1"/>
  <c r="G191" i="1"/>
  <c r="P6" i="11"/>
  <c r="H30" i="2" s="1"/>
  <c r="R6" i="11"/>
  <c r="J30" i="2" s="1"/>
  <c r="O6" i="11"/>
  <c r="G30" i="2" s="1"/>
  <c r="M6" i="11"/>
  <c r="E30" i="2" s="1"/>
  <c r="N6" i="11"/>
  <c r="F30" i="2" s="1"/>
  <c r="E243" i="1"/>
  <c r="F461" i="1" s="1"/>
  <c r="E336" i="1"/>
  <c r="G354" i="1"/>
  <c r="E30" i="1"/>
  <c r="G87" i="1"/>
  <c r="E51" i="1"/>
  <c r="E310" i="1"/>
  <c r="E68" i="1"/>
  <c r="E377" i="1"/>
  <c r="B12" i="12" l="1"/>
  <c r="B13" i="12" s="1"/>
  <c r="E494" i="1"/>
  <c r="D30" i="2"/>
  <c r="L6" i="11"/>
  <c r="U6" i="11" s="1"/>
  <c r="D32" i="2"/>
  <c r="D33" i="2"/>
  <c r="G234" i="1"/>
  <c r="E244" i="1"/>
  <c r="E261" i="1" s="1"/>
  <c r="E277" i="1" s="1"/>
  <c r="E172" i="1"/>
  <c r="E175" i="1" s="1"/>
  <c r="E87" i="1"/>
  <c r="E358" i="1"/>
  <c r="E177" i="1" l="1"/>
  <c r="B14" i="12"/>
  <c r="E378" i="1"/>
  <c r="E395" i="1"/>
  <c r="G395" i="1" s="1"/>
  <c r="B15" i="12" l="1"/>
  <c r="J24" i="12"/>
  <c r="H42" i="12"/>
  <c r="J8" i="2" s="1"/>
  <c r="J25" i="12"/>
  <c r="H44" i="12" s="1"/>
  <c r="J7" i="2" s="1"/>
  <c r="J18" i="12"/>
  <c r="G40" i="12" s="1"/>
  <c r="I6" i="2" s="1"/>
  <c r="I11" i="2" s="1"/>
  <c r="J17" i="12"/>
  <c r="E42" i="12"/>
  <c r="G8" i="2" s="1"/>
  <c r="H40" i="12" l="1"/>
  <c r="J6" i="2" s="1"/>
  <c r="J11" i="2" s="1"/>
  <c r="E44" i="12"/>
  <c r="G7" i="2" s="1"/>
  <c r="B16" i="12"/>
  <c r="B17" i="12" s="1"/>
  <c r="B18" i="12" s="1"/>
  <c r="E40" i="12"/>
  <c r="G6" i="2" s="1"/>
  <c r="G11" i="2" s="1"/>
  <c r="G42" i="12"/>
  <c r="J31" i="12"/>
  <c r="I8" i="2" l="1"/>
  <c r="D8" i="2" s="1"/>
  <c r="D6" i="2"/>
  <c r="D11" i="2" s="1"/>
  <c r="B19" i="12"/>
  <c r="E9" i="2" l="1"/>
  <c r="G9" i="2"/>
  <c r="H9" i="2"/>
  <c r="F9" i="2"/>
  <c r="I9" i="2"/>
  <c r="J9" i="2"/>
  <c r="B20" i="12"/>
  <c r="D9" i="2" l="1"/>
  <c r="B21" i="12"/>
  <c r="B23" i="12" s="1"/>
  <c r="B24" i="12" s="1"/>
  <c r="B25" i="12" s="1"/>
  <c r="B26" i="12" s="1"/>
  <c r="B27" i="12" s="1"/>
  <c r="B28" i="12" s="1"/>
  <c r="B29" i="12" s="1"/>
  <c r="B31" i="12" s="1"/>
  <c r="B35" i="12" s="1"/>
  <c r="B38" i="12" s="1"/>
  <c r="B39" i="12" s="1"/>
  <c r="B40" i="12" s="1"/>
  <c r="B41" i="12" l="1"/>
  <c r="B42" i="12" s="1"/>
  <c r="B43" i="12" s="1"/>
  <c r="B44" i="12" s="1"/>
  <c r="B45" i="12" s="1"/>
  <c r="B46" i="12" s="1"/>
  <c r="K24" i="12" l="1"/>
  <c r="G44" i="12" s="1"/>
  <c r="I7" i="2" s="1"/>
  <c r="D7" i="2" l="1"/>
  <c r="H10" i="2" l="1"/>
  <c r="J10" i="2"/>
  <c r="E10" i="2"/>
  <c r="F10" i="2"/>
  <c r="G10" i="2"/>
  <c r="I10" i="2"/>
  <c r="D10" i="2" l="1"/>
</calcChain>
</file>

<file path=xl/comments1.xml><?xml version="1.0" encoding="utf-8"?>
<comments xmlns="http://schemas.openxmlformats.org/spreadsheetml/2006/main">
  <authors>
    <author>Macias</author>
  </authors>
  <commentList>
    <comment ref="G329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i put the SMPE issue dollars here (see note /1 in cells A435 and E430.</t>
        </r>
      </text>
    </comment>
  </commentList>
</comments>
</file>

<file path=xl/comments2.xml><?xml version="1.0" encoding="utf-8"?>
<comments xmlns="http://schemas.openxmlformats.org/spreadsheetml/2006/main">
  <authors>
    <author>Macias</author>
  </authors>
  <commentList>
    <comment ref="U11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System Peak day for TY from:  [NWN Gate Flow Totals_3yrs_Daily_byState.xlsx]WA Tag Data Daily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average of the 3 day peak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average of the 3 day peak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average of the 3 day peak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average of the 3 day peak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no customers
</t>
        </r>
      </text>
    </comment>
    <comment ref="U28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System Peak day for TY from:  [NWN Gate Flow Totals_3yrs_Daily_byState.xlsx]WA Tag Data Daily</t>
        </r>
      </text>
    </comment>
  </commentList>
</comments>
</file>

<file path=xl/comments3.xml><?xml version="1.0" encoding="utf-8"?>
<comments xmlns="http://schemas.openxmlformats.org/spreadsheetml/2006/main">
  <authors>
    <author>Macias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[2015  2016 Model Meter to Cash Process Final.xlsx]2015Summary METER to CASH (Base
Cells T37:V37</t>
        </r>
      </text>
    </comment>
  </commentList>
</comments>
</file>

<file path=xl/sharedStrings.xml><?xml version="1.0" encoding="utf-8"?>
<sst xmlns="http://schemas.openxmlformats.org/spreadsheetml/2006/main" count="11801" uniqueCount="2444">
  <si>
    <t>Northwest Natural Gas Company</t>
  </si>
  <si>
    <t>INPUTS - ACCOUNT BALANCES AND ALLOCATION METHODS</t>
  </si>
  <si>
    <t>ACCOUNT DESCRIPTION</t>
  </si>
  <si>
    <t>FERC ACCOUNT</t>
  </si>
  <si>
    <t>ACCOUNT BALANCE</t>
  </si>
  <si>
    <t>A</t>
  </si>
  <si>
    <t>PLANT IN SERVICE</t>
  </si>
  <si>
    <t>Intangible Plant</t>
  </si>
  <si>
    <t>Organizational Expense</t>
  </si>
  <si>
    <t>Franchise &amp; Consents</t>
  </si>
  <si>
    <t>Subtotal - Intangible Plant</t>
  </si>
  <si>
    <t>Land &amp; Land Rights</t>
  </si>
  <si>
    <t>Other Equipment</t>
  </si>
  <si>
    <t>Storage Plant</t>
  </si>
  <si>
    <t xml:space="preserve">Land and Land Rights </t>
  </si>
  <si>
    <t>Structures and Improvements</t>
  </si>
  <si>
    <t>Wells-Well Equipment</t>
  </si>
  <si>
    <t>Lines</t>
  </si>
  <si>
    <t>Compressor Station Equipment - Other</t>
  </si>
  <si>
    <t>M&amp;R Equipment-Meters &amp; Gauges</t>
  </si>
  <si>
    <t>Subtotal - Storage Plant</t>
  </si>
  <si>
    <t>Transmission Plant</t>
  </si>
  <si>
    <t>Structures &amp; Improvements</t>
  </si>
  <si>
    <t>Mains</t>
  </si>
  <si>
    <t>Compressor Station Equipment</t>
  </si>
  <si>
    <t>M&amp;R Station Equipment</t>
  </si>
  <si>
    <t>Subtotal - Transmission Plant</t>
  </si>
  <si>
    <t>Distribution Plant</t>
  </si>
  <si>
    <t>Land</t>
  </si>
  <si>
    <t>Land Rights</t>
  </si>
  <si>
    <t>Mains &lt; 4"</t>
  </si>
  <si>
    <t>Mains 4" &amp; &gt;</t>
  </si>
  <si>
    <t>Meas. &amp; Reg. Station Equip.- Gen.</t>
  </si>
  <si>
    <t>Meas. &amp; Reg. Station Equip.- City Gate</t>
  </si>
  <si>
    <t>Services</t>
  </si>
  <si>
    <t>Meters</t>
  </si>
  <si>
    <t>ERTs</t>
  </si>
  <si>
    <t>Meter Installations</t>
  </si>
  <si>
    <t>ERT Installations</t>
  </si>
  <si>
    <t>House Regulators</t>
  </si>
  <si>
    <t>Calorimeters @ Gate Stations</t>
  </si>
  <si>
    <t>Subtotal - Distribution Plant</t>
  </si>
  <si>
    <t>General Plant</t>
  </si>
  <si>
    <t>Office Furniture and Equipment</t>
  </si>
  <si>
    <t>Transportation Equipment</t>
  </si>
  <si>
    <t>Tools - Shop &amp; Garage Equip.</t>
  </si>
  <si>
    <t>Power Operated Equipment</t>
  </si>
  <si>
    <t>Subtotal - General Plant</t>
  </si>
  <si>
    <t>TOTAL PLANT IN SERVICE</t>
  </si>
  <si>
    <t>B</t>
  </si>
  <si>
    <t>ACCUMULATED DEPRECIATION</t>
  </si>
  <si>
    <t>TOTAL ACCUMULATED DEPRECIATION</t>
  </si>
  <si>
    <t>C</t>
  </si>
  <si>
    <t>OTHER RATEBASE ITEMS</t>
  </si>
  <si>
    <t>Subtotal - Other Ratebase Items</t>
  </si>
  <si>
    <t>TOTAL RATEBASE</t>
  </si>
  <si>
    <t>D</t>
  </si>
  <si>
    <t>OPERATING AND MAINTENANCE EXPENSES</t>
  </si>
  <si>
    <t>Rents</t>
  </si>
  <si>
    <t>Subtotal - Operations Expenses</t>
  </si>
  <si>
    <t>Subtotal - Maint. Expenses</t>
  </si>
  <si>
    <t>Subtotal - Production Expense</t>
  </si>
  <si>
    <t>Storage Expense</t>
  </si>
  <si>
    <t>Wells Expense</t>
  </si>
  <si>
    <t>Compressor Station Expenses</t>
  </si>
  <si>
    <t>Meas/Reg Station Expenses</t>
  </si>
  <si>
    <t>Other Expenses</t>
  </si>
  <si>
    <t>Subtotal - Operations Expense</t>
  </si>
  <si>
    <t>Maint. of Reservoirs and Wells</t>
  </si>
  <si>
    <t>Maint. of Compressor Station Equipment</t>
  </si>
  <si>
    <t>Subtotal - Maintenance Expense</t>
  </si>
  <si>
    <t>Subtotal - Storage Expense</t>
  </si>
  <si>
    <t>Transmission Expenses</t>
  </si>
  <si>
    <t>Mains Expense</t>
  </si>
  <si>
    <t>Maint. of Mains</t>
  </si>
  <si>
    <t>Subtotal - Maint. Expense</t>
  </si>
  <si>
    <t>Subtotal - Transmission Expense</t>
  </si>
  <si>
    <t>Distribution Expenses</t>
  </si>
  <si>
    <t>Operation Supervision &amp; Engineering</t>
  </si>
  <si>
    <t>Distribution Load Dispatching</t>
  </si>
  <si>
    <t>Mains and Services Expenses</t>
  </si>
  <si>
    <t>Meas. &amp; Reg. Station Expenses</t>
  </si>
  <si>
    <t>Meas. &amp; Reg. Station Expenses - City Gate</t>
  </si>
  <si>
    <t>Meter &amp; House Regulator Expenses</t>
  </si>
  <si>
    <t>Customer Installations Expenses</t>
  </si>
  <si>
    <t>Subtotal - Operating Expense</t>
  </si>
  <si>
    <t>Maint. of Meas. &amp; Reg. Station Expenses-General</t>
  </si>
  <si>
    <t>Maint. of Services</t>
  </si>
  <si>
    <t>Maint. of Meters &amp; House Regulators</t>
  </si>
  <si>
    <t>Maint. of Other Equipment</t>
  </si>
  <si>
    <t>Subtotal - Distribution Expense</t>
  </si>
  <si>
    <t>E</t>
  </si>
  <si>
    <t>CUSTOMER ACCOUNTS AND SERVICE EXPENSE</t>
  </si>
  <si>
    <t>Customer Accounts Expense</t>
  </si>
  <si>
    <t>Supervision</t>
  </si>
  <si>
    <t>Meter Reading Expenses</t>
  </si>
  <si>
    <t>Customer Records &amp; Collection Expense</t>
  </si>
  <si>
    <t>Uncollectible Accounts</t>
  </si>
  <si>
    <t>Subtotal - Demand Accounts Expense</t>
  </si>
  <si>
    <t>Customer Service &amp; Information Expense</t>
  </si>
  <si>
    <t>Customer Assistance Expenses</t>
  </si>
  <si>
    <t>Information, Instructional Advertising</t>
  </si>
  <si>
    <t>Misc Demand Serv &amp; Inform Expen</t>
  </si>
  <si>
    <t>Subtotal - Demand Service &amp; Info.</t>
  </si>
  <si>
    <t>Sales Expense</t>
  </si>
  <si>
    <t>Demonstrating &amp; Selling Expenses</t>
  </si>
  <si>
    <t>Advertising Expenses</t>
  </si>
  <si>
    <t>Miscellaneous Sales Expenses</t>
  </si>
  <si>
    <t>Subtotal - Sales Expense</t>
  </si>
  <si>
    <t>ACCOUNTS AND SERVICE EXPENSE</t>
  </si>
  <si>
    <t>F</t>
  </si>
  <si>
    <t>ADMINISTRATIVE AND GENERAL EXPENSE</t>
  </si>
  <si>
    <t>Office Supplies &amp; Expenses</t>
  </si>
  <si>
    <t>Admin Expenses Transferred-Credit</t>
  </si>
  <si>
    <t>Property Insurance</t>
  </si>
  <si>
    <t>Injuries and Damages</t>
  </si>
  <si>
    <t>Employee Pensions and Benefits</t>
  </si>
  <si>
    <t>Miscellaneous General Expenses</t>
  </si>
  <si>
    <t>Maintenance of General Plant</t>
  </si>
  <si>
    <t>Subtotal - Administrative and General Expense</t>
  </si>
  <si>
    <t>G</t>
  </si>
  <si>
    <t>DEPRECIATION AND AMORTIZATION EXPENSE</t>
  </si>
  <si>
    <t>Amortization Expense</t>
  </si>
  <si>
    <t>H</t>
  </si>
  <si>
    <t>TAXES</t>
  </si>
  <si>
    <t>Taxes Other Than Income &amp; Revenue</t>
  </si>
  <si>
    <t>Subtotal - Taxes Other Than Income</t>
  </si>
  <si>
    <t>Income &amp; Revenue Taxes</t>
  </si>
  <si>
    <t>Federal Income Taxes</t>
  </si>
  <si>
    <t>State Income Taxes</t>
  </si>
  <si>
    <t>Provision for Deferred FIT</t>
  </si>
  <si>
    <t>Revenue Taxes</t>
  </si>
  <si>
    <t>Subtotal - Income Taxes</t>
  </si>
  <si>
    <t>TOTAL TAXES</t>
  </si>
  <si>
    <t>I</t>
  </si>
  <si>
    <t>REVENUES</t>
  </si>
  <si>
    <t>Subtotal -Revenue</t>
  </si>
  <si>
    <t>TOTAL REVENUES</t>
  </si>
  <si>
    <t>NET INCOME</t>
  </si>
  <si>
    <t>LABOR BALANCE</t>
  </si>
  <si>
    <t>Administrative and General Expense</t>
  </si>
  <si>
    <t>Total Labor Balance</t>
  </si>
  <si>
    <t>NW Natural</t>
  </si>
  <si>
    <t>Washington Quarterly Results of Operations Report</t>
  </si>
  <si>
    <t>Operations and Maintenance Expense: Allocation of System Amounts</t>
  </si>
  <si>
    <t>Twelve Months Ended September 30, 2018</t>
  </si>
  <si>
    <t>System</t>
  </si>
  <si>
    <t>Washington</t>
  </si>
  <si>
    <t>Oregon</t>
  </si>
  <si>
    <t>Natural Gas Storage</t>
  </si>
  <si>
    <t>Underground Storage Expense</t>
  </si>
  <si>
    <t>Operation</t>
  </si>
  <si>
    <t>816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</si>
  <si>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</si>
  <si>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</si>
  <si>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</si>
  <si>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</si>
  <si>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</si>
  <si>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</si>
  <si>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</si>
  <si>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</si>
  <si>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Storage Maint. Expense of Compressor Equp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</si>
  <si>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</si>
  <si>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</si>
  <si>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</si>
  <si>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</si>
  <si>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</si>
  <si>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</si>
  <si>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</si>
  <si>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845</t>
  </si>
  <si>
    <t>LNG Fuel Expense - Credit Liquef Costs</t>
  </si>
  <si>
    <t>847</t>
  </si>
  <si>
    <t>Total Liquified Natural Gas Expense</t>
  </si>
  <si>
    <t>Total Natural Gas Storage</t>
  </si>
  <si>
    <t>Transmission Expense</t>
  </si>
  <si>
    <t>856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</si>
  <si>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</si>
  <si>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</si>
  <si>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</si>
  <si>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</si>
  <si>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</si>
  <si>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</si>
  <si>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</si>
  <si>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</si>
  <si>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</si>
  <si>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</si>
  <si>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</si>
  <si>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</si>
  <si>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</si>
  <si>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</si>
  <si>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</si>
  <si>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</si>
  <si>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</si>
  <si>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</si>
  <si>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885</t>
  </si>
  <si>
    <t>887</t>
  </si>
  <si>
    <t>889</t>
  </si>
  <si>
    <t>891</t>
  </si>
  <si>
    <t>892</t>
  </si>
  <si>
    <t>893</t>
  </si>
  <si>
    <t>Meters and House Regulators</t>
  </si>
  <si>
    <t>894</t>
  </si>
  <si>
    <t>Total Distribution Expense</t>
  </si>
  <si>
    <t>901</t>
  </si>
  <si>
    <t>902</t>
  </si>
  <si>
    <t>903</t>
  </si>
  <si>
    <t>Customer Records and Collection Expense</t>
  </si>
  <si>
    <t>904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</si>
  <si>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</si>
  <si>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</si>
  <si>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</si>
  <si>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</si>
  <si>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</si>
  <si>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</si>
  <si>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</si>
  <si>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</si>
  <si>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</si>
  <si>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</si>
  <si>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</si>
  <si>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</si>
  <si>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</si>
  <si>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</si>
  <si>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</si>
  <si>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</si>
  <si>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</si>
  <si>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</si>
  <si>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</si>
  <si>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</si>
  <si>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</si>
  <si>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</si>
  <si>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</si>
  <si>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</si>
  <si>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926</t>
  </si>
  <si>
    <t>928</t>
  </si>
  <si>
    <t>Regulatory Commission Expense</t>
  </si>
  <si>
    <t>930</t>
  </si>
  <si>
    <t>Miscellaneous General Expense</t>
  </si>
  <si>
    <t>931</t>
  </si>
  <si>
    <t>935</t>
  </si>
  <si>
    <t>Total Administrative and General Expense</t>
  </si>
  <si>
    <t>Total Operations and Maintenance Expense</t>
  </si>
  <si>
    <t>O&amp;M based on Regulatory application of Pension related costs in O&amp;M (costs map to Non-Operating for GAAP).</t>
  </si>
  <si>
    <t>Maint. of Meas. &amp; Reg. Station Expenses-City Gate</t>
  </si>
  <si>
    <t>Property</t>
  </si>
  <si>
    <t>Franchise</t>
  </si>
  <si>
    <t>Payroll</t>
  </si>
  <si>
    <t>Regulatory Fee</t>
  </si>
  <si>
    <t>Other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</si>
  <si>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</si>
  <si>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</si>
  <si>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</si>
  <si>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</si>
  <si>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</si>
  <si>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</si>
  <si>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</si>
  <si>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Miscellaneous</t>
  </si>
  <si>
    <t>Rate Adjustments (Rev Def &amp; Amort)</t>
  </si>
  <si>
    <t>Storage Gas</t>
  </si>
  <si>
    <t>Customer Advances</t>
  </si>
  <si>
    <t>Leashold Improvements</t>
  </si>
  <si>
    <t>Washington Rate Case</t>
  </si>
  <si>
    <t>Rate Base - System &amp; Washington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</si>
  <si>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</si>
  <si>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</si>
  <si>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</si>
  <si>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</si>
  <si>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</si>
  <si>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</si>
  <si>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</si>
  <si>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</si>
  <si>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</si>
  <si>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</si>
  <si>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</si>
  <si>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</si>
  <si>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13 Month</t>
  </si>
  <si>
    <t>2017</t>
  </si>
  <si>
    <t>AMA</t>
  </si>
  <si>
    <t>Gross Plant</t>
  </si>
  <si>
    <t>Intangible Software</t>
  </si>
  <si>
    <t>Intangible Other</t>
  </si>
  <si>
    <t>Production</t>
  </si>
  <si>
    <t>Transmission</t>
  </si>
  <si>
    <t>Distribution</t>
  </si>
  <si>
    <t>General</t>
  </si>
  <si>
    <t>Structures</t>
  </si>
  <si>
    <t>Storage and storage transmission</t>
  </si>
  <si>
    <t>CNG and LNG Refueling</t>
  </si>
  <si>
    <t xml:space="preserve">   Total Gross Plant</t>
  </si>
  <si>
    <t>Reserve</t>
  </si>
  <si>
    <t xml:space="preserve">   Total Reserve</t>
  </si>
  <si>
    <t>Leasehold Improvements</t>
  </si>
  <si>
    <t>Deferred Taxes</t>
  </si>
  <si>
    <t>Subtotal Rate Base</t>
  </si>
  <si>
    <t>Average Rate Base</t>
  </si>
  <si>
    <t>Average Deferred Taxes</t>
  </si>
  <si>
    <t>Ending Deferred Taxes</t>
  </si>
  <si>
    <t xml:space="preserve">     Total Rate Base</t>
  </si>
  <si>
    <t>Detail of Other Revenues, Other Taxes and Depreciation</t>
  </si>
  <si>
    <t>Line</t>
  </si>
  <si>
    <t>allocation</t>
  </si>
  <si>
    <t>No.</t>
  </si>
  <si>
    <t>Other Operating Revenues</t>
  </si>
  <si>
    <t>Direct</t>
  </si>
  <si>
    <t>Direct &amp; Gross Plant</t>
  </si>
  <si>
    <t>Total Other Op Revenues</t>
  </si>
  <si>
    <t>Other Taxes</t>
  </si>
  <si>
    <t>Depreciation Expense</t>
  </si>
  <si>
    <t>Customers All</t>
  </si>
  <si>
    <t>3-Factor</t>
  </si>
  <si>
    <t>Land &amp; Structures</t>
  </si>
  <si>
    <t>Per Alloc History</t>
  </si>
  <si>
    <t>Firm Volumes</t>
  </si>
  <si>
    <t xml:space="preserve">   Total Depreciation</t>
  </si>
  <si>
    <t>Cost of Gas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</si>
  <si>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</si>
  <si>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</si>
  <si>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</si>
  <si>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</si>
  <si>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</si>
  <si>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</si>
  <si>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 xml:space="preserve">   Total Cost of Gas</t>
  </si>
  <si>
    <r>
      <t>From:</t>
    </r>
    <r>
      <rPr>
        <sz val="11"/>
        <color theme="1"/>
        <rFont val="Calibri"/>
        <family val="2"/>
        <scheme val="minor"/>
      </rPr>
      <t xml:space="preserve"> Wyman, Robert [mailto:Robert.Wyman@nwnatural.com]</t>
    </r>
  </si>
  <si>
    <t>FERC Description</t>
  </si>
  <si>
    <t>ORGANIZATION</t>
  </si>
  <si>
    <t>FRANCHISES &amp; CONSENTS</t>
  </si>
  <si>
    <t>CUSTOMER INFORMATION SYSTEM</t>
  </si>
  <si>
    <t>MAINS</t>
  </si>
  <si>
    <t>LAND</t>
  </si>
  <si>
    <t>LAND RIGHTS</t>
  </si>
  <si>
    <t>STRUCTURES &amp; IMPROVEMENTS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</si>
  <si>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</si>
  <si>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</si>
  <si>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</si>
  <si>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</si>
  <si>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</si>
  <si>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</si>
  <si>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ERT (ENCODER RECEIVER TRANS</t>
  </si>
  <si>
    <t>METER INSTALLATIONS</t>
  </si>
  <si>
    <t>ERT INSTALLATION (ENCODER</t>
  </si>
  <si>
    <t>HOUSE REGULATORS</t>
  </si>
  <si>
    <t>CALORIMETERS @ GATE STATIONS</t>
  </si>
  <si>
    <t>SOURCE CONTROL PLANT</t>
  </si>
  <si>
    <t>OFFICE FURNITURE &amp; EQUIPMEN</t>
  </si>
  <si>
    <t>TRANSPORTATION EQUIPMENT</t>
  </si>
  <si>
    <t>TOOLS - SHOP &amp; GARAGE EQUIPUI</t>
  </si>
  <si>
    <t>POWER OPERATED EQUIPMENT</t>
  </si>
  <si>
    <t>TELEMETERING - OTHER</t>
  </si>
  <si>
    <t>INSTALLED IN LEASED BUILDINGS</t>
  </si>
  <si>
    <t>COMPUTER SOFTWARE</t>
  </si>
  <si>
    <t>INDUSTRIAL &amp; COMMERCIAL BIL</t>
  </si>
  <si>
    <t>CRMS</t>
  </si>
  <si>
    <t>POWERPLANT SOFTWARE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</si>
  <si>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</si>
  <si>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</si>
  <si>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</si>
  <si>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</si>
  <si>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</si>
  <si>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</si>
  <si>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</si>
  <si>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</si>
  <si>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</si>
  <si>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</si>
  <si>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</si>
  <si>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</si>
  <si>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</si>
  <si>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</si>
  <si>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</si>
  <si>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</si>
  <si>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</si>
  <si>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</si>
  <si>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</si>
  <si>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</si>
  <si>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</si>
  <si>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</si>
  <si>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</si>
  <si>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</si>
  <si>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</si>
  <si>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</si>
  <si>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</si>
  <si>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</si>
  <si>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</si>
  <si>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</si>
  <si>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</si>
  <si>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</si>
  <si>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</si>
  <si>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</si>
  <si>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</si>
  <si>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</si>
  <si>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</si>
  <si>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</si>
  <si>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</si>
  <si>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</si>
  <si>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</si>
  <si>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</si>
  <si>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</si>
  <si>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</si>
  <si>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</si>
  <si>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</si>
  <si>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TRANSMISSION COMPRESSOR</t>
  </si>
  <si>
    <t>MEASURING &amp; REGULATE STATION</t>
  </si>
  <si>
    <t>COMMUNICATION EQUIPMENT</t>
  </si>
  <si>
    <t>METERS (ELECTRONIC)</t>
  </si>
  <si>
    <t>METER INSTALLATIONS (ELECTR</t>
  </si>
  <si>
    <t>OTHER PROPERTY ON CUSTOMERS P</t>
  </si>
  <si>
    <t>CATHODIC PROTECTION TESTING</t>
  </si>
  <si>
    <t>METER TESTING EQUIPMENT</t>
  </si>
  <si>
    <t>COMPUTERS</t>
  </si>
  <si>
    <t>ON SITE BILLING</t>
  </si>
  <si>
    <t>STORES EQUIPMENT</t>
  </si>
  <si>
    <t>LABORATORY EQUIPMENT</t>
  </si>
  <si>
    <t>GEN PLANT-COMMUNICATION EQU</t>
  </si>
  <si>
    <t>MOBILE</t>
  </si>
  <si>
    <t>OTHER THAN MOBILE &amp; TELEMET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</si>
  <si>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</si>
  <si>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</si>
  <si>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</si>
  <si>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</si>
  <si>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</si>
  <si>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</si>
  <si>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OTHER MISCELLANEOUS EQUIPMENT</t>
  </si>
  <si>
    <t>RWIP</t>
  </si>
  <si>
    <t xml:space="preserve">   TOTAL ACCUMULATED DEPRECIATION</t>
  </si>
  <si>
    <t>Source Control Plant</t>
  </si>
  <si>
    <t>ALLOCATION FACTORS</t>
  </si>
  <si>
    <t>Cust_Average</t>
  </si>
  <si>
    <t>General Sales Service</t>
  </si>
  <si>
    <t>Residential Sales Service</t>
  </si>
  <si>
    <t>Basic Firm Sales Service</t>
  </si>
  <si>
    <t>Residential Heating Dry Out</t>
  </si>
  <si>
    <t>Special Contracts</t>
  </si>
  <si>
    <t>Non-Res Sales &amp; Transport</t>
  </si>
  <si>
    <t>Lg. Vol. Non-Res Sales &amp; Transport</t>
  </si>
  <si>
    <t>Total</t>
  </si>
  <si>
    <t>Schedule 1</t>
  </si>
  <si>
    <t>Schedule 2</t>
  </si>
  <si>
    <t>Schedule 3</t>
  </si>
  <si>
    <t>Schedule 27</t>
  </si>
  <si>
    <t>Schedule 41</t>
  </si>
  <si>
    <t>Schedule 42</t>
  </si>
  <si>
    <t>Schedule 43</t>
  </si>
  <si>
    <t>Schedule 61&amp;62</t>
  </si>
  <si>
    <t>Ln</t>
  </si>
  <si>
    <t>Throughput</t>
  </si>
  <si>
    <t>Throughput&lt;4"</t>
  </si>
  <si>
    <t>Firm_Sales_Thrupt</t>
  </si>
  <si>
    <t>Design_Day</t>
  </si>
  <si>
    <t>Design_Day&lt;4"</t>
  </si>
  <si>
    <t>Service_Invest</t>
  </si>
  <si>
    <t>Meter_Invest</t>
  </si>
  <si>
    <t>CUST-908</t>
  </si>
  <si>
    <t>CUST-912</t>
  </si>
  <si>
    <t>Gas Reserves</t>
  </si>
  <si>
    <t>Department of Energy</t>
  </si>
  <si>
    <t>North Mist Property Tax</t>
  </si>
  <si>
    <t>Direct &amp; 3-Factor</t>
  </si>
  <si>
    <t>CUSTOMERS</t>
  </si>
  <si>
    <t>Test Year</t>
  </si>
  <si>
    <t>Average</t>
  </si>
  <si>
    <t>Sales</t>
  </si>
  <si>
    <t>Residential - 1</t>
  </si>
  <si>
    <t>Residential - 2</t>
  </si>
  <si>
    <t>Commercial - 1</t>
  </si>
  <si>
    <t>Commercial - 3</t>
  </si>
  <si>
    <t>Commercial - 27</t>
  </si>
  <si>
    <t>Commercial - 41</t>
  </si>
  <si>
    <t>Commercial - 42</t>
  </si>
  <si>
    <t>Industrial Firm - 3</t>
  </si>
  <si>
    <t>Industrial Firm - 41</t>
  </si>
  <si>
    <t>Industrial Firm - 42</t>
  </si>
  <si>
    <t>Interruptible - 41</t>
  </si>
  <si>
    <t>Interruptible - 42</t>
  </si>
  <si>
    <t>TOTAL SALES</t>
  </si>
  <si>
    <t>Transport</t>
  </si>
  <si>
    <t>Special Contract</t>
  </si>
  <si>
    <t>TOTAL TRANSPORTATION</t>
  </si>
  <si>
    <t>TOTAL</t>
  </si>
  <si>
    <t>VOLUMES</t>
  </si>
  <si>
    <t>Test Period</t>
  </si>
  <si>
    <t>41 CFS Block 1</t>
  </si>
  <si>
    <t>41 CFS Block 2</t>
  </si>
  <si>
    <t>42 CFS Block 1</t>
  </si>
  <si>
    <t>42 CFS Block 2</t>
  </si>
  <si>
    <t>42 CFS Block 3</t>
  </si>
  <si>
    <t>42 CFS Block 4</t>
  </si>
  <si>
    <t>42 CFS Block 5</t>
  </si>
  <si>
    <t>42 CFS Block 6</t>
  </si>
  <si>
    <t>Industrial - 3</t>
  </si>
  <si>
    <t>41 IFS Block 1</t>
  </si>
  <si>
    <t>41 IFS Block 2</t>
  </si>
  <si>
    <t>Industrial - 41</t>
  </si>
  <si>
    <t>42 IFS Block 1</t>
  </si>
  <si>
    <t>42 IFS Block 2</t>
  </si>
  <si>
    <t>42 IFS Block 3</t>
  </si>
  <si>
    <t>42 IFS Block 4</t>
  </si>
  <si>
    <t>42 IFS Block 5</t>
  </si>
  <si>
    <t>42 IFS Block 6</t>
  </si>
  <si>
    <t>Industrial - 42</t>
  </si>
  <si>
    <t>42 IIS Block 1</t>
  </si>
  <si>
    <t>42 IIS Block 2</t>
  </si>
  <si>
    <t>42 IIS Block 3</t>
  </si>
  <si>
    <t>42 IIS Block 4</t>
  </si>
  <si>
    <t>42 IIS Block 5</t>
  </si>
  <si>
    <t>42 IIS Block 6</t>
  </si>
  <si>
    <t>Transp</t>
  </si>
  <si>
    <t>41 CFT Block 1</t>
  </si>
  <si>
    <t>41 CFT Block 2</t>
  </si>
  <si>
    <t>42 CFT Block 1</t>
  </si>
  <si>
    <t>42 CFT Block 2</t>
  </si>
  <si>
    <t>42 CFT Block 3</t>
  </si>
  <si>
    <t>42 CFT Block 4</t>
  </si>
  <si>
    <t>42 CFT Block 5</t>
  </si>
  <si>
    <t>42 CFT Block 6</t>
  </si>
  <si>
    <t>42 IFT Block 1</t>
  </si>
  <si>
    <t>42 IFT Block 2</t>
  </si>
  <si>
    <t>42 IFT Block 3</t>
  </si>
  <si>
    <t>42 IFT Block 4</t>
  </si>
  <si>
    <t>42 IFT Block 5</t>
  </si>
  <si>
    <t>42 IFT Block 6</t>
  </si>
  <si>
    <t>42 IIT Block 1</t>
  </si>
  <si>
    <t>42 IIT Block 2</t>
  </si>
  <si>
    <t>42 IIT Block 3</t>
  </si>
  <si>
    <t>42 IIT Block 4</t>
  </si>
  <si>
    <t>42 IIT Block 5</t>
  </si>
  <si>
    <t>42 IIT Block 6</t>
  </si>
  <si>
    <t>VOLUMES SUMMARY - BY CLASS</t>
  </si>
  <si>
    <t>Residential</t>
  </si>
  <si>
    <t>Commercial</t>
  </si>
  <si>
    <t>Industrial Firm</t>
  </si>
  <si>
    <t>Interruptible</t>
  </si>
  <si>
    <t>GRAND TOTAL</t>
  </si>
  <si>
    <t>GRAND TOTAL THROUGHPUT</t>
  </si>
  <si>
    <t>TY Cust_Avg</t>
  </si>
  <si>
    <t>Sales - Firm</t>
  </si>
  <si>
    <t>Sales - Int</t>
  </si>
  <si>
    <t>Trans.- Int.</t>
  </si>
  <si>
    <t>Trans.- Firm</t>
  </si>
  <si>
    <t>Sales - Ind, Int.</t>
  </si>
  <si>
    <t>Sales - Res, Firm</t>
  </si>
  <si>
    <t>Sales - Com, Firm</t>
  </si>
  <si>
    <t>Sales - Ind, Firm</t>
  </si>
  <si>
    <t>Trans - Com, Firm</t>
  </si>
  <si>
    <t>Trans - Ind, Firm</t>
  </si>
  <si>
    <t>Trans - Ind, Int.</t>
  </si>
  <si>
    <t>Winter Sales</t>
  </si>
  <si>
    <t>Winter 5</t>
  </si>
  <si>
    <t>TOTAL MARGIN DETAIL</t>
  </si>
  <si>
    <t>SUMMARY - BY CLASS</t>
  </si>
  <si>
    <t>Unaccounted for Gas</t>
  </si>
  <si>
    <t>Margin</t>
  </si>
  <si>
    <t>TOTAL REVENUE DETAIL</t>
  </si>
  <si>
    <t>TY Margin</t>
  </si>
  <si>
    <t>TY Revenue</t>
  </si>
  <si>
    <t>10/1/17-9/30/18</t>
  </si>
  <si>
    <t>10/1/16 - 9/30/17</t>
  </si>
  <si>
    <t>10/1/15 - 9/30/16</t>
  </si>
  <si>
    <t>Activity</t>
  </si>
  <si>
    <t>Cost Center</t>
  </si>
  <si>
    <t>Cost Center Description</t>
  </si>
  <si>
    <t>Order</t>
  </si>
  <si>
    <t>Order Description</t>
  </si>
  <si>
    <t>OVERALL RESULT</t>
  </si>
  <si>
    <t>85410</t>
  </si>
  <si>
    <t>UNCOLL ACCOUNTS</t>
  </si>
  <si>
    <t>904-02595</t>
  </si>
  <si>
    <t>UNCOLLECTABLE ACCTS-UNCOLL ACCTS-RES</t>
  </si>
  <si>
    <t>904-02596</t>
  </si>
  <si>
    <t>UNCOLLECTABLE ACCTS-UNCOLL ACCTS-COML</t>
  </si>
  <si>
    <t>904-02597</t>
  </si>
  <si>
    <t>UNCOLLECTABLE ACCTS-UNCOLL ACCTS-IND</t>
  </si>
  <si>
    <t>904-02598</t>
  </si>
  <si>
    <t>904-02599</t>
  </si>
  <si>
    <t>SAP A/R BAD DEBT EXPENSE</t>
  </si>
  <si>
    <t>904-06176</t>
  </si>
  <si>
    <t>UNCOLLECTABLE ACCTS-WARM ADJUSTMENT</t>
  </si>
  <si>
    <t>904-06495</t>
  </si>
  <si>
    <t>UNCOLLECTABLE ACCTS-UNBILLED REVENUES</t>
  </si>
  <si>
    <t>WA Residential Writeoffs</t>
  </si>
  <si>
    <t>WA Residential Recoveries</t>
  </si>
  <si>
    <r>
      <rPr>
        <b/>
        <sz val="8"/>
        <color theme="1"/>
        <rFont val="Arial"/>
        <family val="2"/>
      </rPr>
      <t>NET</t>
    </r>
    <r>
      <rPr>
        <sz val="8"/>
        <color theme="1"/>
        <rFont val="Arial"/>
        <family val="2"/>
      </rPr>
      <t xml:space="preserve"> WA Residential Writeoffs</t>
    </r>
  </si>
  <si>
    <t>WA Commerical Writeoffs</t>
  </si>
  <si>
    <t>WA Commerical Recoveries</t>
  </si>
  <si>
    <r>
      <rPr>
        <b/>
        <sz val="8"/>
        <color theme="1"/>
        <rFont val="Arial"/>
        <family val="2"/>
      </rPr>
      <t>NET</t>
    </r>
    <r>
      <rPr>
        <sz val="8"/>
        <color theme="1"/>
        <rFont val="Arial"/>
        <family val="2"/>
      </rPr>
      <t xml:space="preserve"> WA Commerical Writeoffs</t>
    </r>
  </si>
  <si>
    <t>Total WA Writeoffs</t>
  </si>
  <si>
    <t>Total WA Recoveries</t>
  </si>
  <si>
    <r>
      <rPr>
        <b/>
        <sz val="8"/>
        <color theme="1"/>
        <rFont val="Arial"/>
        <family val="2"/>
      </rPr>
      <t>Net</t>
    </r>
    <r>
      <rPr>
        <sz val="8"/>
        <color theme="1"/>
        <rFont val="Arial"/>
        <family val="2"/>
      </rPr>
      <t xml:space="preserve"> WA Writeoffs</t>
    </r>
  </si>
  <si>
    <t>Commercial Customers</t>
  </si>
  <si>
    <t>Industrial Customers</t>
  </si>
  <si>
    <t>Residential Customers</t>
  </si>
  <si>
    <t xml:space="preserve">NW Natural </t>
  </si>
  <si>
    <t>Design Day HDD</t>
  </si>
  <si>
    <t>Base Factor</t>
  </si>
  <si>
    <t>Heat Factor</t>
  </si>
  <si>
    <t>Class Design Day Demand</t>
  </si>
  <si>
    <t>(a)</t>
  </si>
  <si>
    <t>(b)</t>
  </si>
  <si>
    <t>(c)</t>
  </si>
  <si>
    <t>(d)</t>
  </si>
  <si>
    <t>(e)</t>
  </si>
  <si>
    <t>Rate</t>
  </si>
  <si>
    <t>Customer Class</t>
  </si>
  <si>
    <t>(f)</t>
  </si>
  <si>
    <t>Number of Customers</t>
  </si>
  <si>
    <t>Transportation</t>
  </si>
  <si>
    <t>Base Load  Coefficient</t>
  </si>
  <si>
    <t>Heat Factor  Coefficient</t>
  </si>
  <si>
    <t>HDD Set Temp.</t>
  </si>
  <si>
    <t>(degrees F)</t>
  </si>
  <si>
    <t>R01</t>
  </si>
  <si>
    <t>R02</t>
  </si>
  <si>
    <t>C01</t>
  </si>
  <si>
    <t>C03</t>
  </si>
  <si>
    <t>27R</t>
  </si>
  <si>
    <t>41CSF</t>
  </si>
  <si>
    <t>42CSF</t>
  </si>
  <si>
    <t>Design Day Average Daily Temperature</t>
  </si>
  <si>
    <t>Derivation of Design Day Demand</t>
  </si>
  <si>
    <t>Design Day Use per Customer</t>
  </si>
  <si>
    <t>(therms/premise)</t>
  </si>
  <si>
    <t>(therms/premise/HDD)</t>
  </si>
  <si>
    <t>SUMMARY BY CLASS</t>
  </si>
  <si>
    <t>Total Design Day Demand</t>
  </si>
  <si>
    <t>Load Factor</t>
  </si>
  <si>
    <t>PRE-ADJ</t>
  </si>
  <si>
    <t>POST-ADJ</t>
  </si>
  <si>
    <t>ADJ*</t>
  </si>
  <si>
    <t>SYSTEM</t>
  </si>
  <si>
    <t>WA</t>
  </si>
  <si>
    <t>*See note in Column O for Adj explanation.</t>
  </si>
  <si>
    <t>Category</t>
  </si>
  <si>
    <t>Sorter</t>
  </si>
  <si>
    <t>Allocation Ratio</t>
  </si>
  <si>
    <t>Allocation Method</t>
  </si>
  <si>
    <t>Notes:</t>
  </si>
  <si>
    <t>11200</t>
  </si>
  <si>
    <t>GAS STORAGE OPS</t>
  </si>
  <si>
    <t>816-04532</t>
  </si>
  <si>
    <t>4532</t>
  </si>
  <si>
    <t>WELLS EXPENSE-WELL EXP-SCHLICKER</t>
  </si>
  <si>
    <t>816 Wells Expense</t>
  </si>
  <si>
    <t>16100</t>
  </si>
  <si>
    <t>FACILITIES MGMNT</t>
  </si>
  <si>
    <t>11300</t>
  </si>
  <si>
    <t>GAS CONTROL</t>
  </si>
  <si>
    <t>816-04533</t>
  </si>
  <si>
    <t>4533</t>
  </si>
  <si>
    <t>WELLS EXPENSE-WELL EXP-SOUTH CALVIN</t>
  </si>
  <si>
    <t>816-04520</t>
  </si>
  <si>
    <t>4520</t>
  </si>
  <si>
    <t>WELLS EXPENSE-WELL EXP-BRUER</t>
  </si>
  <si>
    <t>11600</t>
  </si>
  <si>
    <t>MIST UGS</t>
  </si>
  <si>
    <t>11150</t>
  </si>
  <si>
    <t>GAS ACQ &amp; PIPE SVCE</t>
  </si>
  <si>
    <t>816-04530</t>
  </si>
  <si>
    <t>4530</t>
  </si>
  <si>
    <t>WELLS EXPENSE-WELL EXP-REICHHOLD</t>
  </si>
  <si>
    <t>816-04525</t>
  </si>
  <si>
    <t>4525</t>
  </si>
  <si>
    <t>WELLS EXPENSE-WELL EXP-FLORA</t>
  </si>
  <si>
    <t>816-04515</t>
  </si>
  <si>
    <t>4515</t>
  </si>
  <si>
    <t>WELLS EXPENSE-WELL EXP-AL'S POOL</t>
  </si>
  <si>
    <t>818-04405</t>
  </si>
  <si>
    <t>4405</t>
  </si>
  <si>
    <t>COMPRESSOR STATION EXPENSE-COMPR STATION</t>
  </si>
  <si>
    <t>818 Compressor Station Expense</t>
  </si>
  <si>
    <t>818-04395</t>
  </si>
  <si>
    <t>4395</t>
  </si>
  <si>
    <t>818-04406</t>
  </si>
  <si>
    <t>4406</t>
  </si>
  <si>
    <t>818-04400</t>
  </si>
  <si>
    <t>4400</t>
  </si>
  <si>
    <t>819</t>
  </si>
  <si>
    <t>819-04405</t>
  </si>
  <si>
    <t>COMPRESSOR STATION FUEL-COMPR STATION 5</t>
  </si>
  <si>
    <t>819 Compressor Station Fuel</t>
  </si>
  <si>
    <t>15410</t>
  </si>
  <si>
    <t>EE PROTECTION EQUIP</t>
  </si>
  <si>
    <t>820-01310</t>
  </si>
  <si>
    <t>1310</t>
  </si>
  <si>
    <t>MEASURE &amp; REGULATING EXP-MEASURING AND R</t>
  </si>
  <si>
    <t>820 Measuring and Regulator Station Expense</t>
  </si>
  <si>
    <t>11700</t>
  </si>
  <si>
    <t>N MIST UGS</t>
  </si>
  <si>
    <t>15100</t>
  </si>
  <si>
    <t>ENGINEERING SVCES OR</t>
  </si>
  <si>
    <t>13100</t>
  </si>
  <si>
    <t>NETWORK CNTRL SYSTMS</t>
  </si>
  <si>
    <t>11100</t>
  </si>
  <si>
    <t>SYSTEM OPS</t>
  </si>
  <si>
    <t>14100</t>
  </si>
  <si>
    <t>TRANSMISSION</t>
  </si>
  <si>
    <t>821-04500</t>
  </si>
  <si>
    <t>4500</t>
  </si>
  <si>
    <t>PURIFICATION EXPENSE-PURIFICATION EXP</t>
  </si>
  <si>
    <t>821 Purification Expense</t>
  </si>
  <si>
    <t>832-01295</t>
  </si>
  <si>
    <t>1295</t>
  </si>
  <si>
    <t>RESERVOIR MAINT-MAINTENANCE</t>
  </si>
  <si>
    <t>832 Wells Expense</t>
  </si>
  <si>
    <t>42016</t>
  </si>
  <si>
    <t>GAS ACCOUNTING</t>
  </si>
  <si>
    <t>834</t>
  </si>
  <si>
    <t>834-01505</t>
  </si>
  <si>
    <t>1505</t>
  </si>
  <si>
    <t>Storage Maint. Expense of Comp. Equp</t>
  </si>
  <si>
    <t>834 Compressor Expense</t>
  </si>
  <si>
    <t>840-01630</t>
  </si>
  <si>
    <t>1630</t>
  </si>
  <si>
    <t>GAS STORAGE SUPER-SUPERVISION</t>
  </si>
  <si>
    <t>840 Supervision and Engineering</t>
  </si>
  <si>
    <t>11500</t>
  </si>
  <si>
    <t>PORTLAND LNG</t>
  </si>
  <si>
    <t>844-04485</t>
  </si>
  <si>
    <t>4485</t>
  </si>
  <si>
    <t>LNG OPERATIONS-LNG SUPERVISION NEWPORT</t>
  </si>
  <si>
    <t>844 Supervision and Engineering</t>
  </si>
  <si>
    <t>11550</t>
  </si>
  <si>
    <t>CONSMR INFO-INTNT SR</t>
  </si>
  <si>
    <t>844-04470</t>
  </si>
  <si>
    <t>4470</t>
  </si>
  <si>
    <t>LNG OPERATIONS-LNG GASCO</t>
  </si>
  <si>
    <t>844-04480</t>
  </si>
  <si>
    <t>4480</t>
  </si>
  <si>
    <t>LNG OPERATIONS-LNG SUPERVISION GASCO</t>
  </si>
  <si>
    <t>11400</t>
  </si>
  <si>
    <t>NEWPORT LNG</t>
  </si>
  <si>
    <t>844-04475</t>
  </si>
  <si>
    <t>4475</t>
  </si>
  <si>
    <t>LNG OPERATIONS-LNG NEWPORT</t>
  </si>
  <si>
    <t>845-04410</t>
  </si>
  <si>
    <t>4410</t>
  </si>
  <si>
    <t>LNG FUEL EXPENSE-CREDIT LIQUEF COSTS</t>
  </si>
  <si>
    <t>845 LNG Fuel</t>
  </si>
  <si>
    <t>847-04475</t>
  </si>
  <si>
    <t>LNG MAINTENANCE-LNG NEWPORT</t>
  </si>
  <si>
    <t>847 Supervision and Engineering</t>
  </si>
  <si>
    <t>847-04470</t>
  </si>
  <si>
    <t>LNG MAINTENANCE-LNG GASCO</t>
  </si>
  <si>
    <t>15506</t>
  </si>
  <si>
    <t>CORE DISTRIB - OR</t>
  </si>
  <si>
    <t>856-01676</t>
  </si>
  <si>
    <t>1676</t>
  </si>
  <si>
    <t>TRNSMSN MAIN OPERATION EXP-VEGETATION CO</t>
  </si>
  <si>
    <t>856 Mains Expense</t>
  </si>
  <si>
    <t>14109</t>
  </si>
  <si>
    <t>CORE DISTRIB - WA</t>
  </si>
  <si>
    <t>856-01695</t>
  </si>
  <si>
    <t>1695</t>
  </si>
  <si>
    <t>TRNSMSN MAIN OPERATION EXP-VALVE MAINTEN</t>
  </si>
  <si>
    <t>15507</t>
  </si>
  <si>
    <t>PERIMETER DISTRIBUT</t>
  </si>
  <si>
    <t>856-01542</t>
  </si>
  <si>
    <t>1542</t>
  </si>
  <si>
    <t>TRNSMSN MAIN OPERATION EXP-GEOHAZARD INS</t>
  </si>
  <si>
    <t>856-01675</t>
  </si>
  <si>
    <t>1675</t>
  </si>
  <si>
    <t>TRNSMSN MAIN OPERATION EXP-TRANS MAIN MA</t>
  </si>
  <si>
    <t>15505</t>
  </si>
  <si>
    <t>PIPELINE INTEGRITY</t>
  </si>
  <si>
    <t>856-01250</t>
  </si>
  <si>
    <t>1250</t>
  </si>
  <si>
    <t>TRNSMSN MAIN OPERATION EXP-LEAKAGE INSPE</t>
  </si>
  <si>
    <t>15520</t>
  </si>
  <si>
    <t>COMPLIANCE SERVICES</t>
  </si>
  <si>
    <t>856-01544</t>
  </si>
  <si>
    <t>1544</t>
  </si>
  <si>
    <t>TRNSMSN MAIN OPERATION EXP-GEOHAZARD REP</t>
  </si>
  <si>
    <t>856-01670</t>
  </si>
  <si>
    <t>1670</t>
  </si>
  <si>
    <t>TRNSMSN MAIN OPERATION EXP-TRAINING</t>
  </si>
  <si>
    <t>863-01544</t>
  </si>
  <si>
    <t>TRNSMSN MAIN MAINTENANCE EXP-GEOHAZARD R</t>
  </si>
  <si>
    <t>863 Maintenance of Mains</t>
  </si>
  <si>
    <t>863-01675</t>
  </si>
  <si>
    <t>TRNSMSN MAIN MAINTENANCE EXP-TRANS MAIN</t>
  </si>
  <si>
    <t>870-01630</t>
  </si>
  <si>
    <t>TRNSMSN MAIN SUPERVISION EXP-SUPERVISION</t>
  </si>
  <si>
    <t>870 Supervision and Engineering</t>
  </si>
  <si>
    <t>870-04415</t>
  </si>
  <si>
    <t>4415</t>
  </si>
  <si>
    <t>TRNSMSN MAIN SUPERVISION EXP-GAS ACQ &amp; P</t>
  </si>
  <si>
    <t>16300</t>
  </si>
  <si>
    <t>PURCHASING</t>
  </si>
  <si>
    <t>874-01250</t>
  </si>
  <si>
    <t>DISTRB MAIN &amp; SERVICE OP EXP-LEAKAGE INS</t>
  </si>
  <si>
    <t>874 Mains and Services Expense</t>
  </si>
  <si>
    <t>874-01175</t>
  </si>
  <si>
    <t>1175</t>
  </si>
  <si>
    <t>DISTRB MAIN &amp; SERVICE OP EXP-FIELD DATA</t>
  </si>
  <si>
    <t>51010</t>
  </si>
  <si>
    <t>OCCUPATIONAL SAFETY</t>
  </si>
  <si>
    <t>874-02090</t>
  </si>
  <si>
    <t>2090</t>
  </si>
  <si>
    <t>DISTRB MAIN &amp; SERVICE OP EXP-DEFAULT</t>
  </si>
  <si>
    <t>874-01280</t>
  </si>
  <si>
    <t>1280</t>
  </si>
  <si>
    <t>DISTRB MAIN &amp; SERVICE OP EXP-MAINS</t>
  </si>
  <si>
    <t>11320</t>
  </si>
  <si>
    <t>FIELD SERVICES</t>
  </si>
  <si>
    <t>12013</t>
  </si>
  <si>
    <t>TRANSPORTATION</t>
  </si>
  <si>
    <t>874-01180</t>
  </si>
  <si>
    <t>1180</t>
  </si>
  <si>
    <t>874-01187</t>
  </si>
  <si>
    <t>1187</t>
  </si>
  <si>
    <t>DISTRB MAIN &amp; SERVICE OP EXP-FIELD METER</t>
  </si>
  <si>
    <t>874-01275</t>
  </si>
  <si>
    <t>1275</t>
  </si>
  <si>
    <t>DISTRB MAIN &amp; SERVICE OP EXP-MAIN &amp; SRVC</t>
  </si>
  <si>
    <t>16115</t>
  </si>
  <si>
    <t>PARKROSE- FACILITIES</t>
  </si>
  <si>
    <t>874-01695</t>
  </si>
  <si>
    <t>DISTRB MAIN &amp; SERVICE OP EXP-VALVE MAINT</t>
  </si>
  <si>
    <t>12359</t>
  </si>
  <si>
    <t>ENGINEERING SVCES WA</t>
  </si>
  <si>
    <t>11520</t>
  </si>
  <si>
    <t>ENERGY EFFICIENCY-OR</t>
  </si>
  <si>
    <t>875 Mains and Services Expense</t>
  </si>
  <si>
    <t>13510</t>
  </si>
  <si>
    <t>CUST FIELD SERVICES</t>
  </si>
  <si>
    <t>874-01505</t>
  </si>
  <si>
    <t>DISTRB MAIN &amp; SERVICE OP EXP-OFFICE STAF</t>
  </si>
  <si>
    <t>874-01170</t>
  </si>
  <si>
    <t>1170</t>
  </si>
  <si>
    <t>DISTRB MAIN &amp; SERVICE OP EXP-EMERGENCY O</t>
  </si>
  <si>
    <t>16200</t>
  </si>
  <si>
    <t>STORES</t>
  </si>
  <si>
    <t>874-12345</t>
  </si>
  <si>
    <t>2345</t>
  </si>
  <si>
    <t>DISTRB MAIN &amp; SERVICE OP EXP-STORES OH C</t>
  </si>
  <si>
    <t>15509</t>
  </si>
  <si>
    <t>CONTRACT SERVICES</t>
  </si>
  <si>
    <t>875-01545</t>
  </si>
  <si>
    <t>1545</t>
  </si>
  <si>
    <t>DISTRB MSRE&amp; RGLTNG EXP-REGULATOR OPERAT</t>
  </si>
  <si>
    <t>875 Measuring and Regulator Station Expense - General</t>
  </si>
  <si>
    <t>875-01125</t>
  </si>
  <si>
    <t>1125</t>
  </si>
  <si>
    <t>DISTRB MSRE&amp; RGLTNG EXP-DIST REG INSPECT</t>
  </si>
  <si>
    <t>875-04420</t>
  </si>
  <si>
    <t>4420</t>
  </si>
  <si>
    <t>DISTRB MSRE&amp; RGLTNG EXP-GAS QUALITY EQUI</t>
  </si>
  <si>
    <t>875-01645</t>
  </si>
  <si>
    <t>1645</t>
  </si>
  <si>
    <t>DISTRB MSRE&amp; RGLTNG EXP-TELEMETERING OPE</t>
  </si>
  <si>
    <t>877-01490</t>
  </si>
  <si>
    <t>1490</t>
  </si>
  <si>
    <t>DISTRB MSRE &amp; RGLTNG EXP-CG-ODORIZING EQ</t>
  </si>
  <si>
    <t>877 Measuring and Regulator Station Expense - City Gate</t>
  </si>
  <si>
    <t>877-01495</t>
  </si>
  <si>
    <t>1495</t>
  </si>
  <si>
    <t>DISTRB MSRE &amp; RGLTNG EXP-CG-ODOROMETER R</t>
  </si>
  <si>
    <t>877-01040</t>
  </si>
  <si>
    <t>1040</t>
  </si>
  <si>
    <t>DISTRB MSRE &amp; RGLTNG EXP-CG-CITY GATE ME</t>
  </si>
  <si>
    <t>877-01480</t>
  </si>
  <si>
    <t>1480</t>
  </si>
  <si>
    <t>DISTRB MSRE &amp; RGLTNG EXP-CG-ODORANT TRAN</t>
  </si>
  <si>
    <t>877-01485</t>
  </si>
  <si>
    <t>1485</t>
  </si>
  <si>
    <t>DISTRB MSRE &amp; RGLTNG EXP-CG-ODORIZER OPE</t>
  </si>
  <si>
    <t>878-01630</t>
  </si>
  <si>
    <t>DISTRB METER &amp; HOUSE RGLTR EXP-SUPERVISI</t>
  </si>
  <si>
    <t>878 Meter and House Regulator Expense</t>
  </si>
  <si>
    <t>878-01330</t>
  </si>
  <si>
    <t>1330</t>
  </si>
  <si>
    <t>DISTRB METER &amp; HOUSE RGLTR EXP-METER CHA</t>
  </si>
  <si>
    <t>878-04655</t>
  </si>
  <si>
    <t>4655</t>
  </si>
  <si>
    <t>DISTRB METER &amp; HOUSE RGLTR EXP-INDUSTRIA</t>
  </si>
  <si>
    <t>16145</t>
  </si>
  <si>
    <t>SUNSET - FACILITIES</t>
  </si>
  <si>
    <t>878-01470</t>
  </si>
  <si>
    <t>1470</t>
  </si>
  <si>
    <t>DISTRB METER &amp; HOUSE RGLTR EXP-MTR PRESS</t>
  </si>
  <si>
    <t>878-01430</t>
  </si>
  <si>
    <t>1430</t>
  </si>
  <si>
    <t>DISTRB METER &amp; HOUSE RGLTR EXP-METER TUR</t>
  </si>
  <si>
    <t>878-01620</t>
  </si>
  <si>
    <t>1620</t>
  </si>
  <si>
    <t>DISTRB METER &amp; HOUSE RGLTR EXP-SERVICING</t>
  </si>
  <si>
    <t>878-01410</t>
  </si>
  <si>
    <t>1410</t>
  </si>
  <si>
    <t>DISTRB METER &amp; HOUSE RGLTR EXP-METER SET</t>
  </si>
  <si>
    <t>879-01505</t>
  </si>
  <si>
    <t>CUSTOMER INSTALLATION EXPENSES-OFFICE ST</t>
  </si>
  <si>
    <t>879 Customer Installation Expense</t>
  </si>
  <si>
    <t>879-01625</t>
  </si>
  <si>
    <t>1625</t>
  </si>
  <si>
    <t>CUSTOMER INSTALLATION EXPENSES-SERVICING</t>
  </si>
  <si>
    <t>879-01630</t>
  </si>
  <si>
    <t>CUSTOMER INSTALLATION EXPENSES-SUPERVISI</t>
  </si>
  <si>
    <t>13400</t>
  </si>
  <si>
    <t>CUST CONTACT CENTER</t>
  </si>
  <si>
    <t>13520</t>
  </si>
  <si>
    <t>RESOURCE MGMT CTR</t>
  </si>
  <si>
    <t>879-01620</t>
  </si>
  <si>
    <t>879-01670</t>
  </si>
  <si>
    <t>CUSTOMER INSTALLATION EXPENSES-TRAINING</t>
  </si>
  <si>
    <t>13525</t>
  </si>
  <si>
    <t>BUSINESS SYSTEMS</t>
  </si>
  <si>
    <t>73100</t>
  </si>
  <si>
    <t>VP, UTILITY SERVICES</t>
  </si>
  <si>
    <t>15510</t>
  </si>
  <si>
    <t>OPS TECHNICAL SVCES</t>
  </si>
  <si>
    <t>879-12345</t>
  </si>
  <si>
    <t>CUSTOMER INSTALLATION EXPENSES-STORES OH</t>
  </si>
  <si>
    <t>880-01070</t>
  </si>
  <si>
    <t>1070</t>
  </si>
  <si>
    <t>OTHER DISTRIBUTION EXPENSES-COMPUTER SYS</t>
  </si>
  <si>
    <t>880 Other Expense</t>
  </si>
  <si>
    <t>880-01670</t>
  </si>
  <si>
    <t>OTHER DISTRIBUTION EXPENSES-TRAINING</t>
  </si>
  <si>
    <t>880-01275</t>
  </si>
  <si>
    <t>OTHER DISTRIB EXP - OTHER UNION BUSINESS</t>
  </si>
  <si>
    <t>880-01580</t>
  </si>
  <si>
    <t>1580</t>
  </si>
  <si>
    <t>OTHER DISTRIBUTION EXPENSES-SAFETY MEETI</t>
  </si>
  <si>
    <t>880-01270</t>
  </si>
  <si>
    <t>1270</t>
  </si>
  <si>
    <t>OTHER DISTRIB EXP - UNION/PSHIP MEETING</t>
  </si>
  <si>
    <t>880-01440</t>
  </si>
  <si>
    <t>1440</t>
  </si>
  <si>
    <t>OTHER DISTRIBUTION EXPENSES-MISC MEETING</t>
  </si>
  <si>
    <t>880-01680</t>
  </si>
  <si>
    <t>1680</t>
  </si>
  <si>
    <t>OTHER DISTRIBUTION EXPENSES-TRAVEL TIME</t>
  </si>
  <si>
    <t>880-01315</t>
  </si>
  <si>
    <t>1315</t>
  </si>
  <si>
    <t>OTHER DISTRIBUTION EXPENSES-MEETINGS</t>
  </si>
  <si>
    <t>880-01512</t>
  </si>
  <si>
    <t>1512</t>
  </si>
  <si>
    <t>OTHER DISTRIBUTION EXPENSES-OPERATOR QUA</t>
  </si>
  <si>
    <t>880-01505</t>
  </si>
  <si>
    <t>OTHER DISTRIBUTION EXPENSES-OFFICE STAFF</t>
  </si>
  <si>
    <t>880-01671</t>
  </si>
  <si>
    <t>1671</t>
  </si>
  <si>
    <t>OTHER DISTRIBUTION EXPENSES-OFFICE TRAIN</t>
  </si>
  <si>
    <t>41020</t>
  </si>
  <si>
    <t>INFRASTRUCTURE</t>
  </si>
  <si>
    <t>881-01550</t>
  </si>
  <si>
    <t>1550</t>
  </si>
  <si>
    <t>DISTRB RENTS-RENTS</t>
  </si>
  <si>
    <t>881 Rents</t>
  </si>
  <si>
    <t>52010</t>
  </si>
  <si>
    <t>PUB POLICY &amp; GVRM AF</t>
  </si>
  <si>
    <t>16170</t>
  </si>
  <si>
    <t>THE DALLES - FACILIT</t>
  </si>
  <si>
    <t>51020</t>
  </si>
  <si>
    <t>RISK &amp; LAND</t>
  </si>
  <si>
    <t>885-01630</t>
  </si>
  <si>
    <t>DISTRB MAINTENANCE SUPERVISION-SUPERVISI</t>
  </si>
  <si>
    <t>885 Supervision and Engineering</t>
  </si>
  <si>
    <t>16400</t>
  </si>
  <si>
    <t>OFFICE SERVICES</t>
  </si>
  <si>
    <t>885-01512</t>
  </si>
  <si>
    <t>DISTRB MAINTENANCE SUPERVISION-OPERATOR</t>
  </si>
  <si>
    <t>885-01505</t>
  </si>
  <si>
    <t>DISTRB MAINTENANCE SUPERVISION-OFFICE ST</t>
  </si>
  <si>
    <t>885-01633</t>
  </si>
  <si>
    <t>1633</t>
  </si>
  <si>
    <t>72700</t>
  </si>
  <si>
    <t>VP, UTILITY OPERATIO</t>
  </si>
  <si>
    <t>15501</t>
  </si>
  <si>
    <t>DIR, UTILITY OPS</t>
  </si>
  <si>
    <t>15400</t>
  </si>
  <si>
    <t>CODE COMPLIANCE</t>
  </si>
  <si>
    <t>885-01514</t>
  </si>
  <si>
    <t>1514</t>
  </si>
  <si>
    <t>DISTRB MAINTENANCE SUPERVISION-PIPELINE</t>
  </si>
  <si>
    <t>885-01195</t>
  </si>
  <si>
    <t>1195</t>
  </si>
  <si>
    <t>DISTRB MAINTENANCE FIELD SUPPORT</t>
  </si>
  <si>
    <t>885-01315</t>
  </si>
  <si>
    <t>DISTRB MAINTENANCE SUPERVISION-MEETINGS</t>
  </si>
  <si>
    <t>885-01670</t>
  </si>
  <si>
    <t>DISTRB MAINTENANCE SUPERVISION-TRAINING</t>
  </si>
  <si>
    <t>41040</t>
  </si>
  <si>
    <t>ENT APPLICATIONS</t>
  </si>
  <si>
    <t>887-73090</t>
  </si>
  <si>
    <t>3090</t>
  </si>
  <si>
    <t>DISTRB MAINTENANCE OF MAINS-DAMAGE W/O W</t>
  </si>
  <si>
    <t>887 Mains</t>
  </si>
  <si>
    <t>887-01220</t>
  </si>
  <si>
    <t>1220</t>
  </si>
  <si>
    <t>DISTRB MAINTENANCE OF MAINS-HP MAINS - L</t>
  </si>
  <si>
    <t>887-01170</t>
  </si>
  <si>
    <t>DISTRB MAINTENANCE OF MAINS-EMERGENCY OP</t>
  </si>
  <si>
    <t>887-01225</t>
  </si>
  <si>
    <t>1225</t>
  </si>
  <si>
    <t>DISTRB MAINTENANCE OF MAINS-HP MAINS-BRI</t>
  </si>
  <si>
    <t>76000</t>
  </si>
  <si>
    <t>SR VP &amp; GEN COUNSEL</t>
  </si>
  <si>
    <t>887-01025</t>
  </si>
  <si>
    <t>1025</t>
  </si>
  <si>
    <t>DISTRB MAINTENANCE OF MAINS-CATHODIC PRO</t>
  </si>
  <si>
    <t>887-01287</t>
  </si>
  <si>
    <t>1287</t>
  </si>
  <si>
    <t>DISTRB MAINTENANCE OF MAINS-MAIN - HOUSE</t>
  </si>
  <si>
    <t>887-01073</t>
  </si>
  <si>
    <t>1073</t>
  </si>
  <si>
    <t>DISTRB MAINTENANCE OF MAINS-CONSTRUCTION</t>
  </si>
  <si>
    <t>887-01197</t>
  </si>
  <si>
    <t>1197</t>
  </si>
  <si>
    <t>DISTRB MAINTENANCE OF MAINS-FINK STATION</t>
  </si>
  <si>
    <t>887-01285</t>
  </si>
  <si>
    <t>1285</t>
  </si>
  <si>
    <t>DISTRB MAINTENANCE OF MAINS-MAINS - BRID</t>
  </si>
  <si>
    <t>887-01290</t>
  </si>
  <si>
    <t>1290</t>
  </si>
  <si>
    <t>DISTRB MAINTENANCE OF MAINS-MAINS - OTHE</t>
  </si>
  <si>
    <t>887-12345</t>
  </si>
  <si>
    <t>DISTRB MAINTENANCE OF MAINS-STORES OH CL</t>
  </si>
  <si>
    <t>887-01100</t>
  </si>
  <si>
    <t>1100</t>
  </si>
  <si>
    <t>DISTRB MAINTENANCE OF MAINS-DAMAGES TO M</t>
  </si>
  <si>
    <t>889-01640</t>
  </si>
  <si>
    <t>1640</t>
  </si>
  <si>
    <t>MAINT- MSRE REG STA EQUIP-GEN-TELEMETERI</t>
  </si>
  <si>
    <t>889 Measuring and Regulator Station Expense - General</t>
  </si>
  <si>
    <t>889-01140</t>
  </si>
  <si>
    <t>1140</t>
  </si>
  <si>
    <t>MAINT- MSRE REG STA EQUIP-GEN-DISTRICT R</t>
  </si>
  <si>
    <t>889-01130</t>
  </si>
  <si>
    <t>1130</t>
  </si>
  <si>
    <t>MAINT- MSRE REG STA EQUIP-GEN-DIST REG P</t>
  </si>
  <si>
    <t>889-01145</t>
  </si>
  <si>
    <t>1145</t>
  </si>
  <si>
    <t>41050</t>
  </si>
  <si>
    <t>IT&amp;S LEADERSHIP TEAM</t>
  </si>
  <si>
    <t>889-01125</t>
  </si>
  <si>
    <t>MAINT- MSRE REG STA EQUIP-GEN-DIST REG I</t>
  </si>
  <si>
    <t>889-01155</t>
  </si>
  <si>
    <t>1155</t>
  </si>
  <si>
    <t>889-12345</t>
  </si>
  <si>
    <t>MAINT- MSRE REG STA EQUIP-GEN-STORES OH</t>
  </si>
  <si>
    <t>891-01525</t>
  </si>
  <si>
    <t>1525</t>
  </si>
  <si>
    <t>MAINT- MSRE REG STA EQUIP-CG-REG/GATE ST</t>
  </si>
  <si>
    <t>891 Measuring and Regulator Station Expense - City Gate</t>
  </si>
  <si>
    <t>891-01490</t>
  </si>
  <si>
    <t>MAINT- MSRE REG STA EQUIP-CG-ODORIZING E</t>
  </si>
  <si>
    <t>892-01605</t>
  </si>
  <si>
    <t>1605</t>
  </si>
  <si>
    <t>MAINT- SERVICES-SERVICE - LEAKAGE</t>
  </si>
  <si>
    <t>892 Services</t>
  </si>
  <si>
    <t>892-80600</t>
  </si>
  <si>
    <t>0600</t>
  </si>
  <si>
    <t>MAINT- SERVICES-Guard Posts</t>
  </si>
  <si>
    <t>892-01478</t>
  </si>
  <si>
    <t>1478</t>
  </si>
  <si>
    <t>MAINT- SERVICES-ODOR CALLS</t>
  </si>
  <si>
    <t>892-01627</t>
  </si>
  <si>
    <t>1627</t>
  </si>
  <si>
    <t>MAINT- SERVICES-STREET CUT IDS</t>
  </si>
  <si>
    <t>892-01635</t>
  </si>
  <si>
    <t>1635</t>
  </si>
  <si>
    <t>MAINT- SERVICES-SVC RGLTR INSPECT</t>
  </si>
  <si>
    <t>892-01603</t>
  </si>
  <si>
    <t>1603</t>
  </si>
  <si>
    <t>MAINT- SERVICES-SERVICE - HOUSEBOAT MAIN</t>
  </si>
  <si>
    <t>892-01073</t>
  </si>
  <si>
    <t>MAINT- SERVICES-CONSTRUCTION DEFECTS</t>
  </si>
  <si>
    <t>892-01615</t>
  </si>
  <si>
    <t>1615</t>
  </si>
  <si>
    <t>MAINT- SERVICES-SERVICE - TEST</t>
  </si>
  <si>
    <t>892-01610</t>
  </si>
  <si>
    <t>1610</t>
  </si>
  <si>
    <t>MAINT- SERVICES-SERVICE - OTHER</t>
  </si>
  <si>
    <t>893-01340</t>
  </si>
  <si>
    <t>1340</t>
  </si>
  <si>
    <t>MAINT- MTRS AND HOUSE RGLTR-METER MAINT</t>
  </si>
  <si>
    <t>893 Meters and House Regulators</t>
  </si>
  <si>
    <t>893-01295</t>
  </si>
  <si>
    <t>MAINT- MTRS AND HOUSE RGLTR-MAINTENANCE</t>
  </si>
  <si>
    <t>12012</t>
  </si>
  <si>
    <t>GENERAL MAINT</t>
  </si>
  <si>
    <t>12011</t>
  </si>
  <si>
    <t>METER SHOP</t>
  </si>
  <si>
    <t>893-01540</t>
  </si>
  <si>
    <t>1540</t>
  </si>
  <si>
    <t>MAINT- MTRS AND HOUSE RGLTR-REGUL REPAIR</t>
  </si>
  <si>
    <t>893-01620</t>
  </si>
  <si>
    <t>MAINT- MTRS AND HOUSE RGLTR-SERVICING EX</t>
  </si>
  <si>
    <t>893-01465</t>
  </si>
  <si>
    <t>1465</t>
  </si>
  <si>
    <t>MAINT- MTRS AND HOUSE RGLTR-MTR INST CAL</t>
  </si>
  <si>
    <t>893-01400</t>
  </si>
  <si>
    <t>1400</t>
  </si>
  <si>
    <t>MAINT- MTRS AND HOUSE RGLTR-METER REVISI</t>
  </si>
  <si>
    <t>893-01535</t>
  </si>
  <si>
    <t>1535</t>
  </si>
  <si>
    <t>893-01460</t>
  </si>
  <si>
    <t>1460</t>
  </si>
  <si>
    <t>MAINT- MTRS AND HOUSE RGLTR-MTR INS-ANNU</t>
  </si>
  <si>
    <t>893-01165</t>
  </si>
  <si>
    <t>1165</t>
  </si>
  <si>
    <t>MAINT- MTRS AND HOUSE RGLTR-ELEC METER M</t>
  </si>
  <si>
    <t>893-01190</t>
  </si>
  <si>
    <t>1190</t>
  </si>
  <si>
    <t>MAINT- MTRS AND HOUSE RGLTR-FIELD METER</t>
  </si>
  <si>
    <t>893-01420</t>
  </si>
  <si>
    <t>1420</t>
  </si>
  <si>
    <t>MAINT- MTRS AND HOUSE RGLTR-METER SET MA</t>
  </si>
  <si>
    <t>893-01350</t>
  </si>
  <si>
    <t>1350</t>
  </si>
  <si>
    <t>MAINT- MTRS AND HOUSE RGLTR-METER PROBLE</t>
  </si>
  <si>
    <t>893-01185</t>
  </si>
  <si>
    <t>1185</t>
  </si>
  <si>
    <t>893-01530</t>
  </si>
  <si>
    <t>1530</t>
  </si>
  <si>
    <t>893-01345</t>
  </si>
  <si>
    <t>1345</t>
  </si>
  <si>
    <t>MAINT- MTRS AND HOUSE RGLTR-METER PAINTI</t>
  </si>
  <si>
    <t>893-01335</t>
  </si>
  <si>
    <t>1335</t>
  </si>
  <si>
    <t>MAINT- MTRS AND HOUSE RGLTR-METER FENCIN</t>
  </si>
  <si>
    <t>893-01375</t>
  </si>
  <si>
    <t>1375</t>
  </si>
  <si>
    <t>MAINT- MTRS AND HOUSE RGLTR-METER REPAIR</t>
  </si>
  <si>
    <t>893-01385</t>
  </si>
  <si>
    <t>1385</t>
  </si>
  <si>
    <t>894-01655</t>
  </si>
  <si>
    <t>1655</t>
  </si>
  <si>
    <t>MAINT- OTHR EQUIP - DISTRB-TOOL MAINT AN</t>
  </si>
  <si>
    <t>894 Other Equipment</t>
  </si>
  <si>
    <t>11800</t>
  </si>
  <si>
    <t>CNG MAINTENANCE</t>
  </si>
  <si>
    <t>894-02015</t>
  </si>
  <si>
    <t>2015</t>
  </si>
  <si>
    <t>MAIN-OTHR EQUIP-CNG Maint Unbilled</t>
  </si>
  <si>
    <t>894-02005</t>
  </si>
  <si>
    <t>2005</t>
  </si>
  <si>
    <t>MAIN-OTHR EQUIP-Scheduled CNG Main Bill</t>
  </si>
  <si>
    <t>894-02010</t>
  </si>
  <si>
    <t>2010</t>
  </si>
  <si>
    <t>MAIN-OTHR EQUIP-Unscheduled CNG Main Bi</t>
  </si>
  <si>
    <t>894-12345</t>
  </si>
  <si>
    <t>MAINT- OTHR EQUIP - STORES OH CLEARING</t>
  </si>
  <si>
    <t>901-01630</t>
  </si>
  <si>
    <t>CUST ACCTS OP - SUPERVISION-SUPERVISION</t>
  </si>
  <si>
    <t>901 Supervision</t>
  </si>
  <si>
    <t>54030</t>
  </si>
  <si>
    <t>LEGAL FEES -CORP SEC</t>
  </si>
  <si>
    <t>902-01505</t>
  </si>
  <si>
    <t>CUST ACCTS OP - METER READING-OFFICE STA</t>
  </si>
  <si>
    <t>902 Meter Reading Expenses</t>
  </si>
  <si>
    <t>902-01360</t>
  </si>
  <si>
    <t>1360</t>
  </si>
  <si>
    <t>CUST ACCTS OP - METER READING-METER READ</t>
  </si>
  <si>
    <t>902-01355</t>
  </si>
  <si>
    <t>1355</t>
  </si>
  <si>
    <t>903-01505</t>
  </si>
  <si>
    <t>CUSTOMER RECORDS &amp; COLLECTIONS-OFFICE ST</t>
  </si>
  <si>
    <t>903 Customer Records and Collection Expense</t>
  </si>
  <si>
    <t>903-01015</t>
  </si>
  <si>
    <t>1015</t>
  </si>
  <si>
    <t>CUSTOMER RECORDS &amp; COLLECTIONS-BILLING G</t>
  </si>
  <si>
    <t>903-04250</t>
  </si>
  <si>
    <t>4250</t>
  </si>
  <si>
    <t>CUSTOMER RECORDS &amp; COLLECTIONS-WHSLE COS</t>
  </si>
  <si>
    <t>903-04280</t>
  </si>
  <si>
    <t>4280</t>
  </si>
  <si>
    <t>CUSTOMER RECORDS &amp; COLLECTIONS-GAS SVC-C</t>
  </si>
  <si>
    <t>42030</t>
  </si>
  <si>
    <t>CASH MANAGEMENT</t>
  </si>
  <si>
    <t>903-01620</t>
  </si>
  <si>
    <t>CUSTOMER RECORDS &amp; COLLECTIONS-SERVICING</t>
  </si>
  <si>
    <t>903-01080</t>
  </si>
  <si>
    <t>1080</t>
  </si>
  <si>
    <t>CUSTOMER RECORDS &amp; COLLECTIONS-CREDIT TU</t>
  </si>
  <si>
    <t>42018</t>
  </si>
  <si>
    <t>OPERATIONAL ACCTG</t>
  </si>
  <si>
    <t>903-01170</t>
  </si>
  <si>
    <t>CUSTOMER RECORDS &amp; COLLECTIONS-EMERGENCY</t>
  </si>
  <si>
    <t>13600</t>
  </si>
  <si>
    <t>ACCOUNT SERVICES</t>
  </si>
  <si>
    <t>11348</t>
  </si>
  <si>
    <t>MAJ ACCT SERV TEAM</t>
  </si>
  <si>
    <t>903-01010</t>
  </si>
  <si>
    <t>1010</t>
  </si>
  <si>
    <t>6495</t>
  </si>
  <si>
    <t>904 Uncollectible Accounts</t>
  </si>
  <si>
    <t>6176</t>
  </si>
  <si>
    <t>2597</t>
  </si>
  <si>
    <t>2598</t>
  </si>
  <si>
    <t>2599</t>
  </si>
  <si>
    <t>2596</t>
  </si>
  <si>
    <t>2595</t>
  </si>
  <si>
    <t>11410</t>
  </si>
  <si>
    <t>RES CONSUMER SERVICE</t>
  </si>
  <si>
    <t>907-01505</t>
  </si>
  <si>
    <t>CUSTOMER SERVICE SUPERVISION-OFFICE STAF</t>
  </si>
  <si>
    <t>907 Supervision</t>
  </si>
  <si>
    <t>11420</t>
  </si>
  <si>
    <t>CUST EXPRNCE CONV</t>
  </si>
  <si>
    <t>908-04660</t>
  </si>
  <si>
    <t>4660</t>
  </si>
  <si>
    <t>CUSTOMER ASSISTANCE EXPENSE-MAJ ENERGY S</t>
  </si>
  <si>
    <t>908 Customer Assistance Expense</t>
  </si>
  <si>
    <t>11515</t>
  </si>
  <si>
    <t>CUST ACQ MRKTG NEW</t>
  </si>
  <si>
    <t>908-01505</t>
  </si>
  <si>
    <t>CUSTOMER ASSISTANCE EXPENSE-OFFICE STAFF</t>
  </si>
  <si>
    <t>15508</t>
  </si>
  <si>
    <t>BUSINESS ANALYSIS</t>
  </si>
  <si>
    <t>908-04815</t>
  </si>
  <si>
    <t>4815</t>
  </si>
  <si>
    <t>CUSTOMER ASSISTANCE EXPENSE-MARKET R &amp; D</t>
  </si>
  <si>
    <t>11370</t>
  </si>
  <si>
    <t>INTEG RESOURCE PLAN</t>
  </si>
  <si>
    <t>55010</t>
  </si>
  <si>
    <t>ENV POLICY AND SUSTN</t>
  </si>
  <si>
    <t>908-02972</t>
  </si>
  <si>
    <t>2972</t>
  </si>
  <si>
    <t>CUSTOMER ASSISTANCE EXPENSE-SM</t>
  </si>
  <si>
    <t>52040</t>
  </si>
  <si>
    <t>CORPORATE COMMUNICAT</t>
  </si>
  <si>
    <t>908-01515</t>
  </si>
  <si>
    <t>1515</t>
  </si>
  <si>
    <t>CUSTOMER ASSISTANCE EXPENSE-PUB SAFETY A</t>
  </si>
  <si>
    <t>11330</t>
  </si>
  <si>
    <t>CUST ACQ MRKTG CONV</t>
  </si>
  <si>
    <t>45010</t>
  </si>
  <si>
    <t>STRATEGIC PLANNING</t>
  </si>
  <si>
    <t>11430</t>
  </si>
  <si>
    <t>CUST EXPRNCE NEW</t>
  </si>
  <si>
    <t>15491</t>
  </si>
  <si>
    <t>DIR, ACQUIRE CUSTOME</t>
  </si>
  <si>
    <t>908-05015</t>
  </si>
  <si>
    <t>5015</t>
  </si>
  <si>
    <t>CUSTOMER ASSISTANCE EXPENSE-NEW CONSTRUC</t>
  </si>
  <si>
    <t>908-05020</t>
  </si>
  <si>
    <t>5020</t>
  </si>
  <si>
    <t>CUSTOMER ASSISTANCE EXPENSE-CONVERSION</t>
  </si>
  <si>
    <t>12339</t>
  </si>
  <si>
    <t>VANCOUVER CUST ACQ</t>
  </si>
  <si>
    <t>908-04771</t>
  </si>
  <si>
    <t>4771</t>
  </si>
  <si>
    <t>CUSTOMER ASSISTANCE EXPENSE-CANCELLED WO</t>
  </si>
  <si>
    <t>11325</t>
  </si>
  <si>
    <t>CUST SEG SRVC</t>
  </si>
  <si>
    <t>909</t>
  </si>
  <si>
    <t>909-29000</t>
  </si>
  <si>
    <t>9000</t>
  </si>
  <si>
    <t>INFO &amp; INSTRUCTIONAL ADVRT-TELEPHONE DIR</t>
  </si>
  <si>
    <t>909 Customer Information Expense</t>
  </si>
  <si>
    <t>909-23000</t>
  </si>
  <si>
    <t>3000</t>
  </si>
  <si>
    <t>INFO &amp; INSTRUCTIONAL ADVRT-UTILITY INFOR</t>
  </si>
  <si>
    <t>909-21000</t>
  </si>
  <si>
    <t>1000</t>
  </si>
  <si>
    <t>INFO &amp; INSTRUCTIONAL ADVRT-BILL INSERTS</t>
  </si>
  <si>
    <t>909-20000</t>
  </si>
  <si>
    <t>0000</t>
  </si>
  <si>
    <t>INFO &amp; INSTRUCTIONAL ADVRT-ADMIN / PAYRO</t>
  </si>
  <si>
    <t>909-28000</t>
  </si>
  <si>
    <t>8000</t>
  </si>
  <si>
    <t>INFO &amp; INSTRUCTIONAL ADVRT-SAFETY INFORM</t>
  </si>
  <si>
    <t>909-24000</t>
  </si>
  <si>
    <t>4000</t>
  </si>
  <si>
    <t>INFO &amp; INSTRUCTIONAL ADVRT-FALL COMMUNIC</t>
  </si>
  <si>
    <t>910-01505</t>
  </si>
  <si>
    <t>MISC CUSTOMER SERVICE-OFFICE STAFFING &amp;</t>
  </si>
  <si>
    <t>910 Miscellaneous Customer Service Expense</t>
  </si>
  <si>
    <t>11540</t>
  </si>
  <si>
    <t>CONSR RELATIONS-EVT</t>
  </si>
  <si>
    <t>911-04855</t>
  </si>
  <si>
    <t>4855</t>
  </si>
  <si>
    <t>SALES SUPERVISION EXPENSE-PROMOTIONS</t>
  </si>
  <si>
    <t>911 Supervision</t>
  </si>
  <si>
    <t>912-01315</t>
  </si>
  <si>
    <t>DEMONSTRATION &amp; SELLING EXP-MEETINGS</t>
  </si>
  <si>
    <t>912 Demonstration and Selling Expense</t>
  </si>
  <si>
    <t>912-04858</t>
  </si>
  <si>
    <t>4858</t>
  </si>
  <si>
    <t>DEMONSTRATION &amp; SELLING EXP-PROMOTIONAL</t>
  </si>
  <si>
    <t>51040</t>
  </si>
  <si>
    <t>ENVIRON MGMT</t>
  </si>
  <si>
    <t>912-01505</t>
  </si>
  <si>
    <t>DEMONSTRATION &amp; SELLING EXP-OFFICE STAFF</t>
  </si>
  <si>
    <t>912-05015</t>
  </si>
  <si>
    <t>DEMONSTRATION &amp; SELLING EXP-NEW CONSTRUC</t>
  </si>
  <si>
    <t>46010</t>
  </si>
  <si>
    <t>CORP SECRETARY</t>
  </si>
  <si>
    <t>912-04870</t>
  </si>
  <si>
    <t>4870</t>
  </si>
  <si>
    <t>DEMONSTRATION &amp; SELLING EXP-STREET OF DR</t>
  </si>
  <si>
    <t>42014</t>
  </si>
  <si>
    <t>SEC REPORTING</t>
  </si>
  <si>
    <t>52020</t>
  </si>
  <si>
    <t>COMM &amp; CIVIC AFFAIRS</t>
  </si>
  <si>
    <t>912-04835</t>
  </si>
  <si>
    <t>4835</t>
  </si>
  <si>
    <t>DEMONSTRATION &amp; SELLING EXP-NEW CUST REL</t>
  </si>
  <si>
    <t>912-04940</t>
  </si>
  <si>
    <t>4940</t>
  </si>
  <si>
    <t>DEMONSTRATION &amp; SELLING EXP-CIVIC RELATI</t>
  </si>
  <si>
    <t>912-05020</t>
  </si>
  <si>
    <t>DEMONSTRATION &amp; SELLING EXP-CONVERSION</t>
  </si>
  <si>
    <t>34000</t>
  </si>
  <si>
    <t>OD &amp; TRAINING</t>
  </si>
  <si>
    <t>912-01670</t>
  </si>
  <si>
    <t>DEMONSTRATION &amp; SELLING EXP-TRAINING</t>
  </si>
  <si>
    <t>912-05025</t>
  </si>
  <si>
    <t>5025</t>
  </si>
  <si>
    <t>DEMO &amp; SELL EXP-Amort Singl Fam Conv Cos</t>
  </si>
  <si>
    <t>912-04865</t>
  </si>
  <si>
    <t>4865</t>
  </si>
  <si>
    <t>DEMONSTRATION &amp; SELLING EXP-SHOW OF HOME</t>
  </si>
  <si>
    <t>912-01215</t>
  </si>
  <si>
    <t>1215</t>
  </si>
  <si>
    <t>DEMONSTRATION &amp; SELLING EXP-HOME SHOWS</t>
  </si>
  <si>
    <t>912-04765</t>
  </si>
  <si>
    <t>4765</t>
  </si>
  <si>
    <t>DEMONSTRATION &amp; SELLING EXP-4TH FLOOR SU</t>
  </si>
  <si>
    <t>913-21000</t>
  </si>
  <si>
    <t>ADVERTISING EXPENSES-BILL INSERTS</t>
  </si>
  <si>
    <t>913 Advertising</t>
  </si>
  <si>
    <t>913-28000</t>
  </si>
  <si>
    <t>ADVERTISING EXPENSES-SAFETY INFORMATION</t>
  </si>
  <si>
    <t>913-20000</t>
  </si>
  <si>
    <t>ADVERTISING EXPENSES-ADMIN / PAYROLL</t>
  </si>
  <si>
    <t>913-26000</t>
  </si>
  <si>
    <t>6000</t>
  </si>
  <si>
    <t>ADVERTISING EXPENSES-CORPORATE IMAGE &amp; M</t>
  </si>
  <si>
    <t>16000</t>
  </si>
  <si>
    <t>250TAYLOR-FACILITIES</t>
  </si>
  <si>
    <t>921-01505</t>
  </si>
  <si>
    <t>OFFICE STAFFING &amp; EXPENSE-OFFICE STAFFIN</t>
  </si>
  <si>
    <t>921 Office Supplies and Expense</t>
  </si>
  <si>
    <t>84089</t>
  </si>
  <si>
    <t>SHARED SERVICES OH</t>
  </si>
  <si>
    <t>78000</t>
  </si>
  <si>
    <t>VP, BUSINESS DEVELOP</t>
  </si>
  <si>
    <t>921-01590</t>
  </si>
  <si>
    <t>1590</t>
  </si>
  <si>
    <t>OFFICE STAFFING &amp; EXPENSE-SAFETY SAL/EXP</t>
  </si>
  <si>
    <t>921-02492</t>
  </si>
  <si>
    <t>2492</t>
  </si>
  <si>
    <t>OFFICE STAFFING &amp; EXPENSE-RELOCATION COS</t>
  </si>
  <si>
    <t>921-02930</t>
  </si>
  <si>
    <t>2930</t>
  </si>
  <si>
    <t>LEGAL WORK - BOARD</t>
  </si>
  <si>
    <t>921-04715</t>
  </si>
  <si>
    <t>4715</t>
  </si>
  <si>
    <t>OFFICE STAFFING &amp; EXPENSE-NEW APPLICATIO</t>
  </si>
  <si>
    <t>72000</t>
  </si>
  <si>
    <t>FORMER CEO</t>
  </si>
  <si>
    <t>54060</t>
  </si>
  <si>
    <t>LEGAL FEES - RISK</t>
  </si>
  <si>
    <t>921-05346</t>
  </si>
  <si>
    <t>5346</t>
  </si>
  <si>
    <t>OFFICE STAFFING &amp; EXPENSE-GAS SUPPLY</t>
  </si>
  <si>
    <t>42010</t>
  </si>
  <si>
    <t>ACCOUNTING</t>
  </si>
  <si>
    <t>921-04760</t>
  </si>
  <si>
    <t>4760</t>
  </si>
  <si>
    <t>OFFICE STAFFING &amp; EXPENSE-CYBERSECURITY</t>
  </si>
  <si>
    <t>921-05280</t>
  </si>
  <si>
    <t>5280</t>
  </si>
  <si>
    <t>OFFICE STAFFING &amp; EXP-EE MATTERS STOEL</t>
  </si>
  <si>
    <t>921-05295</t>
  </si>
  <si>
    <t>5295</t>
  </si>
  <si>
    <t>OFFICE STAFFING &amp; EXPENSE-MISC UTILITY</t>
  </si>
  <si>
    <t>54080</t>
  </si>
  <si>
    <t>LEGAL FEES GAS SPLY</t>
  </si>
  <si>
    <t>921-05290</t>
  </si>
  <si>
    <t>5290</t>
  </si>
  <si>
    <t>OFFICE STAFFING &amp; EXPENSE-CORP. SPECIAL</t>
  </si>
  <si>
    <t>921-01570</t>
  </si>
  <si>
    <t>1570</t>
  </si>
  <si>
    <t>OFFICE STAFFING &amp; EXPENSE-SAFETY EQUIPME</t>
  </si>
  <si>
    <t>921-04705</t>
  </si>
  <si>
    <t>4705</t>
  </si>
  <si>
    <t>OFFICE STAFFING &amp; EXPENSE-DESKTOP INSTAL</t>
  </si>
  <si>
    <t>60113</t>
  </si>
  <si>
    <t>HR, PAYROLL</t>
  </si>
  <si>
    <t>85710</t>
  </si>
  <si>
    <t>STRATEGIC PROJECTS</t>
  </si>
  <si>
    <t>921-01506</t>
  </si>
  <si>
    <t>1506</t>
  </si>
  <si>
    <t>OFFICE STAFFING &amp; EXPENSE-VPP MATTERS</t>
  </si>
  <si>
    <t>74700</t>
  </si>
  <si>
    <t>ASST TO CEO &amp; STRAT</t>
  </si>
  <si>
    <t>921-05015</t>
  </si>
  <si>
    <t>OFFICE STAFFING &amp; EXPENSE-TELECOM MAINT</t>
  </si>
  <si>
    <t>16175</t>
  </si>
  <si>
    <t>NEWPORT - FACILITIES</t>
  </si>
  <si>
    <t>921-04280</t>
  </si>
  <si>
    <t>OFFICE STAFFING &amp; EXPENSE-GAS SVC-CR &amp; C</t>
  </si>
  <si>
    <t>42020</t>
  </si>
  <si>
    <t>TAX</t>
  </si>
  <si>
    <t>921-01500</t>
  </si>
  <si>
    <t>1500</t>
  </si>
  <si>
    <t>OFFICE STAFFING &amp; EXPENSE-OFFICE MAINTEN</t>
  </si>
  <si>
    <t>921-01593</t>
  </si>
  <si>
    <t>1593</t>
  </si>
  <si>
    <t>OFFICE STAFFING &amp; EXPENSE- EYEWEAR</t>
  </si>
  <si>
    <t>921-04935</t>
  </si>
  <si>
    <t>4935</t>
  </si>
  <si>
    <t>OFFICE STAFFING &amp; EXPENSE-CIVIC EXPENSES</t>
  </si>
  <si>
    <t>921-02950</t>
  </si>
  <si>
    <t>2950</t>
  </si>
  <si>
    <t>LEGAL WORK - 23rd &amp; Glisan Incident</t>
  </si>
  <si>
    <t>921-04320</t>
  </si>
  <si>
    <t>4320</t>
  </si>
  <si>
    <t>LEGAL WORK - DIRECTOR'S</t>
  </si>
  <si>
    <t>54040</t>
  </si>
  <si>
    <t>LEGAL FEES - HR</t>
  </si>
  <si>
    <t>921-05270</t>
  </si>
  <si>
    <t>5270</t>
  </si>
  <si>
    <t>OFFICE STAFFING &amp; EXPENSE-FEDERAL REGULA</t>
  </si>
  <si>
    <t>921-01592</t>
  </si>
  <si>
    <t>1592</t>
  </si>
  <si>
    <t>OFFICE STAFFING &amp; EXPENSE - BOOTS</t>
  </si>
  <si>
    <t>921-05020</t>
  </si>
  <si>
    <t>OFFICE STAFFING &amp; EXPENSE-TELECOM OPERAT</t>
  </si>
  <si>
    <t>54010</t>
  </si>
  <si>
    <t>LEGAL</t>
  </si>
  <si>
    <t>921-05320</t>
  </si>
  <si>
    <t>5320</t>
  </si>
  <si>
    <t>OFFICE STAFFING &amp; EXPENSE-CONTACTS</t>
  </si>
  <si>
    <t>921-02588</t>
  </si>
  <si>
    <t>2588</t>
  </si>
  <si>
    <t>OFFICE STAFFING &amp; EXPENSE-TELECOM ADMINI</t>
  </si>
  <si>
    <t>74800</t>
  </si>
  <si>
    <t>PRES GAS STORAGE LLC</t>
  </si>
  <si>
    <t>921-05286</t>
  </si>
  <si>
    <t>5286</t>
  </si>
  <si>
    <t>OFFICE STAFFING &amp; EXP-LABOR MATRS STOEL</t>
  </si>
  <si>
    <t>54070</t>
  </si>
  <si>
    <t>LEGAL FEES - TAX</t>
  </si>
  <si>
    <t>921-05312</t>
  </si>
  <si>
    <t>5312</t>
  </si>
  <si>
    <t>Tax</t>
  </si>
  <si>
    <t>921-02463</t>
  </si>
  <si>
    <t>2463</t>
  </si>
  <si>
    <t>OFFICE STAFFING &amp; EXP-Employee Parking</t>
  </si>
  <si>
    <t>31100</t>
  </si>
  <si>
    <t>EMPLOYMENT</t>
  </si>
  <si>
    <t>921-04536</t>
  </si>
  <si>
    <t>4536</t>
  </si>
  <si>
    <t>OFFICE STAFFING &amp; EXPENSE-CAREER DEVELOP</t>
  </si>
  <si>
    <t>41070</t>
  </si>
  <si>
    <t>ENT ARCHITECTURE</t>
  </si>
  <si>
    <t>921-04750</t>
  </si>
  <si>
    <t>4750</t>
  </si>
  <si>
    <t>OFFICE STAFFING &amp; EXPENSE-TECH SUPPORT E</t>
  </si>
  <si>
    <t>921-04950</t>
  </si>
  <si>
    <t>4950</t>
  </si>
  <si>
    <t>OFFICE STAFFING &amp; EXPENSE-WOMEN'S NETWOR</t>
  </si>
  <si>
    <t>34500</t>
  </si>
  <si>
    <t>CO SUPPORTED ACTIONS</t>
  </si>
  <si>
    <t>42012</t>
  </si>
  <si>
    <t>SARBANES OXLEY</t>
  </si>
  <si>
    <t>41010</t>
  </si>
  <si>
    <t>INF SECUR COMP &amp; QA</t>
  </si>
  <si>
    <t>41060</t>
  </si>
  <si>
    <t>IT CUSTOMER SERVICE</t>
  </si>
  <si>
    <t>32000</t>
  </si>
  <si>
    <t>BENEFITS</t>
  </si>
  <si>
    <t>921-04735</t>
  </si>
  <si>
    <t>4735</t>
  </si>
  <si>
    <t>OFFICE STAFFING &amp; EXPENSE-SYS NETWORK AD</t>
  </si>
  <si>
    <t>31300</t>
  </si>
  <si>
    <t>EE&amp;LABOR RELATIONS</t>
  </si>
  <si>
    <t>921-01672</t>
  </si>
  <si>
    <t>1672</t>
  </si>
  <si>
    <t>OFFICE STAFFING &amp; EXPENSE-LEADERSHIP DEV</t>
  </si>
  <si>
    <t>921-02553</t>
  </si>
  <si>
    <t>2553</t>
  </si>
  <si>
    <t>OFFICE STAFFING &amp; EXPENSE-SARBANES OXLEY</t>
  </si>
  <si>
    <t>921-05316</t>
  </si>
  <si>
    <t>5316</t>
  </si>
  <si>
    <t>OFFICE STAFFING &amp; EXPENSE-MISC LITIGATIO</t>
  </si>
  <si>
    <t>921-04590</t>
  </si>
  <si>
    <t>4590</t>
  </si>
  <si>
    <t>OFFICE STAFFING &amp; EXPENSE-INDUSTRIAL REL</t>
  </si>
  <si>
    <t>54050</t>
  </si>
  <si>
    <t>LEGAL FEES - RATES</t>
  </si>
  <si>
    <t>921-05265</t>
  </si>
  <si>
    <t>OFFICE STAFFING &amp; EXPENSE-STATE REGULATI</t>
  </si>
  <si>
    <t>Direct-WA</t>
  </si>
  <si>
    <t>This order has been evaluated for WA costs and has been adjusted accordingly</t>
  </si>
  <si>
    <t>921-01595</t>
  </si>
  <si>
    <t>1595</t>
  </si>
  <si>
    <t>OFFICE STAFFING &amp; EXPENSE-SAFETY SHOES</t>
  </si>
  <si>
    <t>921-01596</t>
  </si>
  <si>
    <t>1596</t>
  </si>
  <si>
    <t>OFFICE STAFFING &amp; EXPENSE-SAP EXPENSES</t>
  </si>
  <si>
    <t>46020</t>
  </si>
  <si>
    <t>SHAREHOLDER SVCS</t>
  </si>
  <si>
    <t>921-05264</t>
  </si>
  <si>
    <t>5264</t>
  </si>
  <si>
    <t>OFFICE STAFFING &amp; EXP-FRANCHISE GENERAL</t>
  </si>
  <si>
    <t>921-01594</t>
  </si>
  <si>
    <t>1594</t>
  </si>
  <si>
    <t>OFFICE STAFFING &amp; EXPENSE-HEARING PROTEC</t>
  </si>
  <si>
    <t>921-05300</t>
  </si>
  <si>
    <t>5300</t>
  </si>
  <si>
    <t>Legal Environmental</t>
  </si>
  <si>
    <t>921-01560</t>
  </si>
  <si>
    <t>1560</t>
  </si>
  <si>
    <t>OFFICE STAFFING &amp; EXPENSE-SAF REPR RECOG</t>
  </si>
  <si>
    <t>42050</t>
  </si>
  <si>
    <t>CAPITAL ACCOUNTING</t>
  </si>
  <si>
    <t>921-05310</t>
  </si>
  <si>
    <t>5310</t>
  </si>
  <si>
    <t>Bankruptcy</t>
  </si>
  <si>
    <t>921-01700</t>
  </si>
  <si>
    <t>1700</t>
  </si>
  <si>
    <t>OFFICE STAFFING &amp; EXPENSE-VEH SAFETY MGT</t>
  </si>
  <si>
    <t>921-01670</t>
  </si>
  <si>
    <t>OFFICE STAFFING &amp; EXPENSE-TRAINING</t>
  </si>
  <si>
    <t>75500</t>
  </si>
  <si>
    <t>VP, PUBLIC AFFAIRS</t>
  </si>
  <si>
    <t>921-05297</t>
  </si>
  <si>
    <t>5297</t>
  </si>
  <si>
    <t>OFFICE STAFFING &amp; EXPENSE-N. Mist EPC</t>
  </si>
  <si>
    <t>74000</t>
  </si>
  <si>
    <t>CHIEF FINANCIAL OFFI</t>
  </si>
  <si>
    <t>31200</t>
  </si>
  <si>
    <t>DRUG &amp; ALCOHOL</t>
  </si>
  <si>
    <t>921-04560</t>
  </si>
  <si>
    <t>4560</t>
  </si>
  <si>
    <t>OFFICE STAFFING &amp; EXPENSE-DRUG &amp; ALCOHOL</t>
  </si>
  <si>
    <t>77000</t>
  </si>
  <si>
    <t>SR VP, CHF ADMIN OFF</t>
  </si>
  <si>
    <t>921-04945</t>
  </si>
  <si>
    <t>4945</t>
  </si>
  <si>
    <t>OFFICE STAFFING &amp; EXPENSE-DIVERSITY COUN</t>
  </si>
  <si>
    <t>921-04925</t>
  </si>
  <si>
    <t>4925</t>
  </si>
  <si>
    <t>OFFICE STAFFING &amp; EXPENSE-COPY CENTER</t>
  </si>
  <si>
    <t>921-04755</t>
  </si>
  <si>
    <t>4755</t>
  </si>
  <si>
    <t>OFFICE STAFFING &amp; EXPENSE-UNIX HWARE &amp; S</t>
  </si>
  <si>
    <t>73000</t>
  </si>
  <si>
    <t>SVP UTIL &amp; CHF MKTG</t>
  </si>
  <si>
    <t>921-05284</t>
  </si>
  <si>
    <t>5284</t>
  </si>
  <si>
    <t>EMPLOYEE BENEFIT PLANS - DWT</t>
  </si>
  <si>
    <t>921-04710</t>
  </si>
  <si>
    <t>4710</t>
  </si>
  <si>
    <t>OFFICE STAFFING &amp; EXPENSE-INFO MGMT</t>
  </si>
  <si>
    <t>71000</t>
  </si>
  <si>
    <t>PRESIDENT &amp; CEO</t>
  </si>
  <si>
    <t>74500</t>
  </si>
  <si>
    <t>CONTROLLER</t>
  </si>
  <si>
    <t>85210</t>
  </si>
  <si>
    <t>SEVERANCE</t>
  </si>
  <si>
    <t>921-02560</t>
  </si>
  <si>
    <t>2560</t>
  </si>
  <si>
    <t>OFFICE STAFFING &amp; EXPENSE-SEVERANCE EXPE</t>
  </si>
  <si>
    <t>921-04700</t>
  </si>
  <si>
    <t>4700</t>
  </si>
  <si>
    <t>OFFICE STAFFING &amp; EXPENSE-DATA ADMINISTR</t>
  </si>
  <si>
    <t>921-04920</t>
  </si>
  <si>
    <t>4920</t>
  </si>
  <si>
    <t>OFFICE STAFFING &amp; EXPENSE-CONTRACT DEL S</t>
  </si>
  <si>
    <t>73600</t>
  </si>
  <si>
    <t>VP &amp; CORPORATE SECTY</t>
  </si>
  <si>
    <t>921-02050</t>
  </si>
  <si>
    <t>2050</t>
  </si>
  <si>
    <t>Management Staff Expenses</t>
  </si>
  <si>
    <t>921-05268</t>
  </si>
  <si>
    <t>5268</t>
  </si>
  <si>
    <t>OFFICE STAFFING &amp; EXPENSE-CANADIAN REGUL</t>
  </si>
  <si>
    <t>921-05282</t>
  </si>
  <si>
    <t>5282</t>
  </si>
  <si>
    <t>OFFICE STAFFING &amp; EXP-EE MATTERS BUCHANA</t>
  </si>
  <si>
    <t>74900</t>
  </si>
  <si>
    <t>MANAGING DIR I/S</t>
  </si>
  <si>
    <t>921-05260</t>
  </si>
  <si>
    <t>5260</t>
  </si>
  <si>
    <t>OFFICE STAFFING &amp; EXPENSE-REAL PROPERTY</t>
  </si>
  <si>
    <t>921-05276</t>
  </si>
  <si>
    <t>5276</t>
  </si>
  <si>
    <t>OFFICE STAFFING &amp; EXPENSE-EXEC BENEFIT P</t>
  </si>
  <si>
    <t>16201</t>
  </si>
  <si>
    <t>STORES OBS INV</t>
  </si>
  <si>
    <t>921-06600</t>
  </si>
  <si>
    <t>6600</t>
  </si>
  <si>
    <t>Inventory Differences</t>
  </si>
  <si>
    <t>15492</t>
  </si>
  <si>
    <t>DIR, UTILITY SVCS</t>
  </si>
  <si>
    <t>46030</t>
  </si>
  <si>
    <t>CORP ETHICS &amp; COMPL</t>
  </si>
  <si>
    <t>921-04720</t>
  </si>
  <si>
    <t>4720</t>
  </si>
  <si>
    <t>OFFICE STAFFING &amp; EXPENSE-NT SYSTEMS SUP</t>
  </si>
  <si>
    <t>921-05291</t>
  </si>
  <si>
    <t>5291</t>
  </si>
  <si>
    <t>SEC reporting expenses</t>
  </si>
  <si>
    <t>33000</t>
  </si>
  <si>
    <t>PAYROLL</t>
  </si>
  <si>
    <t>51050</t>
  </si>
  <si>
    <t>CORPORATE SECURITY</t>
  </si>
  <si>
    <t>51045</t>
  </si>
  <si>
    <t>BUSINESS CONTINUITY</t>
  </si>
  <si>
    <t>921-01207</t>
  </si>
  <si>
    <t>1207</t>
  </si>
  <si>
    <t>OFFICE STAFFING &amp; EXPENSE-HOMELAND SECUR</t>
  </si>
  <si>
    <t>48010</t>
  </si>
  <si>
    <t>INVESTOR RELATIONS</t>
  </si>
  <si>
    <t>42040</t>
  </si>
  <si>
    <t>MID OFFICE</t>
  </si>
  <si>
    <t>83030</t>
  </si>
  <si>
    <t>GENERAL CORPORATE</t>
  </si>
  <si>
    <t>79003</t>
  </si>
  <si>
    <t>SENIOR DIRECTORS</t>
  </si>
  <si>
    <t>921-04930</t>
  </si>
  <si>
    <t>4930</t>
  </si>
  <si>
    <t>OFFICE STAFFING &amp; EXPENSE-MAIL ROOM</t>
  </si>
  <si>
    <t>43010</t>
  </si>
  <si>
    <t>BUSINESS DEVELOPMENT</t>
  </si>
  <si>
    <t>921-01591</t>
  </si>
  <si>
    <t>1591</t>
  </si>
  <si>
    <t>OFFICE STAFFING &amp; EXPENSE- FR CLOTHING</t>
  </si>
  <si>
    <t>51060</t>
  </si>
  <si>
    <t>PROJECT OFFICE</t>
  </si>
  <si>
    <t>85110</t>
  </si>
  <si>
    <t>KEY GOALS</t>
  </si>
  <si>
    <t>921-02365</t>
  </si>
  <si>
    <t>2365</t>
  </si>
  <si>
    <t>OFFICE STAFFING &amp; EXPENSE-KEY GOALS BONU</t>
  </si>
  <si>
    <t>72500</t>
  </si>
  <si>
    <t>INTERNAL AUDITING</t>
  </si>
  <si>
    <t>79000</t>
  </si>
  <si>
    <t>GEN ADMIN STAFF</t>
  </si>
  <si>
    <t>44010</t>
  </si>
  <si>
    <t>FIN PLANNING &amp; BUDGE</t>
  </si>
  <si>
    <t>85390</t>
  </si>
  <si>
    <t>LTIP</t>
  </si>
  <si>
    <t>921-02476</t>
  </si>
  <si>
    <t>2476</t>
  </si>
  <si>
    <t>OFFICE STAFFING &amp; EXPENSE-PERFORMANCE BO</t>
  </si>
  <si>
    <t>53010</t>
  </si>
  <si>
    <t>REGULATORY AFFAIRS</t>
  </si>
  <si>
    <t>85120</t>
  </si>
  <si>
    <t>PERFORMANCE</t>
  </si>
  <si>
    <t>921-02475</t>
  </si>
  <si>
    <t>2475</t>
  </si>
  <si>
    <t>79002</t>
  </si>
  <si>
    <t>OFFICERS PAYROLL</t>
  </si>
  <si>
    <t>84099</t>
  </si>
  <si>
    <t>ADMIN TRANSFER</t>
  </si>
  <si>
    <t>922-02010</t>
  </si>
  <si>
    <t>ADMIN EXPENSE TRANSFER-ADMIN EXPENSE TRA</t>
  </si>
  <si>
    <t>922 Administrative Expenses Transferred - Credit</t>
  </si>
  <si>
    <t>85310</t>
  </si>
  <si>
    <t>CREDIT FOR PAYRL TAX</t>
  </si>
  <si>
    <t>922-03180</t>
  </si>
  <si>
    <t>3180</t>
  </si>
  <si>
    <t>ADMIN EXPENSE TRANSFER-TAXES-PAYROLL</t>
  </si>
  <si>
    <t>922-02426</t>
  </si>
  <si>
    <t>2426</t>
  </si>
  <si>
    <t>ADMIN EXPENSE TRANSFER-GILL RANCH OVERHE</t>
  </si>
  <si>
    <t>51025</t>
  </si>
  <si>
    <t>INSURANCE</t>
  </si>
  <si>
    <t>924-02380</t>
  </si>
  <si>
    <t>2380</t>
  </si>
  <si>
    <t>PROPERTY INSURANCE-LIABILITY INSURANCE</t>
  </si>
  <si>
    <t>924 Property Insurance Premium</t>
  </si>
  <si>
    <t>51030</t>
  </si>
  <si>
    <t>CLAIMS ACCRUALS</t>
  </si>
  <si>
    <t>925-04980</t>
  </si>
  <si>
    <t>4980</t>
  </si>
  <si>
    <t>INJURIES &amp; DAMAGES-EXTRAORDINARY CLAIMS</t>
  </si>
  <si>
    <t>925 Injuries and Damages</t>
  </si>
  <si>
    <t>925-01505</t>
  </si>
  <si>
    <t>INJURIES &amp; DAMAGES-OFFICE STAFFING &amp; EXP</t>
  </si>
  <si>
    <t>925-02455</t>
  </si>
  <si>
    <t>2455</t>
  </si>
  <si>
    <t>INJURIES &amp; DAMAGES-OTHER INSURANCE</t>
  </si>
  <si>
    <t>925-04985</t>
  </si>
  <si>
    <t>4985</t>
  </si>
  <si>
    <t>INJURIES &amp; DAMAGES-OPER CLAIMS COSTS</t>
  </si>
  <si>
    <t>85240</t>
  </si>
  <si>
    <t>PENSION BALANCING-OR</t>
  </si>
  <si>
    <t>926-09945</t>
  </si>
  <si>
    <t>9945</t>
  </si>
  <si>
    <t>EPB - Emp Pen Bal - NonService Component</t>
  </si>
  <si>
    <t>926 Employee Pensions and Benefits</t>
  </si>
  <si>
    <t>926-09940</t>
  </si>
  <si>
    <t>9940</t>
  </si>
  <si>
    <t>EPB - Emp Pen Bal - Service Costs</t>
  </si>
  <si>
    <t>926-05285</t>
  </si>
  <si>
    <t>5285</t>
  </si>
  <si>
    <t>EMPLOYEE PENSIONS &amp; BENEFITS-PENSION BAL</t>
  </si>
  <si>
    <t>85360</t>
  </si>
  <si>
    <t>POH ADJUSTMENTS</t>
  </si>
  <si>
    <t>926-04580</t>
  </si>
  <si>
    <t>4580</t>
  </si>
  <si>
    <t>EMPLOYEE PENSIONS AND BENEFITS-HEALTH/LI</t>
  </si>
  <si>
    <t>926-01505</t>
  </si>
  <si>
    <t>EMPLOYEE PENSIONS AND BENEFITS-OFFICE ST</t>
  </si>
  <si>
    <t>926-04540</t>
  </si>
  <si>
    <t>4540</t>
  </si>
  <si>
    <t>EMPLOYEE PENSIONS AND BENEFITS-COMPANY P</t>
  </si>
  <si>
    <t>926-01570</t>
  </si>
  <si>
    <t>EMPLOYEE PENSIONS AND BENEFITS-SAFETY EQ</t>
  </si>
  <si>
    <t>926-04560</t>
  </si>
  <si>
    <t>EMPLOYEE PENSIONS AND BENEFITS-DRUG &amp; AL</t>
  </si>
  <si>
    <t>32500</t>
  </si>
  <si>
    <t>TRIMET TICKET-TUIT R</t>
  </si>
  <si>
    <t>926-02200</t>
  </si>
  <si>
    <t>2200</t>
  </si>
  <si>
    <t>EMPLOYEE PENSIONS AND BENEFITS-EMPLOYEE</t>
  </si>
  <si>
    <t>926-04536</t>
  </si>
  <si>
    <t>EMPLOYEE PENSIONS AND BENEFITS-CAREER DE</t>
  </si>
  <si>
    <t>926-01672</t>
  </si>
  <si>
    <t>EMPLOYEE PENSIONS AND BENEFITS-LEADERSHI</t>
  </si>
  <si>
    <t>926-01560</t>
  </si>
  <si>
    <t>EMPLOYEE PENSIONS AND BENEFITS-SAF REPR</t>
  </si>
  <si>
    <t>926-01595</t>
  </si>
  <si>
    <t>EMPLOYEE PENSIONS AND BENEFITS-SAFETY SH</t>
  </si>
  <si>
    <t>926-01590</t>
  </si>
  <si>
    <t>EMPLOYEE PENSIONS AND BENEFITS-SAFETY SA</t>
  </si>
  <si>
    <t>926-01670</t>
  </si>
  <si>
    <t>EMPLOYEE PENSIONS AND BENEFITS-TRAINING</t>
  </si>
  <si>
    <t>926-04625</t>
  </si>
  <si>
    <t>4625</t>
  </si>
  <si>
    <t>EMPLOYEE PENSIONS AND BENEFITS-TUITION R</t>
  </si>
  <si>
    <t>35000</t>
  </si>
  <si>
    <t>DATA &amp; PROJ MGMT</t>
  </si>
  <si>
    <t>926-02593</t>
  </si>
  <si>
    <t>2593</t>
  </si>
  <si>
    <t>EMPLOYEE PENSIONS AND BENEFITS-TRIMET</t>
  </si>
  <si>
    <t>85370</t>
  </si>
  <si>
    <t>FAS 106 PST RET MEDC</t>
  </si>
  <si>
    <t>926-09910</t>
  </si>
  <si>
    <t>9910</t>
  </si>
  <si>
    <t>EPB - FAS106OPEB - NonService Components</t>
  </si>
  <si>
    <t>85380</t>
  </si>
  <si>
    <t>STOCK EXPENSE</t>
  </si>
  <si>
    <t>926-02101</t>
  </si>
  <si>
    <t>2101</t>
  </si>
  <si>
    <t>EMPLOYEE PENSIONS AND BENEFITS-COMMON ST</t>
  </si>
  <si>
    <t>85350</t>
  </si>
  <si>
    <t>FAS 87</t>
  </si>
  <si>
    <t>926-09920</t>
  </si>
  <si>
    <t>9920</t>
  </si>
  <si>
    <t>EPB - Pension-QP - NonService Components</t>
  </si>
  <si>
    <t>930-05000</t>
  </si>
  <si>
    <t>5000</t>
  </si>
  <si>
    <t>MISC GENERAL EXPENSE-STOCKHOLDER EXP</t>
  </si>
  <si>
    <t>930 Miscellaneous General Expense</t>
  </si>
  <si>
    <t>930-04320</t>
  </si>
  <si>
    <t>MISC GENERAL EXPENSE-DIRECTORS FEES &amp; EX</t>
  </si>
  <si>
    <t>930-02105</t>
  </si>
  <si>
    <t>2105</t>
  </si>
  <si>
    <t>MISC GENERAL EXPENSE-CORPORATE</t>
  </si>
  <si>
    <t>930-02065</t>
  </si>
  <si>
    <t>2065</t>
  </si>
  <si>
    <t>MISC GENERAL EXPENSE-BONDHOLDER EXP</t>
  </si>
  <si>
    <t>930-04290</t>
  </si>
  <si>
    <t>4290</t>
  </si>
  <si>
    <t>MISC GENERAL EXPENSE-ANNUAL MEETING</t>
  </si>
  <si>
    <t>12997</t>
  </si>
  <si>
    <t>RESEARCH &amp; DEVELOP</t>
  </si>
  <si>
    <t>931-01550</t>
  </si>
  <si>
    <t>RENTS-RENTS</t>
  </si>
  <si>
    <t>931 Rents</t>
  </si>
  <si>
    <t>931-05010</t>
  </si>
  <si>
    <t>5010</t>
  </si>
  <si>
    <t>RENTS-RADIO EQUIP MAINT</t>
  </si>
  <si>
    <t>931-01295</t>
  </si>
  <si>
    <t>RENTS-MAINTENANCE</t>
  </si>
  <si>
    <t>16150</t>
  </si>
  <si>
    <t>ALBANY - FACILITIES</t>
  </si>
  <si>
    <t>935-04363</t>
  </si>
  <si>
    <t>4363</t>
  </si>
  <si>
    <t>HQ Location Costs</t>
  </si>
  <si>
    <t>935 Maintenance of General Plant</t>
  </si>
  <si>
    <t>16130</t>
  </si>
  <si>
    <t>TUALATIN- FACILITIES</t>
  </si>
  <si>
    <t>935-01500</t>
  </si>
  <si>
    <t>MAINTENANCE OF GENERAL PLANT-OFFICE MAIN</t>
  </si>
  <si>
    <t>935-04385</t>
  </si>
  <si>
    <t>4385</t>
  </si>
  <si>
    <t>MAINTENANCE OF GENERAL PLANT-TUALATIN SV</t>
  </si>
  <si>
    <t>935-05010</t>
  </si>
  <si>
    <t>MAINTENANCE OF GENERAL PLANT-RADIO EQUIP</t>
  </si>
  <si>
    <t>935-04355</t>
  </si>
  <si>
    <t>4355</t>
  </si>
  <si>
    <t>MAINTENANCE OF GENERAL PLANT-MT SCOTT SV</t>
  </si>
  <si>
    <t>935-05105</t>
  </si>
  <si>
    <t>5105</t>
  </si>
  <si>
    <t>MAINTENANCE OF GENERAL PLANT-VEHICLE ACC</t>
  </si>
  <si>
    <t>935-04360</t>
  </si>
  <si>
    <t>4360</t>
  </si>
  <si>
    <t>MAINTENANCE OF GENERAL PLANT-ONE PAC SQ</t>
  </si>
  <si>
    <t>935-01045</t>
  </si>
  <si>
    <t>1045</t>
  </si>
  <si>
    <t>MAINTENANCE OF GENERAL PLANT-CNG MAINTEN</t>
  </si>
  <si>
    <t>935-01295</t>
  </si>
  <si>
    <t>MAINTENANCE OF GENERAL PLANT-MAINTENANCE</t>
  </si>
  <si>
    <t>935-01505</t>
  </si>
  <si>
    <t>MAINTENANCE OF GENERAL PLANT-OFFICE STAF</t>
  </si>
  <si>
    <t>935-05020</t>
  </si>
  <si>
    <t>MAINTENANCE OF GENERAL PLANT-A/V EQUIP</t>
  </si>
  <si>
    <t>16105</t>
  </si>
  <si>
    <t>MTSCOTT - FACILITIES</t>
  </si>
  <si>
    <t>16190</t>
  </si>
  <si>
    <t>COOS BAY - FACILITIE</t>
  </si>
  <si>
    <t>935-04380</t>
  </si>
  <si>
    <t>4380</t>
  </si>
  <si>
    <t>MAINTENANCE OF GENERAL PLANT-SUNSET SVCE</t>
  </si>
  <si>
    <t>16160</t>
  </si>
  <si>
    <t>EUGENE - FACILITIES</t>
  </si>
  <si>
    <t>16135</t>
  </si>
  <si>
    <t>SHERWOOD-FACILITIES</t>
  </si>
  <si>
    <t>935-05155</t>
  </si>
  <si>
    <t>5155</t>
  </si>
  <si>
    <t>MAINTENANCE OF GENERAL PLANT-DISTRIBUTIO</t>
  </si>
  <si>
    <t>935-01440</t>
  </si>
  <si>
    <t>MAINTENANCE OF GENERAL PLANT-MISC MEETIN</t>
  </si>
  <si>
    <t>935-01580</t>
  </si>
  <si>
    <t>MAINTENANCE OF GENERAL PLANT-SAFETY MEET</t>
  </si>
  <si>
    <t>935-05195</t>
  </si>
  <si>
    <t>5195</t>
  </si>
  <si>
    <t>MAINTENANCE OF GENERAL PLANT-PORTLAND LN</t>
  </si>
  <si>
    <t>935-05005</t>
  </si>
  <si>
    <t>5005</t>
  </si>
  <si>
    <t>MAINTENANCE OF GENERAL PLANT-MICROWAVE M</t>
  </si>
  <si>
    <t>935-04365</t>
  </si>
  <si>
    <t>4365</t>
  </si>
  <si>
    <t>MAINTENANCE OF GENERAL PLANT-PARKING BLO</t>
  </si>
  <si>
    <t>935-04345</t>
  </si>
  <si>
    <t>4345</t>
  </si>
  <si>
    <t>MAINTENANCE OF GENERAL PLANT-EXERCISE RO</t>
  </si>
  <si>
    <t>16165</t>
  </si>
  <si>
    <t>MIST - FACILITIES</t>
  </si>
  <si>
    <t>935-05200</t>
  </si>
  <si>
    <t>5200</t>
  </si>
  <si>
    <t>MAINTENANCE OF GENERAL PLANT-PURCHAS/STO</t>
  </si>
  <si>
    <t>16110</t>
  </si>
  <si>
    <t>ASTORIA - FACILITIES</t>
  </si>
  <si>
    <t>16180</t>
  </si>
  <si>
    <t>PDX LNG - FACILITIES</t>
  </si>
  <si>
    <t>16155</t>
  </si>
  <si>
    <t>CENTRAL - FACILITIES</t>
  </si>
  <si>
    <t>935-04370</t>
  </si>
  <si>
    <t>4370</t>
  </si>
  <si>
    <t>MAINTENANCE OF GENERAL PLANT-PARKROSE SV</t>
  </si>
  <si>
    <t>16120</t>
  </si>
  <si>
    <t>LINC CITY - FACILITI</t>
  </si>
  <si>
    <t>16139</t>
  </si>
  <si>
    <t>VANCOUVER - FACILITI</t>
  </si>
  <si>
    <t>935-05140</t>
  </si>
  <si>
    <t>5140</t>
  </si>
  <si>
    <t>MAINTENANCE OF GENERAL PLANT-CENTRAL SVC</t>
  </si>
  <si>
    <t>16140</t>
  </si>
  <si>
    <t>SALEM - FACILITIES</t>
  </si>
  <si>
    <t>935-05015</t>
  </si>
  <si>
    <t>MAINTENANCE OF GENERAL PLANT-TELECOM MAI</t>
  </si>
  <si>
    <t>15502</t>
  </si>
  <si>
    <t>LEGACY ENV. PROGRAM</t>
  </si>
  <si>
    <t>Firm Sales Volumes</t>
  </si>
  <si>
    <t>Employee Cost</t>
  </si>
  <si>
    <t>Direct-OR</t>
  </si>
  <si>
    <t>3-factor</t>
  </si>
  <si>
    <t>Sendout Volumes</t>
  </si>
  <si>
    <t>Perimeter</t>
  </si>
  <si>
    <t>DIRECT-OR</t>
  </si>
  <si>
    <t>sendout volumes</t>
  </si>
  <si>
    <t>Sales/Sendout Volumes</t>
  </si>
  <si>
    <t>SENDOUT VOLUMES</t>
  </si>
  <si>
    <t>Customers-All</t>
  </si>
  <si>
    <t>CUSTOMERS-ALL</t>
  </si>
  <si>
    <t>direct-wa</t>
  </si>
  <si>
    <t>telemetering</t>
  </si>
  <si>
    <t>Telemetering</t>
  </si>
  <si>
    <t>direct-OR</t>
  </si>
  <si>
    <t>customers-ind</t>
  </si>
  <si>
    <t>direct-or</t>
  </si>
  <si>
    <t>transmission</t>
  </si>
  <si>
    <t>Customers-Ind</t>
  </si>
  <si>
    <t>DIRECT-WA</t>
  </si>
  <si>
    <t>customers-all</t>
  </si>
  <si>
    <t>Customers-The Dalles</t>
  </si>
  <si>
    <t>3-FACTOR</t>
  </si>
  <si>
    <t>Customers-Res</t>
  </si>
  <si>
    <t>Customers-Comm</t>
  </si>
  <si>
    <t>sales volumes</t>
  </si>
  <si>
    <t>Customers-all</t>
  </si>
  <si>
    <t>CUSTOMERS-RES</t>
  </si>
  <si>
    <t>Sales Volumes</t>
  </si>
  <si>
    <t>regulatory</t>
  </si>
  <si>
    <t>Regulatory</t>
  </si>
  <si>
    <t>Admin Tran</t>
  </si>
  <si>
    <t>EMPLOYEE COST</t>
  </si>
  <si>
    <t>customers-the dalles</t>
  </si>
  <si>
    <t>NET WA Industrial Writeoffs</t>
  </si>
  <si>
    <t>Write-offs, 3-year average</t>
  </si>
  <si>
    <t>Industrial</t>
  </si>
  <si>
    <t>Unassigned</t>
  </si>
  <si>
    <t>912 Allocation Factor</t>
  </si>
  <si>
    <t>Total Customers</t>
  </si>
  <si>
    <t>908 Allocation Factor</t>
  </si>
  <si>
    <t>C:\Users\mac54192\OneDrive - Black &amp; Veatch\BV My Documents\NW Natural\Data from NW Natural\[Net Plant - Final.xlsx]Gross</t>
  </si>
  <si>
    <r>
      <t>From:</t>
    </r>
    <r>
      <rPr>
        <sz val="11"/>
        <color theme="1"/>
        <rFont val="Calibri"/>
        <family val="2"/>
        <scheme val="minor"/>
      </rPr>
      <t xml:space="preserve"> McVay, Kevin [mailto:ksm@nwnatural.com]</t>
    </r>
  </si>
  <si>
    <t>Wash Alloc</t>
  </si>
  <si>
    <r>
      <t>To:</t>
    </r>
    <r>
      <rPr>
        <sz val="11"/>
        <color theme="1"/>
        <rFont val="Calibri"/>
        <family val="2"/>
        <scheme val="minor"/>
      </rPr>
      <t xml:space="preserve"> Macias, Greg &lt;MaciasGE@bv.com&gt;; Robert.Wyman &lt;Robert.Wyman@nwnatural.com&gt;</t>
    </r>
  </si>
  <si>
    <r>
      <t>Cc:</t>
    </r>
    <r>
      <rPr>
        <sz val="11"/>
        <color theme="1"/>
        <rFont val="Calibri"/>
        <family val="2"/>
        <scheme val="minor"/>
      </rPr>
      <t xml:space="preserve"> Amen, Ron &lt;AmenRJ@bv.com&gt;; Robert.Wyman &lt;Robert.Wyman@nwnatural.com&gt;</t>
    </r>
  </si>
  <si>
    <r>
      <t>Subject:</t>
    </r>
    <r>
      <rPr>
        <sz val="11"/>
        <color theme="1"/>
        <rFont val="Calibri"/>
        <family val="2"/>
        <scheme val="minor"/>
      </rPr>
      <t xml:space="preserve"> RE: [External]RE: NWN Net Plant Data by FERC</t>
    </r>
  </si>
  <si>
    <t>RECIP TURBINE #1</t>
  </si>
  <si>
    <t>RECIP TURBINE #2</t>
  </si>
  <si>
    <t>GAS FIRE TURBINE #1</t>
  </si>
  <si>
    <t>GAS FIRE TURBINE #2</t>
  </si>
  <si>
    <t>GF Turb #2 '15 Rebuild</t>
  </si>
  <si>
    <t>MULTI-FAMILY METER ROOMS</t>
  </si>
  <si>
    <t>Total Gross Plant</t>
  </si>
  <si>
    <t>C:\Users\mac54192\OneDrive - Black &amp; Veatch\BV My Documents\NW Natural\Data from NW Natural\[Net Plant - Final.xlsx]Reserve</t>
  </si>
  <si>
    <t>Misc. Intangible Plant - CIS</t>
  </si>
  <si>
    <t>Misc. Intangible Plant - C&amp;I Bill</t>
  </si>
  <si>
    <t>Misc. Intangible Plant - CRMS</t>
  </si>
  <si>
    <t>Miscellaneous Equipment</t>
  </si>
  <si>
    <t>Computers</t>
  </si>
  <si>
    <t>COSS Account</t>
  </si>
  <si>
    <t>Communications Equipment</t>
  </si>
  <si>
    <t>Laboratory Equipment</t>
  </si>
  <si>
    <t>Stores Equipment</t>
  </si>
  <si>
    <t>Liquified Natural Gas Plant</t>
  </si>
  <si>
    <t>Gas Holders</t>
  </si>
  <si>
    <t>Liquefaction Equipment</t>
  </si>
  <si>
    <t>Vaporizing Equipment</t>
  </si>
  <si>
    <t>Measuring &amp; Regulating Equipment</t>
  </si>
  <si>
    <t>Compressor Equipment</t>
  </si>
  <si>
    <t>CNG Refueling Facilities</t>
  </si>
  <si>
    <t>LNG Refueling Facilities</t>
  </si>
  <si>
    <t>Storage Transmission Mains</t>
  </si>
  <si>
    <t>Purification Equipment</t>
  </si>
  <si>
    <t>Subtotal - LNG Plant</t>
  </si>
  <si>
    <t>Misc. Intangible Plant - Software</t>
  </si>
  <si>
    <t>C:\Users\mac54192\OneDrive - Black &amp; Veatch\BV My Documents\NW Natural\Data from NW Natural\[Depreciation Expense - Actual and Updated - Allocated.xlsx]New Rates</t>
  </si>
  <si>
    <t>Depreciation</t>
  </si>
  <si>
    <r>
      <t>Sent:</t>
    </r>
    <r>
      <rPr>
        <sz val="11"/>
        <color theme="1"/>
        <rFont val="Calibri"/>
        <family val="2"/>
        <scheme val="minor"/>
      </rPr>
      <t xml:space="preserve"> Monday, November 26, 2018 3:42 PM</t>
    </r>
  </si>
  <si>
    <t>Rate @ 11/1/18</t>
  </si>
  <si>
    <t>Expense</t>
  </si>
  <si>
    <t>370</t>
  </si>
  <si>
    <t>391.3</t>
  </si>
  <si>
    <t>391.4</t>
  </si>
  <si>
    <t>November 2018 Retirements to transition to amortization method per depreciation study</t>
  </si>
  <si>
    <t>Retirements</t>
  </si>
  <si>
    <t xml:space="preserve">   Total Depreciation Expense</t>
  </si>
  <si>
    <t xml:space="preserve">   Total Depreciation Expense - Washington Allocated</t>
  </si>
  <si>
    <t>1/</t>
  </si>
  <si>
    <t>1/  includes SMPE $33 mil adjustment ($858k)</t>
  </si>
  <si>
    <t>Expense with new rates - Allocated</t>
  </si>
  <si>
    <t>Actual</t>
  </si>
  <si>
    <t>Factor</t>
  </si>
  <si>
    <t>Cost Estimating Guide, Fixed Construction Costs</t>
  </si>
  <si>
    <t>Effective Date: 02/10/2017</t>
  </si>
  <si>
    <r>
      <t>Sent:</t>
    </r>
    <r>
      <rPr>
        <sz val="11"/>
        <color theme="1"/>
        <rFont val="Calibri"/>
        <family val="2"/>
        <scheme val="minor"/>
      </rPr>
      <t xml:space="preserve"> Tuesday, November 27, 2018 6:33 PM</t>
    </r>
  </si>
  <si>
    <t>Table 2: Costs for Residential, Commercial, and 2 psig Delivery Meter Sets</t>
  </si>
  <si>
    <r>
      <t>To:</t>
    </r>
    <r>
      <rPr>
        <sz val="11"/>
        <color theme="1"/>
        <rFont val="Calibri"/>
        <family val="2"/>
        <scheme val="minor"/>
      </rPr>
      <t xml:space="preserve"> Macias, Greg &lt;MaciasGE@bv.com&gt;</t>
    </r>
  </si>
  <si>
    <t>Drawing Number</t>
  </si>
  <si>
    <t>Nominal Meter Size</t>
  </si>
  <si>
    <t>Main Pressure</t>
  </si>
  <si>
    <t>Delivery Pressure (psig)</t>
  </si>
  <si>
    <t>Capacity (SCFH)</t>
  </si>
  <si>
    <t>Capacity (Therms)</t>
  </si>
  <si>
    <t>Assembly Cost (WO/COH ($)*</t>
  </si>
  <si>
    <t>250 METER SETS</t>
  </si>
  <si>
    <t xml:space="preserve">R01  </t>
  </si>
  <si>
    <t xml:space="preserve">R02  </t>
  </si>
  <si>
    <t xml:space="preserve">R03  </t>
  </si>
  <si>
    <t xml:space="preserve">C01  </t>
  </si>
  <si>
    <t xml:space="preserve">C03  </t>
  </si>
  <si>
    <t xml:space="preserve">I03  </t>
  </si>
  <si>
    <t xml:space="preserve">R27  </t>
  </si>
  <si>
    <t>C41SF</t>
  </si>
  <si>
    <t>C41TF</t>
  </si>
  <si>
    <t>I41SF</t>
  </si>
  <si>
    <t>I41TF</t>
  </si>
  <si>
    <t xml:space="preserve">C42  </t>
  </si>
  <si>
    <t>C42SF</t>
  </si>
  <si>
    <t xml:space="preserve">I42  </t>
  </si>
  <si>
    <t>I42SF</t>
  </si>
  <si>
    <t>C42SI</t>
  </si>
  <si>
    <t>I42SI</t>
  </si>
  <si>
    <t>C42TF</t>
  </si>
  <si>
    <t>I42TF</t>
  </si>
  <si>
    <t>C42TI</t>
  </si>
  <si>
    <t>I42TI</t>
  </si>
  <si>
    <t>I61T</t>
  </si>
  <si>
    <r>
      <t>Subject:</t>
    </r>
    <r>
      <rPr>
        <sz val="11"/>
        <color theme="1"/>
        <rFont val="Calibri"/>
        <family val="2"/>
        <scheme val="minor"/>
      </rPr>
      <t xml:space="preserve"> RE: [External]RE: COSS Data - Meter Pressure</t>
    </r>
  </si>
  <si>
    <t>D-03-46-A-1-13</t>
  </si>
  <si>
    <t>STANDARD</t>
  </si>
  <si>
    <t>D-03-46-A-2-15</t>
  </si>
  <si>
    <t>D-05-35-A-1-11</t>
  </si>
  <si>
    <t>250-RESIDENTIAL</t>
  </si>
  <si>
    <t>D-05-38-A-4</t>
  </si>
  <si>
    <t>250-COMMERCIAL</t>
  </si>
  <si>
    <t>STANDARD &amp; 2</t>
  </si>
  <si>
    <t>3M175</t>
  </si>
  <si>
    <t>250 ADD SET</t>
  </si>
  <si>
    <t>5M175</t>
  </si>
  <si>
    <t>630 METER SETS</t>
  </si>
  <si>
    <t>7M175</t>
  </si>
  <si>
    <t>D-05-37-A-5</t>
  </si>
  <si>
    <t>630-RESIDENTIAL</t>
  </si>
  <si>
    <t>8C175</t>
  </si>
  <si>
    <t>D-05-39-A-4</t>
  </si>
  <si>
    <t>630-COMMERCIAL</t>
  </si>
  <si>
    <t>11M175</t>
  </si>
  <si>
    <t>1000 METER SETS</t>
  </si>
  <si>
    <t>15C175</t>
  </si>
  <si>
    <t>D-05-47-A-6</t>
  </si>
  <si>
    <t>1000-RESIDENTIAL</t>
  </si>
  <si>
    <t>16M175</t>
  </si>
  <si>
    <t>D-05-46-A-9</t>
  </si>
  <si>
    <t>1000-COMMERCIAL</t>
  </si>
  <si>
    <t>23M232</t>
  </si>
  <si>
    <t>ROTARY METER SETS</t>
  </si>
  <si>
    <t>23M125</t>
  </si>
  <si>
    <t>D-05-52-A-3</t>
  </si>
  <si>
    <t>8C175TQM</t>
  </si>
  <si>
    <t>38M125</t>
  </si>
  <si>
    <t>D-05-54-B-6</t>
  </si>
  <si>
    <t>15C175TQM</t>
  </si>
  <si>
    <t>D-05-53-B-6</t>
  </si>
  <si>
    <t>3M175TQM</t>
  </si>
  <si>
    <t>D-05-48-B-5</t>
  </si>
  <si>
    <t>5M175TQM</t>
  </si>
  <si>
    <t>D-05-50-B-4</t>
  </si>
  <si>
    <t>D-05-49-B-5</t>
  </si>
  <si>
    <t>7M175TQM</t>
  </si>
  <si>
    <t>D-05-51-B-4</t>
  </si>
  <si>
    <t>*Grossed up to 2019 using forecasted IHS construction costs.</t>
  </si>
  <si>
    <t>D-05-61-B-3</t>
  </si>
  <si>
    <t>11M175TQM</t>
  </si>
  <si>
    <t>D-05-62-B-4</t>
  </si>
  <si>
    <t>SPECIALTY ASSEMBLIES</t>
  </si>
  <si>
    <t>D-05-40-A-5</t>
  </si>
  <si>
    <t>D-05-41-A-6</t>
  </si>
  <si>
    <t>Table 4: Costs for 5 psig (or Greater) Delivery Meter Sets</t>
  </si>
  <si>
    <t>D-07-68-B-20</t>
  </si>
  <si>
    <t>16M175TQM</t>
  </si>
  <si>
    <t>23M232TQM</t>
  </si>
  <si>
    <t>D-07-69-B-18</t>
  </si>
  <si>
    <t>FLOATING</t>
  </si>
  <si>
    <t>D-07-72-B-18</t>
  </si>
  <si>
    <t>D-07-73-B-17</t>
  </si>
  <si>
    <t>D-07-77-B-11</t>
  </si>
  <si>
    <t>D-07-80-B-12</t>
  </si>
  <si>
    <t>D-07-81-B-12</t>
  </si>
  <si>
    <t>D-07-82-B-12</t>
  </si>
  <si>
    <t>D-07-83-B-14</t>
  </si>
  <si>
    <t>D-07-84-B-17</t>
  </si>
  <si>
    <t>23M125TQM</t>
  </si>
  <si>
    <t>D-07-86-B-8</t>
  </si>
  <si>
    <t>38M125TQM</t>
  </si>
  <si>
    <t>Cost Trends of Gas Utility Construction: Pacific Region</t>
  </si>
  <si>
    <t>(TREND 024)</t>
  </si>
  <si>
    <t>Meters: JUGPDMT@PCF</t>
  </si>
  <si>
    <t>Percent Change</t>
  </si>
  <si>
    <t>Sch.  1</t>
  </si>
  <si>
    <t>Sch.  2</t>
  </si>
  <si>
    <t>Sch.  3</t>
  </si>
  <si>
    <t>Sch.  27</t>
  </si>
  <si>
    <t>Sch.  41</t>
  </si>
  <si>
    <t>Sch.  42</t>
  </si>
  <si>
    <t>Peak_Average</t>
  </si>
  <si>
    <t>Design_Day_exTrans</t>
  </si>
  <si>
    <t>Peak_Average&lt;4"</t>
  </si>
  <si>
    <t>Excluding Transportation</t>
  </si>
  <si>
    <t>Write-offs_904</t>
  </si>
  <si>
    <t>Service Investment Allocation Factor</t>
  </si>
  <si>
    <t>Market Segment (Cust Acq only)</t>
  </si>
  <si>
    <t>Average Cost (Test Year $'s)</t>
  </si>
  <si>
    <t>Average Length in ft</t>
  </si>
  <si>
    <t>Cost per Foot</t>
  </si>
  <si>
    <t>Res-SF</t>
  </si>
  <si>
    <t>Com</t>
  </si>
  <si>
    <t>Ind</t>
  </si>
  <si>
    <t>source file:  https://blackandveatch-my.sharepoint.com/personal/maciasge_bv_com/Documents/BV My Documents/NW Natural/Data from NW Natural/OR GRC UG 344 Final LRIC/[Main &amp; Service Line Costs.xlsx]Service Line Costs</t>
  </si>
  <si>
    <r>
      <t>Sent:</t>
    </r>
    <r>
      <rPr>
        <sz val="11"/>
        <color theme="1"/>
        <rFont val="Calibri"/>
        <family val="2"/>
        <scheme val="minor"/>
      </rPr>
      <t xml:space="preserve"> Monday, November 26, 2018 6:06 PM</t>
    </r>
  </si>
  <si>
    <r>
      <t>Subject:</t>
    </r>
    <r>
      <rPr>
        <sz val="11"/>
        <color theme="1"/>
        <rFont val="Calibri"/>
        <family val="2"/>
        <scheme val="minor"/>
      </rPr>
      <t xml:space="preserve"> RE: [External]Oregon LRIC workpaper request</t>
    </r>
  </si>
  <si>
    <t>TY Customer Average</t>
  </si>
  <si>
    <t>Washington Allocated Results</t>
  </si>
  <si>
    <t>Proposed</t>
  </si>
  <si>
    <t>Test Year at</t>
  </si>
  <si>
    <t>Results</t>
  </si>
  <si>
    <t>Adjustments</t>
  </si>
  <si>
    <t>Adjusted</t>
  </si>
  <si>
    <t>Increase</t>
  </si>
  <si>
    <t>Equity Return</t>
  </si>
  <si>
    <t>Operating Revenues</t>
  </si>
  <si>
    <t xml:space="preserve">   Sale of Gas                                                     </t>
  </si>
  <si>
    <t xml:space="preserve">   Transportation                                                </t>
  </si>
  <si>
    <t xml:space="preserve">   Miscellaneous Revenues</t>
  </si>
  <si>
    <t xml:space="preserve">      Total Operating Revenues</t>
  </si>
  <si>
    <t>Operating Revenue Deductions</t>
  </si>
  <si>
    <t xml:space="preserve">   Gas Purchased</t>
  </si>
  <si>
    <t xml:space="preserve">   Uncollectible Accrual for Gas Sales </t>
  </si>
  <si>
    <t xml:space="preserve">   Other Operating &amp; Maintenance Expenses   </t>
  </si>
  <si>
    <t xml:space="preserve">      Total Operating &amp; Maintenance Expense</t>
  </si>
  <si>
    <t xml:space="preserve">   Federal Income Tax</t>
  </si>
  <si>
    <t xml:space="preserve">   Property Taxes</t>
  </si>
  <si>
    <t xml:space="preserve">   Other Taxes</t>
  </si>
  <si>
    <t xml:space="preserve">   Depreciation &amp; Amortization</t>
  </si>
  <si>
    <t xml:space="preserve">      Total Operating Revenue Deductions</t>
  </si>
  <si>
    <t xml:space="preserve">        Net Operating Revenues</t>
  </si>
  <si>
    <t xml:space="preserve">      Total Rate Base</t>
  </si>
  <si>
    <t xml:space="preserve">   Rate of Return</t>
  </si>
  <si>
    <t xml:space="preserve">   Return on Common Equity</t>
  </si>
  <si>
    <t>Tax Check</t>
  </si>
  <si>
    <t>Pre-tax Net Income</t>
  </si>
  <si>
    <t>Interest on Rate Base</t>
  </si>
  <si>
    <t>Permanent Differences</t>
  </si>
  <si>
    <t>Earnings Before Tax</t>
  </si>
  <si>
    <t>Tax from Page 1</t>
  </si>
  <si>
    <t xml:space="preserve">   Variance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</si>
  <si>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</si>
  <si>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</si>
  <si>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</si>
  <si>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</si>
  <si>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</si>
  <si>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 xml:space="preserve">   Interest Coordination</t>
  </si>
  <si>
    <t xml:space="preserve">   Accumulated Deferred Income Taxes</t>
  </si>
  <si>
    <t xml:space="preserve">   Leasehold Improvements </t>
  </si>
  <si>
    <t xml:space="preserve">   Aid in Advance of Construction</t>
  </si>
  <si>
    <t xml:space="preserve">   Storage Gas</t>
  </si>
  <si>
    <t xml:space="preserve">      Net Utility Plant</t>
  </si>
  <si>
    <t xml:space="preserve">   Accumulated Depreciation</t>
  </si>
  <si>
    <t xml:space="preserve">   Utility Plant in Service</t>
  </si>
  <si>
    <t xml:space="preserve">      Net Operating Revenues</t>
  </si>
  <si>
    <t xml:space="preserve">   Other Operating &amp; Maintenance Expenses</t>
  </si>
  <si>
    <t xml:space="preserve">   Uncollectible Accrual</t>
  </si>
  <si>
    <t xml:space="preserve">   Transportation</t>
  </si>
  <si>
    <t xml:space="preserve">   Sale of Gas</t>
  </si>
  <si>
    <t>(t)</t>
  </si>
  <si>
    <t>(s)</t>
  </si>
  <si>
    <t>(r)</t>
  </si>
  <si>
    <t>(q)</t>
  </si>
  <si>
    <t>(p)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</si>
  <si>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</si>
  <si>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</si>
  <si>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</si>
  <si>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</si>
  <si>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</si>
  <si>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</si>
  <si>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</si>
  <si>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</si>
  <si>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</si>
  <si>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Adjustment</t>
  </si>
  <si>
    <t>&amp; Purchases</t>
  </si>
  <si>
    <t xml:space="preserve">Total </t>
  </si>
  <si>
    <t>Pro Forma</t>
  </si>
  <si>
    <t>Amortization</t>
  </si>
  <si>
    <t>Capital</t>
  </si>
  <si>
    <t>Overhead</t>
  </si>
  <si>
    <t>Restating</t>
  </si>
  <si>
    <t>Clearing</t>
  </si>
  <si>
    <t>Rate Case</t>
  </si>
  <si>
    <t>Claims</t>
  </si>
  <si>
    <t>Cust. Comm.</t>
  </si>
  <si>
    <t>Accounts</t>
  </si>
  <si>
    <t>Bonus</t>
  </si>
  <si>
    <t>Revenues</t>
  </si>
  <si>
    <t xml:space="preserve">Gas Sales </t>
  </si>
  <si>
    <t>EDIT</t>
  </si>
  <si>
    <t>Post Test Year</t>
  </si>
  <si>
    <t>Marketing and</t>
  </si>
  <si>
    <t>Working</t>
  </si>
  <si>
    <t>Uncollectible</t>
  </si>
  <si>
    <t>Misc</t>
  </si>
  <si>
    <t xml:space="preserve">Normalized </t>
  </si>
  <si>
    <t>Weather</t>
  </si>
  <si>
    <t>Page 2</t>
  </si>
  <si>
    <t>Total Margin</t>
  </si>
  <si>
    <t xml:space="preserve">  Total Cost of Gas</t>
  </si>
  <si>
    <t>Commodity and Demand Amortizations</t>
  </si>
  <si>
    <t>Commodity Charges (Net of Deferral)</t>
  </si>
  <si>
    <t>Demand Charges (Net of Deferral)</t>
  </si>
  <si>
    <t>Gas Costs</t>
  </si>
  <si>
    <t>Total Deliveries and Revenues</t>
  </si>
  <si>
    <t xml:space="preserve">   Total Transportation</t>
  </si>
  <si>
    <t>Special Contracts - Firm</t>
  </si>
  <si>
    <t>Firm</t>
  </si>
  <si>
    <t>Transportation Volumes and Revenues</t>
  </si>
  <si>
    <t>Unaccounted For Gas</t>
  </si>
  <si>
    <t>Unbilled amounts</t>
  </si>
  <si>
    <t xml:space="preserve">   Total Sales of Gas Revenues</t>
  </si>
  <si>
    <t>Sales Volumes and Revenues</t>
  </si>
  <si>
    <t>and Margin</t>
  </si>
  <si>
    <t>Price Per Therm</t>
  </si>
  <si>
    <t>Deliveries</t>
  </si>
  <si>
    <t>Average Class</t>
  </si>
  <si>
    <t>Therm</t>
  </si>
  <si>
    <t>Normalized</t>
  </si>
  <si>
    <t>Weather Normalized Gas Sales and Purchases Adjustment</t>
  </si>
  <si>
    <t>Worksheet a</t>
  </si>
  <si>
    <t>Allocation - 3-Factor</t>
  </si>
  <si>
    <t>nonrecurring - eliminate</t>
  </si>
  <si>
    <t>RENT FROM GAS PROPERTY-RENT - UTILITY PR</t>
  </si>
  <si>
    <t>Miscellaneous Revenues</t>
  </si>
  <si>
    <t>trend up - take last year</t>
  </si>
  <si>
    <t>Non-AMR Read Charge</t>
  </si>
  <si>
    <t>trend flat - take last year</t>
  </si>
  <si>
    <t>Non-AMR Install/Remove Charge</t>
  </si>
  <si>
    <t>trend down - take last year</t>
  </si>
  <si>
    <t>OTHER GAS REVENUES-CURTAILMENT UNAUTH TA</t>
  </si>
  <si>
    <t>no trend - 3 year average</t>
  </si>
  <si>
    <t>OTHER GAS REVENUES-PRIORITY SCHEDULING F</t>
  </si>
  <si>
    <t>OTHER GAS REVENUES-MULTIPLE CALL OUT FEE</t>
  </si>
  <si>
    <t>OTHER GAS REV-LNG SALES &amp; OTHER MISC REV</t>
  </si>
  <si>
    <t>OTHER GAS REVENUES-CNG METER RENTALS</t>
  </si>
  <si>
    <t>Subtotal</t>
  </si>
  <si>
    <t>OTHER GAS REVENUES-METER RENTALS</t>
  </si>
  <si>
    <t xml:space="preserve">   Total Miscellaneous Revenues</t>
  </si>
  <si>
    <t>See Below</t>
  </si>
  <si>
    <t>RENT FROM GAS PROP - Schedule H CNG Reve</t>
  </si>
  <si>
    <t>MISC SERVICE REVENUES-SUMMARY BILL SVCS</t>
  </si>
  <si>
    <t>MISC SERVICE REVENUES-RETURNED CHECK CHA</t>
  </si>
  <si>
    <t>MISC SERVICE REVENUES-SEAS RECONN FEE</t>
  </si>
  <si>
    <t>MISC SERVICE REVENUES-DELINQ RECONN FEE</t>
  </si>
  <si>
    <t>MISC SERVICE REVENUES-RECONN CHG-SEAS-DU</t>
  </si>
  <si>
    <t>MISC SERVICE REVENUES-RECONN CHG-SEAS-AF</t>
  </si>
  <si>
    <t>MISC SERVICE REVENUES-RECONN CHG-CR-DURI</t>
  </si>
  <si>
    <t>MISC SERVICE REVENUES-RECONN CHG-CR-AFTE</t>
  </si>
  <si>
    <t>MISC SERVICE REVENUES-GAS DIVERSIONS</t>
  </si>
  <si>
    <t>Returned Check</t>
  </si>
  <si>
    <t>MISC SERVICE REVENUES-FIELD COLLECTION C</t>
  </si>
  <si>
    <t>MISC SERVICE REVENUES-AUTOMATED PAYMENT</t>
  </si>
  <si>
    <t>MISC SERV REV- Unscheduled CNG Main Rev</t>
  </si>
  <si>
    <t>MISC SERV REV- Scheduled CNG Main Rev</t>
  </si>
  <si>
    <t>FORFEITED DISCOUNTS-LATE PAYMENT CHARGE</t>
  </si>
  <si>
    <t>Other Revenues</t>
  </si>
  <si>
    <t>Normal Method</t>
  </si>
  <si>
    <t>Normals</t>
  </si>
  <si>
    <t>TTM Sept 18</t>
  </si>
  <si>
    <t>TTM Sept 17</t>
  </si>
  <si>
    <t>TTM Sept 16</t>
  </si>
  <si>
    <t>Other Miscellaneous Revenues</t>
  </si>
  <si>
    <t>Test Year IS - System</t>
  </si>
  <si>
    <t>Split of Actuals</t>
  </si>
  <si>
    <t/>
  </si>
  <si>
    <t>WA GREAT, WA-LIEE</t>
  </si>
  <si>
    <t>DSM - Amortization</t>
  </si>
  <si>
    <t>Revenue &amp; Technical Adjustments</t>
  </si>
  <si>
    <t xml:space="preserve">No. </t>
  </si>
  <si>
    <t>Adjustments to Miscellaneous Revenues</t>
  </si>
  <si>
    <t>Worksheet b</t>
  </si>
  <si>
    <t>Forfeited Discounts</t>
  </si>
  <si>
    <t>Working Capital</t>
  </si>
  <si>
    <t>Misc. Intang. Plant - Com.-Ind. Billing</t>
  </si>
  <si>
    <t>UI Planner Preliminary September Board Forecast - Projects closing between October 2018 and June 2019</t>
  </si>
  <si>
    <t>C:\Users\mac54192\OneDrive - Black &amp; Veatch\BV My Documents\NW Natural\Data from NW Natural\[Post Test-Year Projects for WA Rate Case - Adjustment.xlsx]Projects</t>
  </si>
  <si>
    <r>
      <t>Sent:</t>
    </r>
    <r>
      <rPr>
        <sz val="11"/>
        <color theme="1"/>
        <rFont val="Calibri"/>
        <family val="2"/>
        <scheme val="minor"/>
      </rPr>
      <t xml:space="preserve"> Wednesday, November 28, 2018 5:02 PM</t>
    </r>
  </si>
  <si>
    <t>Capital Project</t>
  </si>
  <si>
    <t>Closed Plant Amount (Sept Board)</t>
  </si>
  <si>
    <t>Trailing Charges</t>
  </si>
  <si>
    <t>Total Charges</t>
  </si>
  <si>
    <t>Allocation Factor</t>
  </si>
  <si>
    <t>Allocation %</t>
  </si>
  <si>
    <t>Allocated Washington Amount</t>
  </si>
  <si>
    <t>FERC Account</t>
  </si>
  <si>
    <t>Project Allocation %</t>
  </si>
  <si>
    <t>Project Allocation $</t>
  </si>
  <si>
    <t>Depreciation Rate</t>
  </si>
  <si>
    <t xml:space="preserve">201609 Newport LNG Glycol Piping Replacement </t>
  </si>
  <si>
    <t>Firm Volume</t>
  </si>
  <si>
    <t>361.12 Structures &amp; Improvements</t>
  </si>
  <si>
    <t>363.22 Vaporizing Equip - Newport</t>
  </si>
  <si>
    <t>201632 Sherwood Testing Building</t>
  </si>
  <si>
    <t>390 Structures &amp; Improvements</t>
  </si>
  <si>
    <t>201674 Washougal Reinforcement</t>
  </si>
  <si>
    <t>Direct - WA</t>
  </si>
  <si>
    <t>367 Mains</t>
  </si>
  <si>
    <t>376.11 Mains &lt; 4"</t>
  </si>
  <si>
    <t>376.12 Mains 4" &amp; &gt;</t>
  </si>
  <si>
    <t>201850 Portland LNG Basin/Tank Containment - Environmental</t>
  </si>
  <si>
    <t>361.11 STRUCTURES &amp; IMPROVEMENTS</t>
  </si>
  <si>
    <t>362.11 GAS HOLDERS - LNG LINNTON</t>
  </si>
  <si>
    <t>363.11 LIQUEFACTION EQUIP. - LINN</t>
  </si>
  <si>
    <t>363.21 VAPORIZING EQUIP - LINNTON</t>
  </si>
  <si>
    <t>201813 Newport LNG Exchanger E-3 Replacment</t>
  </si>
  <si>
    <t>201815 Newport LNG Exchanger E-5 Replacement</t>
  </si>
  <si>
    <t xml:space="preserve">201693 NCS Tech Refresh </t>
  </si>
  <si>
    <t>397.2 Other Than Mobile Telemet</t>
  </si>
  <si>
    <t xml:space="preserve">201694 NCS Tech Refresh Microwave </t>
  </si>
  <si>
    <t>201471 ECM Implementation</t>
  </si>
  <si>
    <t>303.1 Computer Software</t>
  </si>
  <si>
    <t>391.2 Computers</t>
  </si>
  <si>
    <t>201245 Lacamas Regional Gate Station</t>
  </si>
  <si>
    <t>363.11 Liquifaction Equip - Linn</t>
  </si>
  <si>
    <t>201557 Eagle Wireless Upgrade Project</t>
  </si>
  <si>
    <t xml:space="preserve">201812 Mist Standby Generator </t>
  </si>
  <si>
    <t xml:space="preserve">201758 Mist Fiber Network </t>
  </si>
  <si>
    <t>Addition to Rate Base</t>
  </si>
  <si>
    <t>Addition to Depreciation Expense</t>
  </si>
  <si>
    <t>Post TY additions</t>
  </si>
  <si>
    <t>C:\Users\mac54192\OneDrive - Black &amp; Veatch\BV My Documents\NW Natural\[Meter Data_NWN for WA GRC_gm.xlsx]Meter Set Costs</t>
  </si>
  <si>
    <r>
      <t xml:space="preserve">Meter Costs by Rate Schedule - </t>
    </r>
    <r>
      <rPr>
        <b/>
        <sz val="16"/>
        <color rgb="FFFF0000"/>
        <rFont val="Calibri"/>
        <family val="2"/>
        <scheme val="minor"/>
      </rPr>
      <t>WA SCHEDULES*</t>
    </r>
  </si>
  <si>
    <r>
      <t xml:space="preserve">Average Cost per Meter Model by Rate Schedule - </t>
    </r>
    <r>
      <rPr>
        <b/>
        <sz val="16"/>
        <color rgb="FFFF0000"/>
        <rFont val="Calibri"/>
        <family val="2"/>
        <scheme val="minor"/>
      </rPr>
      <t>WA SCHEDULES - Inches WC and 2 psig delivery</t>
    </r>
  </si>
  <si>
    <r>
      <t xml:space="preserve">Average Cost per Meter Model by Rate Schedule - </t>
    </r>
    <r>
      <rPr>
        <b/>
        <sz val="16"/>
        <color rgb="FFFF0000"/>
        <rFont val="Calibri"/>
        <family val="2"/>
        <scheme val="minor"/>
      </rPr>
      <t>WA SCHEDULES - 5 psig (and up) delivery</t>
    </r>
  </si>
  <si>
    <r>
      <t xml:space="preserve">Average Cost per Meter Model by Rate Schedule - </t>
    </r>
    <r>
      <rPr>
        <b/>
        <sz val="16"/>
        <color rgb="FFFF0000"/>
        <rFont val="Calibri"/>
        <family val="2"/>
        <scheme val="minor"/>
      </rPr>
      <t>WA SCHEDULES - Floating delivery (system pressure)</t>
    </r>
  </si>
  <si>
    <r>
      <t xml:space="preserve">Meter Counts by Meter/Rate Schedule - </t>
    </r>
    <r>
      <rPr>
        <b/>
        <sz val="16"/>
        <color rgb="FFFF0000"/>
        <rFont val="Calibri"/>
        <family val="2"/>
        <scheme val="minor"/>
      </rPr>
      <t>INWC and 2 psig delivery pressure</t>
    </r>
  </si>
  <si>
    <t xml:space="preserve">I61T </t>
  </si>
  <si>
    <r>
      <t xml:space="preserve">Meter Counts by Meter/Rate Schedule - </t>
    </r>
    <r>
      <rPr>
        <b/>
        <sz val="16"/>
        <color rgb="FFFF0000"/>
        <rFont val="Calibri"/>
        <family val="2"/>
        <scheme val="minor"/>
      </rPr>
      <t>5 psig delivery pressure</t>
    </r>
  </si>
  <si>
    <t>Test Year Based on Twelve Months Ended September 30, 2018</t>
  </si>
  <si>
    <t>Director</t>
  </si>
  <si>
    <t>Holdco</t>
  </si>
  <si>
    <t>TY Throughput</t>
  </si>
  <si>
    <t>Line Loss @ 0.605872546962981%</t>
  </si>
  <si>
    <t>Sales &amp; Transportation Operating Margin</t>
  </si>
  <si>
    <t>Annual Costs by Cost Centers and Incremental O&amp;M Costs</t>
  </si>
  <si>
    <t>Total System Customers (Test Year)</t>
  </si>
  <si>
    <t>Total Annual Amounts</t>
  </si>
  <si>
    <t>Incremental Amount per Customer</t>
  </si>
  <si>
    <t>Gas Management (Scheduling)</t>
  </si>
  <si>
    <t>Annual Hours</t>
  </si>
  <si>
    <t>Average Rate Per Hour</t>
  </si>
  <si>
    <t>Labor Cost</t>
  </si>
  <si>
    <t>Gas Management (Planning)</t>
  </si>
  <si>
    <t xml:space="preserve">Data assumes a forecast period of Nov 2018-Oct 2019 </t>
  </si>
  <si>
    <t>Incremental Account Services Costs per Customer (billing, meter reading etc.)</t>
  </si>
  <si>
    <t>2016 $'s</t>
  </si>
  <si>
    <t>Test Year $'s</t>
  </si>
  <si>
    <t>Small Commercial &amp; Industrial</t>
  </si>
  <si>
    <t>Large Commercial &amp; Industrial</t>
  </si>
  <si>
    <t>Table A29</t>
  </si>
  <si>
    <t>Gas Customer Accounts; Customer Service and Information; Sales; and Administrative and General Expenses: Materials and Services</t>
  </si>
  <si>
    <t>(TREND 173)</t>
  </si>
  <si>
    <t>(2012=1.000)</t>
  </si>
  <si>
    <t>CUSTOMER ACCOUNTS</t>
  </si>
  <si>
    <t>Operation: JGCAOMS</t>
  </si>
  <si>
    <t>Supervision and Eng. 901: JS&amp;MS</t>
  </si>
  <si>
    <t>Meter Reading Exp. 902: JGCA902MS</t>
  </si>
  <si>
    <t>Cus. Records and Collections 903: JGCA903MS</t>
  </si>
  <si>
    <t>Miscellaneous 905: JGCA905MS</t>
  </si>
  <si>
    <t>WA Customers</t>
  </si>
  <si>
    <t>Cust-901,902,903 Allocator</t>
  </si>
  <si>
    <t>Small C&amp;I Customers</t>
  </si>
  <si>
    <t>Large C&amp;I Customers</t>
  </si>
  <si>
    <t>CUST-901_902_903</t>
  </si>
  <si>
    <t>EXCLUSION</t>
  </si>
  <si>
    <t>Sum of Washington</t>
  </si>
  <si>
    <t>Row Labels</t>
  </si>
  <si>
    <t>Grand Total</t>
  </si>
  <si>
    <t>Communications Equipment - ERTs</t>
  </si>
  <si>
    <t>J</t>
  </si>
  <si>
    <t>3-day Peak</t>
  </si>
  <si>
    <t>I03</t>
  </si>
  <si>
    <t>Day ahead</t>
  </si>
  <si>
    <t>Peak Day</t>
  </si>
  <si>
    <t>Day after</t>
  </si>
  <si>
    <t>3-day peak (average)</t>
  </si>
  <si>
    <t>Firm_Throughput</t>
  </si>
  <si>
    <t>Annual Total</t>
  </si>
  <si>
    <t>Load factor</t>
  </si>
  <si>
    <t>Amt to Exclude</t>
  </si>
  <si>
    <r>
      <t>Sent:</t>
    </r>
    <r>
      <rPr>
        <sz val="11"/>
        <color theme="1"/>
        <rFont val="Calibri"/>
        <family val="2"/>
        <scheme val="minor"/>
      </rPr>
      <t xml:space="preserve"> Tuesday, December 4, 2018 12:52 PM</t>
    </r>
  </si>
  <si>
    <r>
      <t>Subject:</t>
    </r>
    <r>
      <rPr>
        <sz val="11"/>
        <color theme="1"/>
        <rFont val="Calibri"/>
        <family val="2"/>
        <scheme val="minor"/>
      </rPr>
      <t xml:space="preserve"> Updated O&amp;M Allocation Files</t>
    </r>
  </si>
  <si>
    <t>C:\Users\mac54192\OneDrive - Black &amp; Veatch\BV My Documents\NW Natural\Data from NW Natural\[O&amp;M Labor Allocation by FERC TTM September 2018 O&amp;M_120418.xlsx]Allocation by FERC</t>
  </si>
  <si>
    <t>FERC</t>
  </si>
  <si>
    <t>LABOR</t>
  </si>
  <si>
    <t>NON-LABOR</t>
  </si>
  <si>
    <t>ALLOCATION</t>
  </si>
  <si>
    <t>Sum of Oregon</t>
  </si>
  <si>
    <t>Sum of System</t>
  </si>
  <si>
    <t>FTEs</t>
  </si>
  <si>
    <t>C:\Users\mac54192\OneDrive - Black &amp; Veatch\BV My Documents\NW Natural\Data from NW Natural\[O&amp;M Labor Allocation by FERC TTM September 2018 O&amp;M_120418.xlsx]Payroll Cost</t>
  </si>
  <si>
    <t>Amount</t>
  </si>
  <si>
    <t>Firm Sales &amp; Transport</t>
  </si>
  <si>
    <t>All</t>
  </si>
  <si>
    <t>Sch 41 and 42, 40% Transport, 60% Interruptible</t>
  </si>
  <si>
    <t>75% Firm Sales, 25% Transport &amp; Interruptible</t>
  </si>
  <si>
    <t>Allocation of Identified Gas Control, Gas Supply, Gas Mangement Costs</t>
  </si>
  <si>
    <t>Identified Amount</t>
  </si>
  <si>
    <t>Volumes</t>
  </si>
  <si>
    <t>Assignment</t>
  </si>
  <si>
    <t>(Gas Control)</t>
  </si>
  <si>
    <t>(Gas Accounting)</t>
  </si>
  <si>
    <t>(Mid Office)</t>
  </si>
  <si>
    <t>Firm Sales</t>
  </si>
  <si>
    <t>D-870</t>
  </si>
  <si>
    <t>D-903</t>
  </si>
  <si>
    <t>D-908</t>
  </si>
  <si>
    <t>D-921</t>
  </si>
  <si>
    <t>Winter_Throughput</t>
  </si>
  <si>
    <t>73% Sales, 27% Transport based on Cost Center 11150</t>
  </si>
  <si>
    <t>(Gas Acq)</t>
  </si>
  <si>
    <t>Revenue Credit</t>
  </si>
  <si>
    <t>SC_Revenue_Credit</t>
  </si>
  <si>
    <t>Transmission Mains</t>
  </si>
  <si>
    <t>Winter Throughput</t>
  </si>
  <si>
    <t>Winter 5 (incremental)</t>
  </si>
  <si>
    <t>Incremental_Winter_Sales</t>
  </si>
  <si>
    <t>Account</t>
  </si>
  <si>
    <t>D-820</t>
  </si>
  <si>
    <t>3-day Peak: 4-inch and greater</t>
  </si>
  <si>
    <t>4-inch or Greater Main</t>
  </si>
  <si>
    <t>Excluding load served from 4-inch and larger mains (&lt;4")</t>
  </si>
  <si>
    <t>Throughput for customers served from 4-inch and larger mains</t>
  </si>
  <si>
    <t>C&amp;I_Cust</t>
  </si>
  <si>
    <t>customers</t>
  </si>
  <si>
    <t>Customers</t>
  </si>
  <si>
    <t>C:\Users\mac54192\OneDrive - Black &amp; Veatch\BV My Documents\NW Natural\Data from NW Natural\[Rate Case Margin Model - WA - Final for Filing.xlsx]Monthly Margin</t>
  </si>
  <si>
    <t>C:\Users\mac54192\OneDrive - Black &amp; Veatch\BV My Documents\NW Natural\Data from NW Natural\[Rate Case Margin Model - WA - Final for Filing.xlsx]Total Revenue</t>
  </si>
  <si>
    <t>C:\Users\mac54192\OneDrive - Black &amp; Veatch\BV My Documents\NW Natural\Data from NW Natural\[Rate Case Margin Model - WA - Final for Filing.xlsx]Volumes</t>
  </si>
  <si>
    <t>C:\Users\mac54192\OneDrive - Black &amp; Veatch\BV My Documents\NW Natural\Data from NW Natural\[Rate Case Margin Model - WA - Final for Filing.xlsx]Customers</t>
  </si>
  <si>
    <r>
      <t>Sent:</t>
    </r>
    <r>
      <rPr>
        <sz val="11"/>
        <color theme="1"/>
        <rFont val="Calibri"/>
        <family val="2"/>
        <scheme val="minor"/>
      </rPr>
      <t xml:space="preserve"> Friday, December 14, 2018 12:43 PM</t>
    </r>
  </si>
  <si>
    <r>
      <t>Subject:</t>
    </r>
    <r>
      <rPr>
        <sz val="11"/>
        <color theme="1"/>
        <rFont val="Calibri"/>
        <family val="2"/>
        <scheme val="minor"/>
      </rPr>
      <t xml:space="preserve"> FINAL Revenue Requirement Models</t>
    </r>
  </si>
  <si>
    <r>
      <t>Importance:</t>
    </r>
    <r>
      <rPr>
        <sz val="11"/>
        <color theme="1"/>
        <rFont val="Calibri"/>
        <family val="2"/>
        <scheme val="minor"/>
      </rPr>
      <t xml:space="preserve"> High</t>
    </r>
  </si>
  <si>
    <t>C:\Users\mac54192\OneDrive - Black &amp; Veatch\BV My Documents\NW Natural\Data from NW Natural\[2018 Rate Case Model - Final.xlsx]Rev Req</t>
  </si>
  <si>
    <t>Tax Calculated (include Tax Credits)</t>
  </si>
  <si>
    <t>C:\Users\mac54192\OneDrive - Black &amp; Veatch\BV My Documents\NW Natural\Data from NW Natural\[2018 Rate Case Model - Final.xlsx]AMA Rate Base</t>
  </si>
  <si>
    <t>Gas Reserves for System are included in rate base to match Oregon contribution to System revenues</t>
  </si>
  <si>
    <t>C:\Users\mac54192\OneDrive - Black &amp; Veatch\BV My Documents\NW Natural\Data from NW Natural\[2018 Rate Case Model - Final.xlsx]O&amp;M</t>
  </si>
  <si>
    <t>Percent of Total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</si>
  <si>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</si>
  <si>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</si>
  <si>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</si>
  <si>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C:\Users\mac54192\OneDrive - Black &amp; Veatch\BV My Documents\NW Natural\Data from NW Natural\[2018 Rate Case Model - Final.xlsx]Adjust Issues</t>
  </si>
  <si>
    <t>C:\Users\mac54192\OneDrive - Black &amp; Veatch\BV My Documents\NW Natural\Data from NW Natural\[2018 Rate Case Model - Final.xlsx]Revenue &amp; Gas Cost</t>
  </si>
  <si>
    <t>Actuals from  Revenue by Rate Schedule Report Test Year</t>
  </si>
  <si>
    <t>Normalized from Rate Case Margin Model - WA - Working</t>
  </si>
  <si>
    <t>from master state allocation - TME 9-30-18</t>
  </si>
  <si>
    <t>C:\Users\mac54192\OneDrive - Black &amp; Veatch\BV My Documents\NW Natural\Data from NW Natural\[2018 Rate Case Model - Final.xlsx]Misc Rev Adjs</t>
  </si>
  <si>
    <t>per Income Statement</t>
  </si>
  <si>
    <t>C:\Users\mac54192\OneDrive - Black &amp; Veatch\BV My Documents\NW Natural\Data from NW Natural\[2018 Rate Case Model - Final.xlsx]WP - Other Rev &amp; Tax</t>
  </si>
  <si>
    <r>
      <t>Subject:</t>
    </r>
    <r>
      <rPr>
        <sz val="11"/>
        <color theme="1"/>
        <rFont val="Calibri"/>
        <family val="2"/>
        <scheme val="minor"/>
      </rPr>
      <t xml:space="preserve"> 2018 Rate Case Model - Final.xlsx</t>
    </r>
  </si>
  <si>
    <t>Adjustments to Test Period</t>
  </si>
  <si>
    <r>
      <t>Sent:</t>
    </r>
    <r>
      <rPr>
        <sz val="11"/>
        <color theme="1"/>
        <rFont val="Calibri"/>
        <family val="2"/>
        <scheme val="minor"/>
      </rPr>
      <t xml:space="preserve"> Tuesday, December 18, 2018 5:44 PM</t>
    </r>
  </si>
  <si>
    <t>Washington Jurisdictional Rate Case</t>
  </si>
  <si>
    <t>Test Year Twelve Months Ended September 30, 2018</t>
  </si>
  <si>
    <t>Normalized Test Year Revenue and Gas Costs</t>
  </si>
  <si>
    <t>Demand Charges</t>
  </si>
  <si>
    <t>Commodity Charges</t>
  </si>
  <si>
    <r>
      <t>Meter Counts by Meter/Rate Schedule -</t>
    </r>
    <r>
      <rPr>
        <b/>
        <sz val="16"/>
        <color rgb="FFFF0000"/>
        <rFont val="Calibri"/>
        <family val="2"/>
        <scheme val="minor"/>
      </rPr>
      <t xml:space="preserve"> Floating delivery pressure</t>
    </r>
  </si>
  <si>
    <t>12 Months Ended September 30, 2018</t>
  </si>
  <si>
    <t>UG-181053-NWN-RJA-WP1-1-4-2019</t>
  </si>
  <si>
    <t>Cost of Service Study Model Inputs</t>
  </si>
  <si>
    <r>
      <rPr>
        <b/>
        <u/>
        <sz val="10"/>
        <rFont val="Tahoma"/>
        <family val="2"/>
      </rPr>
      <t>NOTE</t>
    </r>
    <r>
      <rPr>
        <b/>
        <sz val="10"/>
        <rFont val="Tahoma"/>
        <family val="2"/>
      </rPr>
      <t>:</t>
    </r>
  </si>
  <si>
    <t>These inputs are sourced largely from other files</t>
  </si>
  <si>
    <t>and workpapers. See each individual tab for</t>
  </si>
  <si>
    <t>notes regarding data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</si>
</sst>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[$-409]mmm\-yy;@"/>
    <numFmt numFmtId="167" formatCode="_-* #,##0.00\ _D_M_-;\-* #,##0.00\ _D_M_-;_-* &quot;-&quot;??\ _D_M_-;_-@_-"/>
    <numFmt numFmtId="168" formatCode="#,##0.0_);\(#,##0.0\)"/>
    <numFmt numFmtId="169" formatCode="&quot;$&quot;#,##0.00000_);\(&quot;$&quot;#,##0.00000\)"/>
    <numFmt numFmtId="170" formatCode="&quot;$&quot;#,##0.00"/>
    <numFmt numFmtId="171" formatCode="_(&quot;$&quot;* #,##0_);_(&quot;$&quot;* \(#,##0\);_(&quot;$&quot;* &quot;-&quot;??_);_(@_)"/>
    <numFmt numFmtId="172" formatCode="0.0%"/>
    <numFmt numFmtId="173" formatCode="_(* #,##0.0000_);_(* \(#,##0.0000\);_(* &quot;-&quot;??_);_(@_)"/>
    <numFmt numFmtId="174" formatCode="0.0"/>
    <numFmt numFmtId="175" formatCode="0.000%"/>
    <numFmt numFmtId="176" formatCode="#,##0.00000"/>
    <numFmt numFmtId="177" formatCode="General_)"/>
    <numFmt numFmtId="178" formatCode="0.00000"/>
    <numFmt numFmtId="179" formatCode="#,##0.000000"/>
    <numFmt numFmtId="180" formatCode="&quot;$&quot;#,##0.0_);\(&quot;$&quot;#,##0.0\)"/>
    <numFmt numFmtId="181" formatCode="0.000"/>
    <numFmt numFmtId="182" formatCode="0.00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10"/>
      <color theme="0" tint="-0.499984740745262"/>
      <name val="Tahoma"/>
      <family val="2"/>
    </font>
    <font>
      <i/>
      <sz val="10"/>
      <color theme="0" tint="-0.499984740745262"/>
      <name val="Tahoma"/>
      <family val="2"/>
    </font>
    <font>
      <sz val="10"/>
      <color theme="2"/>
      <name val="Tahoma"/>
      <family val="2"/>
    </font>
    <font>
      <sz val="10"/>
      <name val="Arial"/>
      <family val="2"/>
    </font>
    <font>
      <sz val="10"/>
      <color indexed="12"/>
      <name val="Tahoma"/>
      <family val="2"/>
    </font>
    <font>
      <sz val="12"/>
      <name val="Tahoma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i/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color theme="3"/>
      <name val="Tahoma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u/>
      <sz val="10"/>
      <name val="Tahoma"/>
      <family val="2"/>
    </font>
    <font>
      <sz val="9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top"/>
    </xf>
    <xf numFmtId="0" fontId="10" fillId="0" borderId="0">
      <alignment vertical="top"/>
    </xf>
    <xf numFmtId="3" fontId="10" fillId="0" borderId="0" applyFont="0" applyFill="0" applyBorder="0" applyAlignment="0" applyProtection="0">
      <alignment vertical="top"/>
    </xf>
    <xf numFmtId="4" fontId="10" fillId="0" borderId="0" applyFont="0" applyFill="0" applyBorder="0" applyAlignment="0" applyProtection="0">
      <alignment vertical="top"/>
    </xf>
    <xf numFmtId="10" fontId="10" fillId="0" borderId="0" applyFont="0" applyFill="0" applyBorder="0" applyAlignment="0" applyProtection="0">
      <alignment vertical="top"/>
    </xf>
    <xf numFmtId="10" fontId="10" fillId="0" borderId="0" applyFont="0" applyFill="0" applyBorder="0" applyAlignment="0" applyProtection="0">
      <alignment vertical="top"/>
    </xf>
    <xf numFmtId="0" fontId="4" fillId="0" borderId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4" fillId="0" borderId="0"/>
    <xf numFmtId="0" fontId="4" fillId="0" borderId="0">
      <alignment vertical="top"/>
    </xf>
    <xf numFmtId="0" fontId="4" fillId="0" borderId="0"/>
    <xf numFmtId="0" fontId="43" fillId="0" borderId="0">
      <alignment vertical="top"/>
    </xf>
    <xf numFmtId="10" fontId="4" fillId="0" borderId="0" applyFont="0" applyFill="0" applyBorder="0" applyAlignment="0" applyProtection="0">
      <alignment vertical="top"/>
    </xf>
    <xf numFmtId="4" fontId="4" fillId="0" borderId="0" applyFont="0" applyFill="0" applyBorder="0" applyAlignment="0" applyProtection="0">
      <alignment vertical="top"/>
    </xf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1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11" fillId="0" borderId="0"/>
    <xf numFmtId="0" fontId="4" fillId="0" borderId="0"/>
    <xf numFmtId="0" fontId="47" fillId="0" borderId="0"/>
    <xf numFmtId="0" fontId="11" fillId="0" borderId="0"/>
    <xf numFmtId="0" fontId="1" fillId="0" borderId="0"/>
  </cellStyleXfs>
  <cellXfs count="699">
    <xf numFmtId="0" fontId="0" fillId="0" borderId="0" xfId="0"/>
    <xf numFmtId="3" fontId="6" fillId="0" borderId="0" xfId="2" applyNumberFormat="1" applyFont="1" applyFill="1" applyBorder="1">
      <alignment vertical="top"/>
    </xf>
    <xf numFmtId="3" fontId="6" fillId="0" borderId="0" xfId="2" applyNumberFormat="1" applyFont="1">
      <alignment vertical="top"/>
    </xf>
    <xf numFmtId="3" fontId="5" fillId="0" borderId="0" xfId="2" applyNumberFormat="1" applyFont="1" applyFill="1" applyBorder="1">
      <alignment vertical="top"/>
    </xf>
    <xf numFmtId="164" fontId="0" fillId="0" borderId="0" xfId="1" applyNumberFormat="1" applyFont="1"/>
    <xf numFmtId="0" fontId="2" fillId="0" borderId="0" xfId="0" applyFont="1"/>
    <xf numFmtId="164" fontId="8" fillId="0" borderId="0" xfId="1" applyNumberFormat="1" applyFont="1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6" xfId="0" applyNumberFormat="1" applyFont="1" applyBorder="1" applyAlignment="1">
      <alignment horizontal="center" wrapText="1"/>
    </xf>
    <xf numFmtId="16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8" applyFont="1" applyFill="1"/>
    <xf numFmtId="37" fontId="11" fillId="0" borderId="0" xfId="10" applyNumberFormat="1" applyFont="1" applyFill="1"/>
    <xf numFmtId="164" fontId="11" fillId="0" borderId="0" xfId="10" applyNumberFormat="1" applyFont="1" applyFill="1"/>
    <xf numFmtId="0" fontId="16" fillId="0" borderId="0" xfId="10" applyNumberFormat="1" applyFont="1" applyFill="1" applyAlignment="1"/>
    <xf numFmtId="0" fontId="16" fillId="0" borderId="0" xfId="10" applyNumberFormat="1" applyFont="1" applyFill="1"/>
    <xf numFmtId="37" fontId="11" fillId="0" borderId="1" xfId="10" applyNumberFormat="1" applyFont="1" applyFill="1" applyBorder="1"/>
    <xf numFmtId="37" fontId="4" fillId="0" borderId="0" xfId="10" applyNumberFormat="1"/>
    <xf numFmtId="0" fontId="16" fillId="0" borderId="0" xfId="10" applyNumberFormat="1" applyFont="1" applyFill="1" applyAlignment="1">
      <alignment horizontal="left" indent="2"/>
    </xf>
    <xf numFmtId="37" fontId="11" fillId="0" borderId="0" xfId="10" applyNumberFormat="1" applyFont="1" applyFill="1" applyBorder="1"/>
    <xf numFmtId="37" fontId="4" fillId="0" borderId="1" xfId="10" applyNumberFormat="1" applyBorder="1"/>
    <xf numFmtId="37" fontId="16" fillId="0" borderId="0" xfId="10" applyNumberFormat="1" applyFont="1" applyFill="1"/>
    <xf numFmtId="0" fontId="11" fillId="0" borderId="0" xfId="10" applyNumberFormat="1" applyFont="1" applyFill="1"/>
    <xf numFmtId="0" fontId="15" fillId="0" borderId="0" xfId="10" applyNumberFormat="1" applyFont="1" applyFill="1"/>
    <xf numFmtId="0" fontId="17" fillId="0" borderId="6" xfId="10" applyNumberFormat="1" applyFont="1" applyFill="1" applyBorder="1"/>
    <xf numFmtId="0" fontId="17" fillId="0" borderId="6" xfId="10" applyNumberFormat="1" applyFont="1" applyFill="1" applyBorder="1" applyAlignment="1"/>
    <xf numFmtId="37" fontId="4" fillId="0" borderId="0" xfId="10" applyNumberFormat="1" applyBorder="1"/>
    <xf numFmtId="37" fontId="16" fillId="0" borderId="0" xfId="10" applyNumberFormat="1" applyFont="1" applyFill="1" applyAlignment="1"/>
    <xf numFmtId="37" fontId="11" fillId="0" borderId="0" xfId="8" applyNumberFormat="1" applyFont="1" applyFill="1" applyBorder="1"/>
    <xf numFmtId="168" fontId="15" fillId="0" borderId="0" xfId="10" applyNumberFormat="1" applyFont="1" applyFill="1"/>
    <xf numFmtId="168" fontId="16" fillId="0" borderId="0" xfId="10" applyNumberFormat="1" applyFont="1" applyFill="1" applyAlignment="1"/>
    <xf numFmtId="168" fontId="11" fillId="0" borderId="0" xfId="10" applyNumberFormat="1" applyFont="1" applyFill="1"/>
    <xf numFmtId="37" fontId="11" fillId="0" borderId="1" xfId="8" applyNumberFormat="1" applyFont="1" applyFill="1" applyBorder="1"/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1" fillId="0" borderId="0" xfId="10" applyNumberFormat="1" applyFont="1" applyFill="1" applyBorder="1"/>
    <xf numFmtId="164" fontId="11" fillId="0" borderId="13" xfId="10" applyNumberFormat="1" applyFont="1" applyFill="1" applyBorder="1"/>
    <xf numFmtId="164" fontId="11" fillId="0" borderId="14" xfId="10" applyNumberFormat="1" applyFont="1" applyFill="1" applyBorder="1"/>
    <xf numFmtId="37" fontId="11" fillId="0" borderId="13" xfId="10" applyNumberFormat="1" applyFont="1" applyFill="1" applyBorder="1"/>
    <xf numFmtId="37" fontId="11" fillId="0" borderId="14" xfId="10" applyNumberFormat="1" applyFont="1" applyFill="1" applyBorder="1"/>
    <xf numFmtId="37" fontId="11" fillId="0" borderId="9" xfId="10" applyNumberFormat="1" applyFont="1" applyFill="1" applyBorder="1"/>
    <xf numFmtId="164" fontId="11" fillId="0" borderId="11" xfId="10" applyNumberFormat="1" applyFont="1" applyFill="1" applyBorder="1"/>
    <xf numFmtId="0" fontId="21" fillId="0" borderId="0" xfId="8" applyFont="1" applyFill="1"/>
    <xf numFmtId="0" fontId="11" fillId="0" borderId="0" xfId="8" applyFont="1" applyFill="1" applyBorder="1"/>
    <xf numFmtId="0" fontId="11" fillId="0" borderId="14" xfId="8" applyFont="1" applyFill="1" applyBorder="1"/>
    <xf numFmtId="0" fontId="11" fillId="0" borderId="13" xfId="8" applyFont="1" applyFill="1" applyBorder="1"/>
    <xf numFmtId="0" fontId="11" fillId="0" borderId="1" xfId="8" applyFont="1" applyFill="1" applyBorder="1"/>
    <xf numFmtId="37" fontId="11" fillId="0" borderId="11" xfId="10" applyNumberFormat="1" applyFont="1" applyFill="1" applyBorder="1"/>
    <xf numFmtId="0" fontId="21" fillId="0" borderId="6" xfId="8" applyFont="1" applyFill="1" applyBorder="1"/>
    <xf numFmtId="0" fontId="21" fillId="0" borderId="12" xfId="8" applyFont="1" applyFill="1" applyBorder="1"/>
    <xf numFmtId="37" fontId="16" fillId="0" borderId="13" xfId="10" applyNumberFormat="1" applyFont="1" applyFill="1" applyBorder="1"/>
    <xf numFmtId="1" fontId="11" fillId="0" borderId="0" xfId="8" applyNumberFormat="1" applyFont="1" applyFill="1" applyBorder="1"/>
    <xf numFmtId="0" fontId="20" fillId="0" borderId="0" xfId="8" applyFont="1" applyFill="1"/>
    <xf numFmtId="37" fontId="11" fillId="0" borderId="3" xfId="10" applyNumberFormat="1" applyFont="1" applyFill="1" applyBorder="1"/>
    <xf numFmtId="0" fontId="11" fillId="0" borderId="3" xfId="8" applyFont="1" applyFill="1" applyBorder="1"/>
    <xf numFmtId="0" fontId="8" fillId="0" borderId="0" xfId="0" applyFont="1"/>
    <xf numFmtId="37" fontId="8" fillId="0" borderId="0" xfId="0" applyNumberFormat="1" applyFont="1"/>
    <xf numFmtId="37" fontId="16" fillId="0" borderId="7" xfId="10" applyNumberFormat="1" applyFont="1" applyFill="1" applyBorder="1"/>
    <xf numFmtId="0" fontId="11" fillId="0" borderId="9" xfId="8" applyFont="1" applyFill="1" applyBorder="1"/>
    <xf numFmtId="0" fontId="11" fillId="4" borderId="0" xfId="8" applyFont="1" applyFill="1"/>
    <xf numFmtId="0" fontId="16" fillId="4" borderId="0" xfId="8" applyFont="1" applyFill="1" applyAlignment="1">
      <alignment horizontal="center"/>
    </xf>
    <xf numFmtId="37" fontId="11" fillId="4" borderId="0" xfId="10" applyNumberFormat="1" applyFont="1" applyFill="1"/>
    <xf numFmtId="37" fontId="11" fillId="4" borderId="0" xfId="10" applyNumberFormat="1" applyFont="1" applyFill="1" applyBorder="1"/>
    <xf numFmtId="1" fontId="19" fillId="0" borderId="0" xfId="8" applyNumberFormat="1" applyFont="1" applyFill="1"/>
    <xf numFmtId="0" fontId="11" fillId="0" borderId="0" xfId="12" applyFont="1" applyFill="1"/>
    <xf numFmtId="37" fontId="11" fillId="0" borderId="0" xfId="10" quotePrefix="1" applyNumberFormat="1" applyFont="1" applyFill="1" applyBorder="1"/>
    <xf numFmtId="37" fontId="11" fillId="0" borderId="0" xfId="10" quotePrefix="1" applyNumberFormat="1" applyFont="1" applyFill="1" applyAlignment="1"/>
    <xf numFmtId="169" fontId="23" fillId="0" borderId="0" xfId="10" applyNumberFormat="1" applyFont="1" applyFill="1" applyBorder="1" applyAlignment="1"/>
    <xf numFmtId="37" fontId="11" fillId="0" borderId="1" xfId="10" quotePrefix="1" applyNumberFormat="1" applyFont="1" applyFill="1" applyBorder="1" applyAlignment="1"/>
    <xf numFmtId="170" fontId="24" fillId="0" borderId="0" xfId="10" applyNumberFormat="1" applyFont="1" applyFill="1" applyBorder="1" applyAlignment="1"/>
    <xf numFmtId="170" fontId="11" fillId="0" borderId="0" xfId="10" applyNumberFormat="1" applyFont="1" applyFill="1" applyBorder="1" applyAlignment="1"/>
    <xf numFmtId="0" fontId="15" fillId="0" borderId="0" xfId="10" applyNumberFormat="1" applyFont="1" applyFill="1" applyBorder="1"/>
    <xf numFmtId="0" fontId="16" fillId="0" borderId="0" xfId="10" applyNumberFormat="1" applyFont="1" applyFill="1" applyBorder="1" applyAlignment="1"/>
    <xf numFmtId="168" fontId="15" fillId="0" borderId="0" xfId="10" applyNumberFormat="1" applyFont="1" applyFill="1" applyBorder="1"/>
    <xf numFmtId="168" fontId="16" fillId="0" borderId="0" xfId="10" applyNumberFormat="1" applyFont="1" applyFill="1" applyBorder="1" applyAlignment="1"/>
    <xf numFmtId="37" fontId="11" fillId="0" borderId="0" xfId="10" quotePrefix="1" applyNumberFormat="1" applyFont="1" applyFill="1"/>
    <xf numFmtId="169" fontId="23" fillId="0" borderId="0" xfId="10" applyNumberFormat="1" applyFont="1" applyFill="1" applyAlignment="1"/>
    <xf numFmtId="37" fontId="23" fillId="0" borderId="0" xfId="10" applyNumberFormat="1" applyFont="1" applyFill="1" applyAlignment="1"/>
    <xf numFmtId="170" fontId="24" fillId="0" borderId="6" xfId="10" applyNumberFormat="1" applyFont="1" applyFill="1" applyBorder="1" applyAlignment="1"/>
    <xf numFmtId="170" fontId="11" fillId="0" borderId="0" xfId="10" applyNumberFormat="1" applyFont="1" applyFill="1" applyAlignment="1"/>
    <xf numFmtId="0" fontId="0" fillId="0" borderId="0" xfId="0" applyAlignment="1">
      <alignment horizontal="center"/>
    </xf>
    <xf numFmtId="49" fontId="25" fillId="0" borderId="1" xfId="0" applyNumberFormat="1" applyFont="1" applyFill="1" applyBorder="1" applyAlignment="1">
      <alignment horizontal="left" wrapText="1"/>
    </xf>
    <xf numFmtId="44" fontId="25" fillId="0" borderId="1" xfId="1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26" fillId="0" borderId="0" xfId="0" applyFont="1" applyFill="1" applyAlignment="1">
      <alignment horizontal="left"/>
    </xf>
    <xf numFmtId="44" fontId="27" fillId="0" borderId="0" xfId="11" applyFont="1" applyFill="1" applyBorder="1" applyAlignment="1">
      <alignment horizontal="left" vertical="center" wrapText="1"/>
    </xf>
    <xf numFmtId="49" fontId="27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right"/>
    </xf>
    <xf numFmtId="164" fontId="11" fillId="0" borderId="6" xfId="10" applyNumberFormat="1" applyFont="1" applyFill="1" applyBorder="1"/>
    <xf numFmtId="171" fontId="0" fillId="0" borderId="0" xfId="0" applyNumberFormat="1"/>
    <xf numFmtId="171" fontId="20" fillId="0" borderId="0" xfId="11" applyNumberFormat="1" applyFont="1" applyFill="1" applyBorder="1"/>
    <xf numFmtId="0" fontId="0" fillId="0" borderId="0" xfId="0" applyAlignment="1">
      <alignment horizontal="right"/>
    </xf>
    <xf numFmtId="0" fontId="3" fillId="0" borderId="11" xfId="0" applyFont="1" applyBorder="1"/>
    <xf numFmtId="171" fontId="11" fillId="0" borderId="6" xfId="11" applyNumberFormat="1" applyFont="1" applyFill="1" applyBorder="1"/>
    <xf numFmtId="171" fontId="11" fillId="0" borderId="12" xfId="11" applyNumberFormat="1" applyFont="1" applyFill="1" applyBorder="1"/>
    <xf numFmtId="0" fontId="0" fillId="0" borderId="13" xfId="0" applyBorder="1"/>
    <xf numFmtId="171" fontId="0" fillId="0" borderId="0" xfId="11" applyNumberFormat="1" applyFont="1" applyBorder="1"/>
    <xf numFmtId="0" fontId="0" fillId="0" borderId="0" xfId="0" applyBorder="1"/>
    <xf numFmtId="0" fontId="0" fillId="0" borderId="14" xfId="0" applyBorder="1"/>
    <xf numFmtId="0" fontId="0" fillId="0" borderId="9" xfId="0" applyBorder="1"/>
    <xf numFmtId="164" fontId="0" fillId="0" borderId="1" xfId="1" applyNumberFormat="1" applyFont="1" applyFill="1" applyBorder="1"/>
    <xf numFmtId="0" fontId="29" fillId="0" borderId="0" xfId="0" applyFont="1"/>
    <xf numFmtId="0" fontId="29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5" borderId="0" xfId="0" applyFill="1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43" fontId="0" fillId="0" borderId="0" xfId="1" applyFont="1" applyAlignment="1">
      <alignment wrapText="1"/>
    </xf>
    <xf numFmtId="43" fontId="0" fillId="0" borderId="0" xfId="0" applyNumberFormat="1" applyAlignment="1">
      <alignment wrapText="1"/>
    </xf>
    <xf numFmtId="0" fontId="0" fillId="0" borderId="0" xfId="0" quotePrefix="1" applyAlignment="1">
      <alignment horizontal="center"/>
    </xf>
    <xf numFmtId="37" fontId="0" fillId="0" borderId="0" xfId="0" applyNumberFormat="1"/>
    <xf numFmtId="0" fontId="3" fillId="5" borderId="0" xfId="0" applyFont="1" applyFill="1"/>
    <xf numFmtId="173" fontId="0" fillId="0" borderId="0" xfId="1" applyNumberFormat="1" applyFont="1"/>
    <xf numFmtId="173" fontId="0" fillId="0" borderId="0" xfId="0" applyNumberFormat="1" applyAlignment="1">
      <alignment wrapText="1"/>
    </xf>
    <xf numFmtId="0" fontId="12" fillId="0" borderId="11" xfId="0" applyFont="1" applyBorder="1" applyAlignment="1">
      <alignment horizontal="center"/>
    </xf>
    <xf numFmtId="164" fontId="0" fillId="0" borderId="9" xfId="1" applyNumberFormat="1" applyFont="1" applyBorder="1"/>
    <xf numFmtId="164" fontId="0" fillId="0" borderId="1" xfId="1" applyNumberFormat="1" applyFont="1" applyBorder="1"/>
    <xf numFmtId="164" fontId="0" fillId="0" borderId="10" xfId="1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Fill="1" applyBorder="1"/>
    <xf numFmtId="9" fontId="6" fillId="0" borderId="0" xfId="9" applyFont="1" applyFill="1"/>
    <xf numFmtId="0" fontId="0" fillId="0" borderId="0" xfId="0" applyFill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71" fontId="0" fillId="0" borderId="0" xfId="11" applyNumberFormat="1" applyFont="1" applyFill="1"/>
    <xf numFmtId="171" fontId="0" fillId="0" borderId="0" xfId="0" applyNumberFormat="1" applyFill="1"/>
    <xf numFmtId="171" fontId="0" fillId="0" borderId="19" xfId="0" applyNumberFormat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171" fontId="0" fillId="0" borderId="15" xfId="0" applyNumberFormat="1" applyBorder="1" applyAlignment="1">
      <alignment horizontal="center"/>
    </xf>
    <xf numFmtId="0" fontId="0" fillId="0" borderId="0" xfId="0" applyFont="1" applyAlignment="1">
      <alignment horizontal="right"/>
    </xf>
    <xf numFmtId="171" fontId="0" fillId="0" borderId="0" xfId="11" applyNumberFormat="1" applyFont="1"/>
    <xf numFmtId="0" fontId="35" fillId="0" borderId="0" xfId="0" applyFont="1" applyAlignment="1">
      <alignment vertical="center"/>
    </xf>
    <xf numFmtId="164" fontId="25" fillId="0" borderId="1" xfId="1" applyNumberFormat="1" applyFont="1" applyFill="1" applyBorder="1" applyAlignment="1">
      <alignment horizontal="center" wrapText="1"/>
    </xf>
    <xf numFmtId="164" fontId="27" fillId="0" borderId="0" xfId="1" applyNumberFormat="1" applyFont="1" applyFill="1" applyBorder="1" applyAlignment="1">
      <alignment horizontal="left" vertical="center" wrapText="1"/>
    </xf>
    <xf numFmtId="172" fontId="27" fillId="0" borderId="0" xfId="9" applyNumberFormat="1" applyFont="1" applyFill="1" applyBorder="1" applyAlignment="1">
      <alignment horizontal="center" vertical="center" wrapText="1"/>
    </xf>
    <xf numFmtId="171" fontId="26" fillId="0" borderId="0" xfId="11" applyNumberFormat="1" applyFont="1" applyFill="1" applyBorder="1"/>
    <xf numFmtId="44" fontId="26" fillId="0" borderId="0" xfId="0" applyNumberFormat="1" applyFont="1" applyFill="1" applyBorder="1"/>
    <xf numFmtId="0" fontId="26" fillId="0" borderId="0" xfId="0" applyFont="1" applyFill="1" applyBorder="1"/>
    <xf numFmtId="44" fontId="36" fillId="0" borderId="0" xfId="11" applyFont="1" applyFill="1" applyBorder="1" applyAlignment="1">
      <alignment horizontal="left" vertical="center" wrapText="1"/>
    </xf>
    <xf numFmtId="0" fontId="36" fillId="0" borderId="0" xfId="0" applyFont="1" applyFill="1" applyBorder="1"/>
    <xf numFmtId="0" fontId="6" fillId="0" borderId="0" xfId="0" applyFont="1" applyFill="1" applyBorder="1"/>
    <xf numFmtId="0" fontId="0" fillId="7" borderId="0" xfId="0" applyFill="1"/>
    <xf numFmtId="164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0" applyNumberFormat="1" applyFill="1"/>
    <xf numFmtId="164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37" fillId="0" borderId="0" xfId="0" applyNumberFormat="1" applyFont="1" applyFill="1"/>
    <xf numFmtId="0" fontId="6" fillId="0" borderId="0" xfId="0" applyFont="1" applyFill="1"/>
    <xf numFmtId="0" fontId="3" fillId="0" borderId="1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 applyBorder="1"/>
    <xf numFmtId="164" fontId="0" fillId="0" borderId="1" xfId="0" applyNumberFormat="1" applyBorder="1"/>
    <xf numFmtId="0" fontId="3" fillId="0" borderId="0" xfId="0" applyFont="1" applyAlignment="1">
      <alignment horizontal="left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0" fontId="0" fillId="0" borderId="0" xfId="9" applyNumberFormat="1" applyFont="1" applyAlignment="1">
      <alignment horizontal="center"/>
    </xf>
    <xf numFmtId="3" fontId="4" fillId="0" borderId="0" xfId="14" applyNumberFormat="1" applyFont="1" applyAlignment="1">
      <alignment horizontal="center" vertical="center"/>
    </xf>
    <xf numFmtId="3" fontId="4" fillId="0" borderId="0" xfId="14" applyNumberFormat="1" applyFont="1" applyFill="1" applyAlignment="1">
      <alignment horizontal="center" vertical="center"/>
    </xf>
    <xf numFmtId="0" fontId="3" fillId="0" borderId="0" xfId="0" quotePrefix="1" applyFont="1" applyFill="1" applyAlignment="1">
      <alignment horizontal="left"/>
    </xf>
    <xf numFmtId="164" fontId="0" fillId="0" borderId="0" xfId="1" applyNumberFormat="1" applyFont="1" applyFill="1"/>
    <xf numFmtId="43" fontId="0" fillId="0" borderId="0" xfId="0" applyNumberFormat="1"/>
    <xf numFmtId="164" fontId="0" fillId="3" borderId="0" xfId="1" applyNumberFormat="1" applyFont="1" applyFill="1"/>
    <xf numFmtId="0" fontId="37" fillId="0" borderId="0" xfId="0" applyFont="1"/>
    <xf numFmtId="0" fontId="38" fillId="0" borderId="0" xfId="0" applyFont="1"/>
    <xf numFmtId="0" fontId="3" fillId="0" borderId="0" xfId="0" applyFont="1" applyAlignment="1">
      <alignment horizontal="center" wrapText="1"/>
    </xf>
    <xf numFmtId="0" fontId="33" fillId="0" borderId="0" xfId="0" applyFont="1" applyAlignment="1">
      <alignment horizontal="left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left"/>
    </xf>
    <xf numFmtId="171" fontId="0" fillId="0" borderId="24" xfId="11" applyNumberFormat="1" applyFont="1" applyBorder="1" applyAlignment="1">
      <alignment horizontal="center"/>
    </xf>
    <xf numFmtId="171" fontId="0" fillId="0" borderId="24" xfId="11" applyNumberFormat="1" applyFont="1" applyBorder="1"/>
    <xf numFmtId="171" fontId="0" fillId="0" borderId="25" xfId="11" applyNumberFormat="1" applyFont="1" applyBorder="1"/>
    <xf numFmtId="171" fontId="0" fillId="0" borderId="12" xfId="11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171" fontId="0" fillId="0" borderId="27" xfId="11" applyNumberFormat="1" applyFont="1" applyBorder="1" applyAlignment="1">
      <alignment horizontal="left"/>
    </xf>
    <xf numFmtId="171" fontId="0" fillId="0" borderId="28" xfId="11" applyNumberFormat="1" applyFont="1" applyBorder="1" applyAlignment="1">
      <alignment horizontal="center"/>
    </xf>
    <xf numFmtId="171" fontId="0" fillId="0" borderId="28" xfId="11" applyNumberFormat="1" applyFont="1" applyBorder="1"/>
    <xf numFmtId="171" fontId="0" fillId="0" borderId="29" xfId="11" applyNumberFormat="1" applyFont="1" applyBorder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left"/>
    </xf>
    <xf numFmtId="171" fontId="0" fillId="0" borderId="26" xfId="0" applyNumberFormat="1" applyBorder="1"/>
    <xf numFmtId="0" fontId="2" fillId="0" borderId="0" xfId="0" applyFont="1" applyBorder="1" applyAlignment="1">
      <alignment horizontal="left"/>
    </xf>
    <xf numFmtId="171" fontId="0" fillId="0" borderId="0" xfId="0" applyNumberFormat="1" applyBorder="1"/>
    <xf numFmtId="49" fontId="40" fillId="0" borderId="7" xfId="15" applyNumberFormat="1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8" xfId="0" applyBorder="1"/>
    <xf numFmtId="49" fontId="40" fillId="0" borderId="13" xfId="15" applyNumberFormat="1" applyFont="1" applyBorder="1"/>
    <xf numFmtId="174" fontId="36" fillId="0" borderId="13" xfId="15" applyNumberFormat="1" applyFont="1" applyBorder="1" applyAlignment="1">
      <alignment horizontal="left" indent="3"/>
    </xf>
    <xf numFmtId="174" fontId="36" fillId="0" borderId="24" xfId="15" applyNumberFormat="1" applyFont="1" applyFill="1" applyBorder="1"/>
    <xf numFmtId="174" fontId="36" fillId="0" borderId="9" xfId="15" applyNumberFormat="1" applyFont="1" applyBorder="1" applyAlignment="1">
      <alignment horizontal="left" indent="4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0" xfId="0" applyBorder="1"/>
    <xf numFmtId="0" fontId="6" fillId="0" borderId="13" xfId="0" applyFont="1" applyBorder="1"/>
    <xf numFmtId="0" fontId="0" fillId="0" borderId="11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41" fillId="9" borderId="24" xfId="0" applyFont="1" applyFill="1" applyBorder="1" applyAlignment="1">
      <alignment horizontal="center" wrapText="1"/>
    </xf>
    <xf numFmtId="0" fontId="4" fillId="0" borderId="0" xfId="0" applyFont="1" applyFill="1" applyBorder="1"/>
    <xf numFmtId="44" fontId="0" fillId="0" borderId="0" xfId="11" applyFont="1"/>
    <xf numFmtId="164" fontId="0" fillId="0" borderId="6" xfId="1" applyNumberFormat="1" applyFont="1" applyBorder="1"/>
    <xf numFmtId="164" fontId="0" fillId="0" borderId="12" xfId="1" applyNumberFormat="1" applyFont="1" applyBorder="1"/>
    <xf numFmtId="0" fontId="3" fillId="0" borderId="13" xfId="0" applyFont="1" applyBorder="1"/>
    <xf numFmtId="164" fontId="42" fillId="0" borderId="0" xfId="10" applyNumberFormat="1" applyFont="1" applyFill="1" applyBorder="1"/>
    <xf numFmtId="164" fontId="42" fillId="0" borderId="14" xfId="10" applyNumberFormat="1" applyFont="1" applyFill="1" applyBorder="1"/>
    <xf numFmtId="37" fontId="42" fillId="0" borderId="0" xfId="10" applyNumberFormat="1" applyFont="1" applyFill="1" applyBorder="1"/>
    <xf numFmtId="37" fontId="42" fillId="0" borderId="14" xfId="10" applyNumberFormat="1" applyFont="1" applyFill="1" applyBorder="1"/>
    <xf numFmtId="9" fontId="0" fillId="0" borderId="0" xfId="9" applyFont="1"/>
    <xf numFmtId="9" fontId="37" fillId="0" borderId="0" xfId="9" applyFont="1"/>
    <xf numFmtId="10" fontId="6" fillId="0" borderId="0" xfId="17" applyFont="1">
      <alignment vertical="top"/>
    </xf>
    <xf numFmtId="175" fontId="6" fillId="0" borderId="0" xfId="17" applyNumberFormat="1" applyFont="1">
      <alignment vertical="top"/>
    </xf>
    <xf numFmtId="37" fontId="6" fillId="0" borderId="0" xfId="18" applyNumberFormat="1" applyFont="1">
      <alignment vertical="top"/>
    </xf>
    <xf numFmtId="37" fontId="6" fillId="0" borderId="0" xfId="19" applyNumberFormat="1" applyFont="1">
      <alignment vertical="top"/>
    </xf>
    <xf numFmtId="37" fontId="6" fillId="0" borderId="1" xfId="18" applyNumberFormat="1" applyFont="1" applyBorder="1">
      <alignment vertical="top"/>
    </xf>
    <xf numFmtId="37" fontId="6" fillId="0" borderId="1" xfId="19" applyNumberFormat="1" applyFont="1" applyBorder="1">
      <alignment vertical="top"/>
    </xf>
    <xf numFmtId="5" fontId="6" fillId="0" borderId="5" xfId="20" applyFont="1" applyBorder="1">
      <alignment vertical="top"/>
    </xf>
    <xf numFmtId="5" fontId="6" fillId="0" borderId="0" xfId="20" applyFont="1">
      <alignment vertical="top"/>
    </xf>
    <xf numFmtId="3" fontId="5" fillId="0" borderId="0" xfId="18" applyNumberFormat="1" applyFont="1">
      <alignment vertical="top"/>
    </xf>
    <xf numFmtId="3" fontId="6" fillId="0" borderId="0" xfId="2" applyNumberFormat="1" applyFont="1" applyAlignment="1">
      <alignment horizontal="center" vertical="top"/>
    </xf>
    <xf numFmtId="3" fontId="5" fillId="0" borderId="0" xfId="2" applyNumberFormat="1" applyFont="1">
      <alignment vertical="top"/>
    </xf>
    <xf numFmtId="3" fontId="6" fillId="0" borderId="0" xfId="2" applyNumberFormat="1" applyFont="1" applyBorder="1">
      <alignment vertical="top"/>
    </xf>
    <xf numFmtId="3" fontId="6" fillId="0" borderId="0" xfId="2" applyNumberFormat="1" applyFont="1" applyFill="1">
      <alignment vertical="top"/>
    </xf>
    <xf numFmtId="37" fontId="6" fillId="0" borderId="0" xfId="18" applyNumberFormat="1" applyFont="1" applyFill="1" applyBorder="1">
      <alignment vertical="top"/>
    </xf>
    <xf numFmtId="37" fontId="6" fillId="0" borderId="0" xfId="18" applyNumberFormat="1" applyFont="1" applyFill="1">
      <alignment vertical="top"/>
    </xf>
    <xf numFmtId="41" fontId="6" fillId="0" borderId="5" xfId="19" applyNumberFormat="1" applyFont="1" applyBorder="1">
      <alignment vertical="top"/>
    </xf>
    <xf numFmtId="41" fontId="6" fillId="0" borderId="5" xfId="19" applyNumberFormat="1" applyFont="1" applyFill="1" applyBorder="1">
      <alignment vertical="top"/>
    </xf>
    <xf numFmtId="3" fontId="5" fillId="0" borderId="0" xfId="19" applyFont="1" applyBorder="1">
      <alignment vertical="top"/>
    </xf>
    <xf numFmtId="3" fontId="5" fillId="0" borderId="0" xfId="19" quotePrefix="1" applyFont="1" applyAlignment="1">
      <alignment horizontal="left" vertical="top"/>
    </xf>
    <xf numFmtId="41" fontId="6" fillId="0" borderId="0" xfId="19" applyNumberFormat="1" applyFont="1" applyFill="1" applyBorder="1">
      <alignment vertical="top"/>
    </xf>
    <xf numFmtId="3" fontId="5" fillId="0" borderId="0" xfId="19" applyFont="1">
      <alignment vertical="top"/>
    </xf>
    <xf numFmtId="3" fontId="5" fillId="0" borderId="0" xfId="19" applyFont="1" applyFill="1" applyBorder="1">
      <alignment vertical="top"/>
    </xf>
    <xf numFmtId="3" fontId="5" fillId="0" borderId="0" xfId="19" applyFont="1" applyFill="1">
      <alignment vertical="top"/>
    </xf>
    <xf numFmtId="41" fontId="6" fillId="0" borderId="1" xfId="19" applyNumberFormat="1" applyFont="1" applyFill="1" applyBorder="1">
      <alignment vertical="top"/>
    </xf>
    <xf numFmtId="41" fontId="6" fillId="0" borderId="0" xfId="19" quotePrefix="1" applyNumberFormat="1" applyFont="1" applyFill="1" applyBorder="1">
      <alignment vertical="top"/>
    </xf>
    <xf numFmtId="3" fontId="5" fillId="0" borderId="0" xfId="19" applyFont="1" applyFill="1" applyBorder="1" applyAlignment="1">
      <alignment horizontal="center" vertical="top"/>
    </xf>
    <xf numFmtId="41" fontId="5" fillId="0" borderId="0" xfId="19" applyNumberFormat="1" applyFont="1" applyFill="1" applyBorder="1" applyAlignment="1">
      <alignment horizontal="center" vertical="top"/>
    </xf>
    <xf numFmtId="43" fontId="6" fillId="0" borderId="0" xfId="19" applyNumberFormat="1" applyFont="1" applyFill="1" applyBorder="1">
      <alignment vertical="top"/>
    </xf>
    <xf numFmtId="10" fontId="6" fillId="0" borderId="0" xfId="17" applyFont="1" applyAlignment="1">
      <alignment horizontal="center" vertical="top"/>
    </xf>
    <xf numFmtId="37" fontId="6" fillId="0" borderId="1" xfId="18" applyNumberFormat="1" applyFont="1" applyFill="1" applyBorder="1">
      <alignment vertical="top"/>
    </xf>
    <xf numFmtId="3" fontId="6" fillId="0" borderId="0" xfId="18" applyNumberFormat="1" applyFont="1" applyFill="1" applyBorder="1">
      <alignment vertical="top"/>
    </xf>
    <xf numFmtId="3" fontId="6" fillId="0" borderId="1" xfId="18" applyNumberFormat="1" applyFont="1" applyFill="1" applyBorder="1">
      <alignment vertical="top"/>
    </xf>
    <xf numFmtId="3" fontId="5" fillId="0" borderId="0" xfId="18" applyNumberFormat="1" applyFont="1" applyFill="1">
      <alignment vertical="top"/>
    </xf>
    <xf numFmtId="37" fontId="6" fillId="0" borderId="0" xfId="21" applyNumberFormat="1" applyFont="1">
      <alignment vertical="top"/>
    </xf>
    <xf numFmtId="3" fontId="6" fillId="0" borderId="0" xfId="18" applyNumberFormat="1" applyFont="1" applyAlignment="1">
      <alignment horizontal="center" vertical="top"/>
    </xf>
    <xf numFmtId="3" fontId="5" fillId="0" borderId="0" xfId="18" applyNumberFormat="1" applyFont="1" applyAlignment="1">
      <alignment horizontal="left" vertical="top" indent="1"/>
    </xf>
    <xf numFmtId="37" fontId="6" fillId="0" borderId="1" xfId="18" applyNumberFormat="1" applyFont="1" applyFill="1" applyBorder="1" applyAlignment="1">
      <alignment horizontal="right" vertical="top"/>
    </xf>
    <xf numFmtId="37" fontId="6" fillId="0" borderId="0" xfId="18" applyNumberFormat="1" applyFont="1" applyFill="1" applyAlignment="1">
      <alignment horizontal="right" vertical="top"/>
    </xf>
    <xf numFmtId="3" fontId="6" fillId="0" borderId="0" xfId="18" applyNumberFormat="1" applyFont="1" applyFill="1" applyAlignment="1">
      <alignment horizontal="center" vertical="top"/>
    </xf>
    <xf numFmtId="37" fontId="6" fillId="0" borderId="0" xfId="18" applyNumberFormat="1" applyFont="1" applyAlignment="1">
      <alignment horizontal="right" vertical="top"/>
    </xf>
    <xf numFmtId="3" fontId="5" fillId="0" borderId="0" xfId="18" applyNumberFormat="1" applyFont="1" applyAlignment="1">
      <alignment horizontal="center" vertical="top"/>
    </xf>
    <xf numFmtId="3" fontId="5" fillId="0" borderId="1" xfId="18" applyNumberFormat="1" applyFont="1" applyBorder="1" applyAlignment="1">
      <alignment horizontal="center" vertical="top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5" fontId="6" fillId="0" borderId="5" xfId="22" applyNumberFormat="1" applyFont="1" applyFill="1" applyBorder="1" applyAlignment="1">
      <alignment vertical="center"/>
    </xf>
    <xf numFmtId="5" fontId="6" fillId="0" borderId="0" xfId="22" applyNumberFormat="1" applyFont="1" applyFill="1" applyAlignment="1" applyProtection="1">
      <alignment horizontal="center" vertical="center"/>
    </xf>
    <xf numFmtId="176" fontId="6" fillId="0" borderId="0" xfId="18" applyNumberFormat="1" applyFont="1" applyFill="1" applyBorder="1" applyAlignment="1">
      <alignment horizontal="center" vertical="center"/>
    </xf>
    <xf numFmtId="5" fontId="6" fillId="0" borderId="0" xfId="22" applyNumberFormat="1" applyFont="1" applyFill="1" applyBorder="1" applyAlignment="1" applyProtection="1">
      <alignment horizontal="right" vertical="center"/>
    </xf>
    <xf numFmtId="3" fontId="6" fillId="0" borderId="0" xfId="18" applyNumberFormat="1" applyFont="1" applyFill="1" applyBorder="1" applyAlignment="1" applyProtection="1">
      <alignment horizontal="right" vertical="center"/>
    </xf>
    <xf numFmtId="176" fontId="6" fillId="0" borderId="0" xfId="18" applyNumberFormat="1" applyFont="1" applyFill="1" applyAlignment="1">
      <alignment horizontal="center" vertical="center"/>
    </xf>
    <xf numFmtId="176" fontId="6" fillId="0" borderId="0" xfId="18" applyNumberFormat="1" applyFont="1" applyFill="1" applyBorder="1" applyAlignment="1" applyProtection="1">
      <alignment horizontal="center" vertical="center"/>
    </xf>
    <xf numFmtId="5" fontId="6" fillId="0" borderId="0" xfId="22" applyNumberFormat="1" applyFont="1" applyFill="1" applyBorder="1" applyAlignment="1">
      <alignment vertical="center"/>
    </xf>
    <xf numFmtId="5" fontId="6" fillId="0" borderId="0" xfId="23" applyNumberFormat="1" applyFont="1" applyFill="1" applyAlignment="1" applyProtection="1">
      <alignment vertical="center"/>
    </xf>
    <xf numFmtId="37" fontId="6" fillId="0" borderId="0" xfId="23" applyNumberFormat="1" applyFont="1" applyFill="1" applyAlignment="1" applyProtection="1">
      <alignment vertical="center"/>
    </xf>
    <xf numFmtId="176" fontId="6" fillId="0" borderId="0" xfId="18" applyNumberFormat="1" applyFont="1" applyFill="1" applyAlignment="1">
      <alignment horizontal="center" vertical="top"/>
    </xf>
    <xf numFmtId="176" fontId="6" fillId="0" borderId="0" xfId="18" applyNumberFormat="1" applyFont="1" applyFill="1" applyBorder="1" applyAlignment="1">
      <alignment horizontal="center" vertical="top"/>
    </xf>
    <xf numFmtId="0" fontId="5" fillId="0" borderId="0" xfId="23" applyFont="1" applyAlignment="1">
      <alignment vertical="center"/>
    </xf>
    <xf numFmtId="0" fontId="6" fillId="0" borderId="0" xfId="23" applyFont="1" applyAlignment="1">
      <alignment vertical="center"/>
    </xf>
    <xf numFmtId="0" fontId="5" fillId="0" borderId="1" xfId="23" applyFont="1" applyBorder="1" applyAlignment="1">
      <alignment horizontal="center" vertical="center"/>
    </xf>
    <xf numFmtId="176" fontId="5" fillId="0" borderId="1" xfId="18" applyNumberFormat="1" applyFont="1" applyFill="1" applyBorder="1" applyAlignment="1">
      <alignment horizontal="center" vertical="center"/>
    </xf>
    <xf numFmtId="3" fontId="5" fillId="0" borderId="0" xfId="23" quotePrefix="1" applyNumberFormat="1" applyFont="1" applyAlignment="1">
      <alignment horizontal="left" vertical="center"/>
    </xf>
    <xf numFmtId="0" fontId="5" fillId="0" borderId="0" xfId="23" quotePrefix="1" applyFont="1" applyAlignment="1">
      <alignment horizontal="center" vertical="center"/>
    </xf>
    <xf numFmtId="37" fontId="6" fillId="0" borderId="4" xfId="18" applyNumberFormat="1" applyFont="1" applyBorder="1">
      <alignment vertical="top"/>
    </xf>
    <xf numFmtId="10" fontId="6" fillId="0" borderId="0" xfId="17" applyNumberFormat="1" applyFont="1" applyBorder="1">
      <alignment vertical="top"/>
    </xf>
    <xf numFmtId="37" fontId="6" fillId="0" borderId="0" xfId="18" applyNumberFormat="1" applyFont="1" applyBorder="1">
      <alignment vertical="top"/>
    </xf>
    <xf numFmtId="180" fontId="6" fillId="0" borderId="0" xfId="20" applyNumberFormat="1" applyFont="1" applyBorder="1" applyAlignment="1">
      <alignment horizontal="right" vertical="top"/>
    </xf>
    <xf numFmtId="5" fontId="6" fillId="0" borderId="5" xfId="20" applyNumberFormat="1" applyFont="1" applyBorder="1" applyAlignment="1">
      <alignment horizontal="right" vertical="top"/>
    </xf>
    <xf numFmtId="168" fontId="6" fillId="0" borderId="0" xfId="20" applyNumberFormat="1" applyFont="1" applyAlignment="1">
      <alignment horizontal="right" vertical="top"/>
    </xf>
    <xf numFmtId="5" fontId="6" fillId="0" borderId="0" xfId="20" applyNumberFormat="1" applyFont="1" applyAlignment="1">
      <alignment horizontal="right" vertical="top"/>
    </xf>
    <xf numFmtId="168" fontId="6" fillId="0" borderId="0" xfId="20" applyNumberFormat="1" applyFont="1" applyBorder="1" applyAlignment="1">
      <alignment horizontal="right" vertical="top"/>
    </xf>
    <xf numFmtId="5" fontId="6" fillId="0" borderId="1" xfId="20" applyNumberFormat="1" applyFont="1" applyBorder="1" applyAlignment="1">
      <alignment horizontal="right" vertical="top"/>
    </xf>
    <xf numFmtId="5" fontId="6" fillId="0" borderId="0" xfId="24" applyNumberFormat="1" applyFont="1"/>
    <xf numFmtId="5" fontId="6" fillId="0" borderId="0" xfId="24" applyNumberFormat="1" applyFont="1" applyFill="1"/>
    <xf numFmtId="37" fontId="6" fillId="0" borderId="0" xfId="18" applyNumberFormat="1" applyFont="1" applyBorder="1" applyAlignment="1">
      <alignment horizontal="right" vertical="top"/>
    </xf>
    <xf numFmtId="168" fontId="6" fillId="0" borderId="34" xfId="20" applyNumberFormat="1" applyFont="1" applyBorder="1" applyAlignment="1">
      <alignment horizontal="left" vertical="top"/>
    </xf>
    <xf numFmtId="37" fontId="6" fillId="0" borderId="0" xfId="18" applyNumberFormat="1" applyFont="1" applyBorder="1" applyAlignment="1">
      <alignment horizontal="left" vertical="top" indent="1"/>
    </xf>
    <xf numFmtId="5" fontId="6" fillId="0" borderId="0" xfId="20" applyNumberFormat="1" applyFont="1" applyBorder="1" applyAlignment="1">
      <alignment horizontal="right" vertical="top"/>
    </xf>
    <xf numFmtId="5" fontId="6" fillId="0" borderId="1" xfId="20" applyNumberFormat="1" applyFont="1" applyFill="1" applyBorder="1" applyAlignment="1">
      <alignment horizontal="right" vertical="top"/>
    </xf>
    <xf numFmtId="5" fontId="6" fillId="0" borderId="0" xfId="20" applyNumberFormat="1" applyFont="1" applyFill="1" applyAlignment="1">
      <alignment horizontal="right" vertical="top"/>
    </xf>
    <xf numFmtId="37" fontId="8" fillId="0" borderId="0" xfId="0" applyNumberFormat="1" applyFont="1" applyFill="1"/>
    <xf numFmtId="0" fontId="44" fillId="0" borderId="0" xfId="0" applyFo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3" fontId="6" fillId="0" borderId="0" xfId="14" applyNumberFormat="1" applyFont="1" applyAlignment="1">
      <alignment horizontal="center" vertical="center"/>
    </xf>
    <xf numFmtId="164" fontId="0" fillId="0" borderId="2" xfId="1" applyNumberFormat="1" applyFont="1" applyFill="1" applyBorder="1"/>
    <xf numFmtId="1" fontId="0" fillId="0" borderId="0" xfId="0" applyNumberFormat="1" applyFill="1"/>
    <xf numFmtId="164" fontId="6" fillId="0" borderId="0" xfId="1" applyNumberFormat="1" applyFont="1" applyFill="1"/>
    <xf numFmtId="0" fontId="0" fillId="0" borderId="20" xfId="0" applyFill="1" applyBorder="1"/>
    <xf numFmtId="0" fontId="6" fillId="0" borderId="2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64" fontId="6" fillId="0" borderId="24" xfId="1" applyNumberFormat="1" applyFont="1" applyFill="1" applyBorder="1"/>
    <xf numFmtId="164" fontId="6" fillId="0" borderId="11" xfId="1" applyNumberFormat="1" applyFont="1" applyFill="1" applyBorder="1"/>
    <xf numFmtId="164" fontId="6" fillId="0" borderId="41" xfId="1" applyNumberFormat="1" applyFont="1" applyFill="1" applyBorder="1"/>
    <xf numFmtId="164" fontId="6" fillId="0" borderId="42" xfId="1" applyNumberFormat="1" applyFont="1" applyFill="1" applyBorder="1"/>
    <xf numFmtId="164" fontId="6" fillId="0" borderId="30" xfId="0" applyNumberFormat="1" applyFont="1" applyFill="1" applyBorder="1"/>
    <xf numFmtId="164" fontId="6" fillId="0" borderId="31" xfId="0" applyNumberFormat="1" applyFont="1" applyFill="1" applyBorder="1"/>
    <xf numFmtId="164" fontId="6" fillId="0" borderId="32" xfId="0" applyNumberFormat="1" applyFont="1" applyFill="1" applyBorder="1"/>
    <xf numFmtId="172" fontId="0" fillId="0" borderId="0" xfId="9" applyNumberFormat="1" applyFont="1"/>
    <xf numFmtId="5" fontId="6" fillId="0" borderId="1" xfId="24" applyNumberFormat="1" applyFont="1" applyBorder="1"/>
    <xf numFmtId="0" fontId="11" fillId="0" borderId="0" xfId="15" applyFont="1" applyFill="1"/>
    <xf numFmtId="37" fontId="11" fillId="0" borderId="8" xfId="8" applyNumberFormat="1" applyFont="1" applyFill="1" applyBorder="1"/>
    <xf numFmtId="0" fontId="3" fillId="8" borderId="37" xfId="0" applyFont="1" applyFill="1" applyBorder="1"/>
    <xf numFmtId="0" fontId="3" fillId="8" borderId="36" xfId="0" applyFont="1" applyFill="1" applyBorder="1"/>
    <xf numFmtId="0" fontId="3" fillId="8" borderId="36" xfId="0" applyFont="1" applyFill="1" applyBorder="1" applyAlignment="1">
      <alignment horizontal="center" wrapText="1"/>
    </xf>
    <xf numFmtId="0" fontId="3" fillId="8" borderId="35" xfId="0" applyFont="1" applyFill="1" applyBorder="1" applyAlignment="1">
      <alignment horizontal="center" wrapText="1"/>
    </xf>
    <xf numFmtId="164" fontId="45" fillId="10" borderId="0" xfId="1" applyNumberFormat="1" applyFont="1" applyFill="1" applyBorder="1"/>
    <xf numFmtId="0" fontId="0" fillId="0" borderId="34" xfId="0" applyBorder="1"/>
    <xf numFmtId="0" fontId="0" fillId="0" borderId="33" xfId="0" applyBorder="1"/>
    <xf numFmtId="178" fontId="0" fillId="0" borderId="33" xfId="0" applyNumberFormat="1" applyFill="1" applyBorder="1"/>
    <xf numFmtId="44" fontId="45" fillId="10" borderId="0" xfId="11" applyNumberFormat="1" applyFont="1" applyFill="1" applyBorder="1"/>
    <xf numFmtId="44" fontId="0" fillId="0" borderId="33" xfId="11" applyNumberFormat="1" applyFont="1" applyBorder="1"/>
    <xf numFmtId="171" fontId="0" fillId="3" borderId="0" xfId="0" applyNumberFormat="1" applyFill="1"/>
    <xf numFmtId="44" fontId="45" fillId="10" borderId="0" xfId="11" applyFont="1" applyFill="1" applyBorder="1"/>
    <xf numFmtId="0" fontId="0" fillId="0" borderId="19" xfId="0" applyBorder="1"/>
    <xf numFmtId="0" fontId="0" fillId="0" borderId="4" xfId="0" applyBorder="1"/>
    <xf numFmtId="171" fontId="0" fillId="0" borderId="4" xfId="11" applyNumberFormat="1" applyFont="1" applyBorder="1"/>
    <xf numFmtId="44" fontId="0" fillId="0" borderId="15" xfId="11" applyFont="1" applyBorder="1"/>
    <xf numFmtId="0" fontId="46" fillId="0" borderId="0" xfId="0" applyFont="1"/>
    <xf numFmtId="44" fontId="0" fillId="0" borderId="0" xfId="0" applyNumberFormat="1"/>
    <xf numFmtId="0" fontId="40" fillId="0" borderId="0" xfId="25" applyFont="1" applyAlignment="1"/>
    <xf numFmtId="0" fontId="4" fillId="0" borderId="0" xfId="25" applyAlignment="1"/>
    <xf numFmtId="0" fontId="4" fillId="0" borderId="0" xfId="25"/>
    <xf numFmtId="0" fontId="40" fillId="0" borderId="0" xfId="25" applyFont="1"/>
    <xf numFmtId="0" fontId="36" fillId="0" borderId="0" xfId="25" applyFont="1"/>
    <xf numFmtId="172" fontId="4" fillId="0" borderId="0" xfId="9" applyNumberFormat="1" applyFont="1"/>
    <xf numFmtId="181" fontId="40" fillId="0" borderId="0" xfId="25" applyNumberFormat="1" applyFont="1"/>
    <xf numFmtId="181" fontId="36" fillId="0" borderId="24" xfId="25" applyNumberFormat="1" applyFont="1" applyBorder="1"/>
    <xf numFmtId="174" fontId="36" fillId="0" borderId="0" xfId="25" applyNumberFormat="1" applyFont="1" applyAlignment="1">
      <alignment horizontal="left" indent="1"/>
    </xf>
    <xf numFmtId="174" fontId="36" fillId="0" borderId="24" xfId="25" applyNumberFormat="1" applyFont="1" applyBorder="1"/>
    <xf numFmtId="182" fontId="36" fillId="0" borderId="24" xfId="25" applyNumberFormat="1" applyFont="1" applyBorder="1"/>
    <xf numFmtId="181" fontId="36" fillId="0" borderId="0" xfId="25" applyNumberFormat="1" applyFont="1" applyAlignment="1">
      <alignment horizontal="left" indent="2"/>
    </xf>
    <xf numFmtId="174" fontId="36" fillId="0" borderId="0" xfId="25" applyNumberFormat="1" applyFont="1" applyAlignment="1">
      <alignment horizontal="left" indent="3"/>
    </xf>
    <xf numFmtId="0" fontId="3" fillId="0" borderId="7" xfId="0" applyFont="1" applyFill="1" applyBorder="1"/>
    <xf numFmtId="171" fontId="0" fillId="0" borderId="13" xfId="0" applyNumberFormat="1" applyBorder="1"/>
    <xf numFmtId="171" fontId="0" fillId="0" borderId="14" xfId="0" applyNumberFormat="1" applyBorder="1"/>
    <xf numFmtId="37" fontId="8" fillId="0" borderId="0" xfId="0" applyNumberFormat="1" applyFont="1" applyBorder="1"/>
    <xf numFmtId="37" fontId="8" fillId="0" borderId="14" xfId="0" applyNumberFormat="1" applyFont="1" applyBorder="1"/>
    <xf numFmtId="37" fontId="8" fillId="0" borderId="1" xfId="0" applyNumberFormat="1" applyFont="1" applyBorder="1"/>
    <xf numFmtId="37" fontId="8" fillId="0" borderId="10" xfId="0" applyNumberFormat="1" applyFont="1" applyBorder="1"/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/>
    <xf numFmtId="37" fontId="6" fillId="0" borderId="0" xfId="0" applyNumberFormat="1" applyFont="1" applyFill="1"/>
    <xf numFmtId="0" fontId="11" fillId="0" borderId="0" xfId="25" applyFont="1" applyFill="1"/>
    <xf numFmtId="0" fontId="16" fillId="0" borderId="0" xfId="25" applyNumberFormat="1" applyFont="1" applyFill="1" applyAlignment="1"/>
    <xf numFmtId="0" fontId="16" fillId="0" borderId="0" xfId="25" applyNumberFormat="1" applyFont="1" applyFill="1"/>
    <xf numFmtId="37" fontId="11" fillId="0" borderId="0" xfId="25" applyNumberFormat="1" applyFont="1" applyFill="1"/>
    <xf numFmtId="0" fontId="16" fillId="0" borderId="0" xfId="25" applyNumberFormat="1" applyFont="1" applyFill="1" applyBorder="1" applyAlignment="1"/>
    <xf numFmtId="0" fontId="16" fillId="0" borderId="0" xfId="25" applyNumberFormat="1" applyFont="1" applyFill="1" applyBorder="1"/>
    <xf numFmtId="0" fontId="16" fillId="0" borderId="1" xfId="25" applyFont="1" applyFill="1" applyBorder="1" applyAlignment="1">
      <alignment horizontal="center"/>
    </xf>
    <xf numFmtId="17" fontId="16" fillId="0" borderId="1" xfId="25" applyNumberFormat="1" applyFont="1" applyFill="1" applyBorder="1" applyAlignment="1">
      <alignment horizontal="center"/>
    </xf>
    <xf numFmtId="0" fontId="16" fillId="0" borderId="0" xfId="25" applyFont="1" applyFill="1" applyBorder="1" applyAlignment="1">
      <alignment horizontal="center"/>
    </xf>
    <xf numFmtId="0" fontId="16" fillId="0" borderId="0" xfId="25" applyFont="1" applyFill="1" applyAlignment="1">
      <alignment horizontal="center"/>
    </xf>
    <xf numFmtId="0" fontId="16" fillId="0" borderId="0" xfId="25" applyNumberFormat="1" applyFont="1" applyFill="1" applyBorder="1" applyAlignment="1">
      <alignment horizontal="center"/>
    </xf>
    <xf numFmtId="0" fontId="11" fillId="0" borderId="0" xfId="25" applyFont="1" applyFill="1" applyBorder="1"/>
    <xf numFmtId="0" fontId="15" fillId="0" borderId="0" xfId="25" applyFont="1" applyFill="1"/>
    <xf numFmtId="168" fontId="11" fillId="0" borderId="0" xfId="25" applyNumberFormat="1" applyFont="1" applyFill="1"/>
    <xf numFmtId="168" fontId="16" fillId="0" borderId="0" xfId="25" applyNumberFormat="1" applyFont="1" applyFill="1"/>
    <xf numFmtId="37" fontId="16" fillId="0" borderId="0" xfId="25" applyNumberFormat="1" applyFont="1" applyFill="1"/>
    <xf numFmtId="37" fontId="15" fillId="0" borderId="0" xfId="25" applyNumberFormat="1" applyFont="1" applyFill="1"/>
    <xf numFmtId="37" fontId="11" fillId="0" borderId="0" xfId="25" applyNumberFormat="1" applyFont="1" applyFill="1" applyBorder="1"/>
    <xf numFmtId="0" fontId="4" fillId="0" borderId="1" xfId="25" applyBorder="1"/>
    <xf numFmtId="0" fontId="15" fillId="0" borderId="0" xfId="25" applyNumberFormat="1" applyFont="1" applyFill="1"/>
    <xf numFmtId="0" fontId="17" fillId="0" borderId="6" xfId="25" applyNumberFormat="1" applyFont="1" applyFill="1" applyBorder="1"/>
    <xf numFmtId="0" fontId="4" fillId="0" borderId="0" xfId="25" applyAlignment="1">
      <alignment horizontal="center"/>
    </xf>
    <xf numFmtId="0" fontId="16" fillId="0" borderId="0" xfId="25" applyFont="1" applyAlignment="1">
      <alignment horizontal="center"/>
    </xf>
    <xf numFmtId="22" fontId="18" fillId="0" borderId="0" xfId="25" applyNumberFormat="1" applyFont="1" applyFill="1"/>
    <xf numFmtId="0" fontId="17" fillId="0" borderId="0" xfId="25" applyFont="1" applyFill="1"/>
    <xf numFmtId="170" fontId="11" fillId="0" borderId="0" xfId="25" applyNumberFormat="1" applyFont="1" applyFill="1"/>
    <xf numFmtId="170" fontId="11" fillId="0" borderId="0" xfId="25" applyNumberFormat="1" applyFont="1" applyFill="1" applyAlignment="1"/>
    <xf numFmtId="169" fontId="23" fillId="0" borderId="0" xfId="25" applyNumberFormat="1" applyFont="1" applyFill="1" applyAlignment="1"/>
    <xf numFmtId="0" fontId="11" fillId="0" borderId="0" xfId="25" applyFont="1" applyFill="1" applyAlignment="1">
      <alignment horizontal="center"/>
    </xf>
    <xf numFmtId="0" fontId="16" fillId="0" borderId="0" xfId="25" applyFont="1" applyFill="1"/>
    <xf numFmtId="0" fontId="16" fillId="0" borderId="1" xfId="25" applyNumberFormat="1" applyFont="1" applyFill="1" applyBorder="1"/>
    <xf numFmtId="0" fontId="17" fillId="0" borderId="0" xfId="25" applyNumberFormat="1" applyFont="1" applyFill="1" applyBorder="1"/>
    <xf numFmtId="168" fontId="16" fillId="0" borderId="0" xfId="25" applyNumberFormat="1" applyFont="1" applyFill="1" applyBorder="1"/>
    <xf numFmtId="0" fontId="16" fillId="0" borderId="0" xfId="25" applyFont="1" applyFill="1" applyBorder="1"/>
    <xf numFmtId="168" fontId="15" fillId="0" borderId="0" xfId="25" applyNumberFormat="1" applyFont="1" applyFill="1" applyBorder="1"/>
    <xf numFmtId="170" fontId="11" fillId="0" borderId="0" xfId="25" applyNumberFormat="1" applyFont="1" applyFill="1" applyBorder="1"/>
    <xf numFmtId="170" fontId="11" fillId="0" borderId="0" xfId="25" applyNumberFormat="1" applyFont="1" applyFill="1" applyBorder="1" applyAlignment="1"/>
    <xf numFmtId="169" fontId="23" fillId="0" borderId="0" xfId="25" applyNumberFormat="1" applyFont="1" applyFill="1" applyBorder="1" applyAlignment="1"/>
    <xf numFmtId="0" fontId="11" fillId="0" borderId="0" xfId="25" applyFont="1" applyFill="1" applyBorder="1" applyAlignment="1">
      <alignment horizontal="center"/>
    </xf>
    <xf numFmtId="0" fontId="15" fillId="0" borderId="0" xfId="25" applyFont="1" applyFill="1" applyBorder="1"/>
    <xf numFmtId="164" fontId="8" fillId="0" borderId="0" xfId="1" applyNumberFormat="1" applyFont="1" applyFill="1" applyBorder="1"/>
    <xf numFmtId="164" fontId="8" fillId="0" borderId="1" xfId="1" applyNumberFormat="1" applyFont="1" applyFill="1" applyBorder="1"/>
    <xf numFmtId="0" fontId="0" fillId="0" borderId="7" xfId="0" applyBorder="1"/>
    <xf numFmtId="0" fontId="45" fillId="0" borderId="0" xfId="0" applyFont="1" applyBorder="1"/>
    <xf numFmtId="43" fontId="0" fillId="0" borderId="0" xfId="0" applyNumberFormat="1" applyBorder="1"/>
    <xf numFmtId="164" fontId="0" fillId="0" borderId="0" xfId="0" applyNumberFormat="1" applyFill="1" applyBorder="1"/>
    <xf numFmtId="164" fontId="0" fillId="0" borderId="14" xfId="0" applyNumberFormat="1" applyFill="1" applyBorder="1"/>
    <xf numFmtId="43" fontId="0" fillId="2" borderId="0" xfId="0" applyNumberFormat="1" applyFill="1" applyAlignment="1">
      <alignment wrapText="1"/>
    </xf>
    <xf numFmtId="1" fontId="0" fillId="0" borderId="0" xfId="0" applyNumberFormat="1" applyFill="1" applyBorder="1"/>
    <xf numFmtId="1" fontId="0" fillId="0" borderId="14" xfId="0" applyNumberFormat="1" applyFill="1" applyBorder="1"/>
    <xf numFmtId="164" fontId="27" fillId="11" borderId="0" xfId="1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171" fontId="0" fillId="0" borderId="13" xfId="11" applyNumberFormat="1" applyFont="1" applyBorder="1"/>
    <xf numFmtId="172" fontId="0" fillId="0" borderId="14" xfId="9" applyNumberFormat="1" applyFont="1" applyBorder="1"/>
    <xf numFmtId="171" fontId="0" fillId="0" borderId="9" xfId="11" applyNumberFormat="1" applyFont="1" applyBorder="1"/>
    <xf numFmtId="171" fontId="0" fillId="0" borderId="1" xfId="11" applyNumberFormat="1" applyFont="1" applyBorder="1"/>
    <xf numFmtId="172" fontId="0" fillId="0" borderId="10" xfId="9" applyNumberFormat="1" applyFont="1" applyBorder="1"/>
    <xf numFmtId="171" fontId="0" fillId="0" borderId="30" xfId="0" applyNumberFormat="1" applyBorder="1"/>
    <xf numFmtId="171" fontId="0" fillId="0" borderId="31" xfId="0" applyNumberFormat="1" applyBorder="1"/>
    <xf numFmtId="172" fontId="0" fillId="0" borderId="31" xfId="9" applyNumberFormat="1" applyFont="1" applyBorder="1"/>
    <xf numFmtId="0" fontId="0" fillId="0" borderId="31" xfId="0" applyBorder="1"/>
    <xf numFmtId="172" fontId="0" fillId="0" borderId="32" xfId="9" applyNumberFormat="1" applyFont="1" applyBorder="1"/>
    <xf numFmtId="0" fontId="32" fillId="0" borderId="0" xfId="0" applyFont="1" applyAlignment="1">
      <alignment horizontal="centerContinuous"/>
    </xf>
    <xf numFmtId="0" fontId="32" fillId="0" borderId="0" xfId="0" applyFont="1" applyAlignment="1">
      <alignment horizontal="centerContinuous" wrapText="1"/>
    </xf>
    <xf numFmtId="1" fontId="8" fillId="0" borderId="0" xfId="0" applyNumberFormat="1" applyFont="1"/>
    <xf numFmtId="0" fontId="21" fillId="0" borderId="0" xfId="8" applyFont="1" applyFill="1" applyBorder="1"/>
    <xf numFmtId="44" fontId="37" fillId="0" borderId="0" xfId="11" applyFont="1"/>
    <xf numFmtId="0" fontId="30" fillId="0" borderId="0" xfId="0" applyFont="1" applyFill="1"/>
    <xf numFmtId="37" fontId="11" fillId="0" borderId="6" xfId="8" applyNumberFormat="1" applyFont="1" applyFill="1" applyBorder="1"/>
    <xf numFmtId="37" fontId="11" fillId="0" borderId="12" xfId="8" applyNumberFormat="1" applyFont="1" applyFill="1" applyBorder="1"/>
    <xf numFmtId="0" fontId="11" fillId="0" borderId="13" xfId="25" applyFont="1" applyFill="1" applyBorder="1"/>
    <xf numFmtId="0" fontId="11" fillId="0" borderId="14" xfId="25" applyFont="1" applyFill="1" applyBorder="1"/>
    <xf numFmtId="0" fontId="11" fillId="0" borderId="11" xfId="25" applyFont="1" applyFill="1" applyBorder="1"/>
    <xf numFmtId="0" fontId="11" fillId="0" borderId="6" xfId="25" applyFont="1" applyFill="1" applyBorder="1"/>
    <xf numFmtId="0" fontId="11" fillId="0" borderId="12" xfId="25" applyFont="1" applyFill="1" applyBorder="1"/>
    <xf numFmtId="172" fontId="11" fillId="0" borderId="0" xfId="9" applyNumberFormat="1" applyFont="1" applyFill="1"/>
    <xf numFmtId="1" fontId="0" fillId="0" borderId="0" xfId="0" applyNumberFormat="1" applyBorder="1"/>
    <xf numFmtId="1" fontId="0" fillId="0" borderId="14" xfId="0" applyNumberFormat="1" applyBorder="1"/>
    <xf numFmtId="43" fontId="0" fillId="0" borderId="0" xfId="0" applyNumberFormat="1" applyFill="1" applyBorder="1"/>
    <xf numFmtId="43" fontId="0" fillId="0" borderId="14" xfId="0" applyNumberFormat="1" applyFill="1" applyBorder="1"/>
    <xf numFmtId="174" fontId="0" fillId="0" borderId="0" xfId="0" applyNumberFormat="1" applyBorder="1"/>
    <xf numFmtId="174" fontId="0" fillId="0" borderId="14" xfId="0" applyNumberFormat="1" applyBorder="1"/>
    <xf numFmtId="174" fontId="0" fillId="0" borderId="0" xfId="0" applyNumberFormat="1" applyFill="1" applyBorder="1"/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1" applyNumberFormat="1" applyFont="1" applyFill="1" applyBorder="1"/>
    <xf numFmtId="164" fontId="0" fillId="0" borderId="14" xfId="1" applyNumberFormat="1" applyFont="1" applyFill="1" applyBorder="1"/>
    <xf numFmtId="0" fontId="2" fillId="0" borderId="3" xfId="0" applyFont="1" applyBorder="1"/>
    <xf numFmtId="0" fontId="2" fillId="0" borderId="0" xfId="0" applyFont="1" applyBorder="1"/>
    <xf numFmtId="1" fontId="2" fillId="0" borderId="0" xfId="0" applyNumberFormat="1" applyFont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1" fontId="0" fillId="0" borderId="0" xfId="0" applyNumberFormat="1"/>
    <xf numFmtId="164" fontId="0" fillId="0" borderId="10" xfId="0" applyNumberFormat="1" applyBorder="1" applyAlignment="1">
      <alignment wrapText="1"/>
    </xf>
    <xf numFmtId="37" fontId="11" fillId="0" borderId="10" xfId="10" applyNumberFormat="1" applyFont="1" applyFill="1" applyBorder="1"/>
    <xf numFmtId="37" fontId="11" fillId="0" borderId="7" xfId="10" applyNumberFormat="1" applyFont="1" applyFill="1" applyBorder="1"/>
    <xf numFmtId="0" fontId="21" fillId="0" borderId="3" xfId="8" applyFont="1" applyFill="1" applyBorder="1"/>
    <xf numFmtId="0" fontId="21" fillId="0" borderId="8" xfId="8" applyFont="1" applyFill="1" applyBorder="1"/>
    <xf numFmtId="37" fontId="11" fillId="0" borderId="3" xfId="8" applyNumberFormat="1" applyFont="1" applyFill="1" applyBorder="1"/>
    <xf numFmtId="0" fontId="11" fillId="0" borderId="10" xfId="8" applyFont="1" applyFill="1" applyBorder="1"/>
    <xf numFmtId="37" fontId="11" fillId="0" borderId="14" xfId="8" applyNumberFormat="1" applyFont="1" applyFill="1" applyBorder="1"/>
    <xf numFmtId="37" fontId="11" fillId="0" borderId="10" xfId="8" applyNumberFormat="1" applyFont="1" applyFill="1" applyBorder="1"/>
    <xf numFmtId="0" fontId="11" fillId="0" borderId="0" xfId="0" applyFont="1" applyFill="1"/>
    <xf numFmtId="0" fontId="3" fillId="0" borderId="0" xfId="28" applyFont="1" applyAlignment="1">
      <alignment vertical="center"/>
    </xf>
    <xf numFmtId="43" fontId="8" fillId="0" borderId="0" xfId="1" applyFont="1"/>
    <xf numFmtId="37" fontId="11" fillId="0" borderId="8" xfId="10" applyNumberFormat="1" applyFont="1" applyFill="1" applyBorder="1"/>
    <xf numFmtId="3" fontId="7" fillId="0" borderId="0" xfId="2" applyNumberFormat="1" applyFont="1" applyAlignment="1">
      <alignment vertical="center"/>
    </xf>
    <xf numFmtId="10" fontId="6" fillId="0" borderId="0" xfId="17" applyFont="1" applyFill="1" applyBorder="1">
      <alignment vertical="top"/>
    </xf>
    <xf numFmtId="3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3" fontId="5" fillId="0" borderId="0" xfId="0" quotePrefix="1" applyNumberFormat="1" applyFont="1" applyAlignment="1">
      <alignment horizontal="left" vertical="top"/>
    </xf>
    <xf numFmtId="18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vertical="top"/>
    </xf>
    <xf numFmtId="3" fontId="6" fillId="0" borderId="0" xfId="0" applyNumberFormat="1" applyFont="1" applyAlignment="1" applyProtection="1">
      <alignment vertical="top"/>
      <protection locked="0"/>
    </xf>
    <xf numFmtId="5" fontId="6" fillId="0" borderId="0" xfId="0" applyNumberFormat="1" applyFont="1" applyAlignment="1">
      <alignment vertical="top"/>
    </xf>
    <xf numFmtId="5" fontId="5" fillId="0" borderId="0" xfId="0" applyNumberFormat="1" applyFont="1" applyAlignment="1">
      <alignment vertical="top"/>
    </xf>
    <xf numFmtId="3" fontId="6" fillId="0" borderId="0" xfId="0" applyNumberFormat="1" applyFont="1" applyBorder="1" applyAlignment="1">
      <alignment vertical="top"/>
    </xf>
    <xf numFmtId="10" fontId="6" fillId="0" borderId="5" xfId="0" applyNumberFormat="1" applyFont="1" applyBorder="1" applyAlignment="1">
      <alignment vertical="top"/>
    </xf>
    <xf numFmtId="10" fontId="6" fillId="0" borderId="0" xfId="0" applyNumberFormat="1" applyFont="1" applyAlignment="1">
      <alignment vertical="top"/>
    </xf>
    <xf numFmtId="3" fontId="6" fillId="0" borderId="1" xfId="0" applyNumberFormat="1" applyFont="1" applyBorder="1" applyAlignment="1">
      <alignment vertical="top"/>
    </xf>
    <xf numFmtId="9" fontId="6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37" fontId="5" fillId="0" borderId="0" xfId="0" applyNumberFormat="1" applyFont="1" applyAlignment="1">
      <alignment horizontal="center"/>
    </xf>
    <xf numFmtId="37" fontId="5" fillId="0" borderId="0" xfId="0" applyNumberFormat="1" applyFont="1" applyFill="1" applyAlignment="1">
      <alignment horizontal="center"/>
    </xf>
    <xf numFmtId="165" fontId="5" fillId="0" borderId="1" xfId="0" quotePrefix="1" applyNumberFormat="1" applyFont="1" applyBorder="1" applyAlignment="1">
      <alignment horizontal="center"/>
    </xf>
    <xf numFmtId="165" fontId="5" fillId="0" borderId="1" xfId="0" quotePrefix="1" applyNumberFormat="1" applyFont="1" applyFill="1" applyBorder="1" applyAlignment="1">
      <alignment horizontal="center"/>
    </xf>
    <xf numFmtId="37" fontId="5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3" fontId="6" fillId="0" borderId="0" xfId="0" applyNumberFormat="1" applyFont="1" applyAlignment="1">
      <alignment horizontal="center" vertical="top"/>
    </xf>
    <xf numFmtId="3" fontId="6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37" fontId="5" fillId="0" borderId="0" xfId="0" applyNumberFormat="1" applyFont="1" applyAlignment="1">
      <alignment vertical="top"/>
    </xf>
    <xf numFmtId="37" fontId="6" fillId="0" borderId="0" xfId="0" applyNumberFormat="1" applyFont="1" applyAlignment="1">
      <alignment vertical="top"/>
    </xf>
    <xf numFmtId="0" fontId="5" fillId="0" borderId="0" xfId="0" quotePrefix="1" applyFont="1" applyAlignment="1">
      <alignment horizontal="left" vertical="top"/>
    </xf>
    <xf numFmtId="5" fontId="6" fillId="0" borderId="0" xfId="0" applyNumberFormat="1" applyFont="1" applyFill="1" applyBorder="1" applyAlignment="1">
      <alignment vertical="top"/>
    </xf>
    <xf numFmtId="5" fontId="6" fillId="0" borderId="2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Alignment="1">
      <alignment vertical="center"/>
    </xf>
    <xf numFmtId="37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horizontal="left" vertical="center"/>
    </xf>
    <xf numFmtId="37" fontId="6" fillId="0" borderId="1" xfId="0" applyNumberFormat="1" applyFont="1" applyFill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5" fillId="0" borderId="1" xfId="0" applyNumberFormat="1" applyFont="1" applyBorder="1" applyAlignment="1">
      <alignment vertical="top"/>
    </xf>
    <xf numFmtId="37" fontId="6" fillId="0" borderId="1" xfId="0" applyNumberFormat="1" applyFont="1" applyBorder="1" applyAlignment="1">
      <alignment vertical="top"/>
    </xf>
    <xf numFmtId="37" fontId="6" fillId="0" borderId="5" xfId="0" applyNumberFormat="1" applyFont="1" applyBorder="1" applyAlignment="1">
      <alignment vertical="top"/>
    </xf>
    <xf numFmtId="15" fontId="5" fillId="0" borderId="0" xfId="0" applyNumberFormat="1" applyFont="1" applyAlignment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1" fontId="5" fillId="0" borderId="1" xfId="0" quotePrefix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 applyProtection="1">
      <alignment horizontal="left" vertical="center"/>
    </xf>
    <xf numFmtId="0" fontId="5" fillId="0" borderId="0" xfId="0" quotePrefix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37" fontId="6" fillId="0" borderId="0" xfId="0" applyNumberFormat="1" applyFont="1" applyFill="1" applyBorder="1" applyAlignment="1">
      <alignment vertical="top"/>
    </xf>
    <xf numFmtId="5" fontId="6" fillId="0" borderId="0" xfId="0" applyNumberFormat="1" applyFont="1" applyFill="1" applyBorder="1" applyAlignment="1">
      <alignment vertical="center"/>
    </xf>
    <xf numFmtId="37" fontId="6" fillId="0" borderId="1" xfId="0" applyNumberFormat="1" applyFont="1" applyFill="1" applyBorder="1" applyAlignment="1">
      <alignment vertical="top"/>
    </xf>
    <xf numFmtId="5" fontId="6" fillId="0" borderId="1" xfId="0" applyNumberFormat="1" applyFont="1" applyFill="1" applyBorder="1" applyAlignment="1">
      <alignment vertical="top"/>
    </xf>
    <xf numFmtId="5" fontId="6" fillId="0" borderId="1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quotePrefix="1" applyNumberFormat="1" applyFont="1" applyFill="1" applyAlignment="1">
      <alignment horizontal="left" vertical="center"/>
    </xf>
    <xf numFmtId="37" fontId="6" fillId="0" borderId="0" xfId="0" applyNumberFormat="1" applyFont="1" applyFill="1" applyAlignment="1">
      <alignment vertical="top"/>
    </xf>
    <xf numFmtId="5" fontId="6" fillId="0" borderId="0" xfId="0" applyNumberFormat="1" applyFont="1" applyFill="1" applyAlignment="1">
      <alignment vertical="top"/>
    </xf>
    <xf numFmtId="5" fontId="6" fillId="0" borderId="0" xfId="0" applyNumberFormat="1" applyFont="1" applyFill="1" applyAlignment="1">
      <alignment vertical="center"/>
    </xf>
    <xf numFmtId="5" fontId="6" fillId="0" borderId="0" xfId="0" applyNumberFormat="1" applyFont="1" applyAlignment="1">
      <alignment vertical="center"/>
    </xf>
    <xf numFmtId="1" fontId="5" fillId="0" borderId="0" xfId="0" applyNumberFormat="1" applyFont="1" applyFill="1" applyAlignment="1">
      <alignment vertical="center"/>
    </xf>
    <xf numFmtId="5" fontId="6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Fill="1" applyAlignment="1" applyProtection="1">
      <alignment vertical="center"/>
    </xf>
    <xf numFmtId="169" fontId="6" fillId="0" borderId="0" xfId="0" applyNumberFormat="1" applyFont="1" applyFill="1" applyAlignment="1" applyProtection="1">
      <alignment vertical="center"/>
    </xf>
    <xf numFmtId="1" fontId="5" fillId="0" borderId="1" xfId="0" quotePrefix="1" applyNumberFormat="1" applyFont="1" applyFill="1" applyBorder="1" applyAlignment="1">
      <alignment horizontal="left" vertical="center"/>
    </xf>
    <xf numFmtId="5" fontId="5" fillId="0" borderId="0" xfId="0" applyNumberFormat="1" applyFont="1" applyFill="1" applyAlignment="1">
      <alignment vertical="center"/>
    </xf>
    <xf numFmtId="1" fontId="5" fillId="0" borderId="0" xfId="0" quotePrefix="1" applyNumberFormat="1" applyFont="1" applyFill="1" applyBorder="1" applyAlignment="1">
      <alignment horizontal="left" vertical="center"/>
    </xf>
    <xf numFmtId="37" fontId="6" fillId="0" borderId="3" xfId="0" applyNumberFormat="1" applyFont="1" applyFill="1" applyBorder="1" applyAlignment="1" applyProtection="1">
      <alignment vertical="center"/>
    </xf>
    <xf numFmtId="5" fontId="6" fillId="0" borderId="3" xfId="0" applyNumberFormat="1" applyFont="1" applyFill="1" applyBorder="1" applyAlignment="1" applyProtection="1">
      <alignment vertical="center"/>
    </xf>
    <xf numFmtId="0" fontId="5" fillId="0" borderId="0" xfId="0" quotePrefix="1" applyFont="1" applyFill="1" applyAlignment="1">
      <alignment horizontal="left" vertical="center"/>
    </xf>
    <xf numFmtId="37" fontId="6" fillId="0" borderId="5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37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5" fontId="6" fillId="0" borderId="0" xfId="0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37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0" xfId="0" applyNumberFormat="1" applyFont="1" applyBorder="1" applyAlignment="1">
      <alignment horizontal="center" vertical="top"/>
    </xf>
    <xf numFmtId="3" fontId="5" fillId="0" borderId="0" xfId="0" applyNumberFormat="1" applyFont="1" applyFill="1" applyAlignment="1">
      <alignment horizontal="left" vertical="top" indent="1"/>
    </xf>
    <xf numFmtId="180" fontId="6" fillId="0" borderId="0" xfId="0" applyNumberFormat="1" applyFont="1" applyFill="1" applyAlignment="1">
      <alignment vertical="top"/>
    </xf>
    <xf numFmtId="180" fontId="6" fillId="0" borderId="0" xfId="0" applyNumberFormat="1" applyFont="1" applyFill="1" applyBorder="1" applyAlignment="1">
      <alignment vertical="top"/>
    </xf>
    <xf numFmtId="3" fontId="5" fillId="0" borderId="0" xfId="0" applyNumberFormat="1" applyFont="1" applyFill="1" applyAlignment="1">
      <alignment vertical="top"/>
    </xf>
    <xf numFmtId="168" fontId="6" fillId="0" borderId="0" xfId="0" applyNumberFormat="1" applyFont="1" applyAlignment="1">
      <alignment vertical="top"/>
    </xf>
    <xf numFmtId="3" fontId="5" fillId="0" borderId="0" xfId="0" applyNumberFormat="1" applyFont="1" applyAlignment="1">
      <alignment horizontal="left" vertical="top" indent="2"/>
    </xf>
    <xf numFmtId="0" fontId="6" fillId="0" borderId="37" xfId="0" applyNumberFormat="1" applyFont="1" applyBorder="1" applyAlignment="1">
      <alignment horizontal="center" vertical="top"/>
    </xf>
    <xf numFmtId="0" fontId="6" fillId="0" borderId="36" xfId="0" applyNumberFormat="1" applyFont="1" applyBorder="1" applyAlignment="1">
      <alignment horizontal="center" vertical="top"/>
    </xf>
    <xf numFmtId="3" fontId="6" fillId="0" borderId="36" xfId="0" applyNumberFormat="1" applyFont="1" applyBorder="1" applyAlignment="1">
      <alignment vertical="top"/>
    </xf>
    <xf numFmtId="3" fontId="6" fillId="0" borderId="35" xfId="0" applyNumberFormat="1" applyFont="1" applyBorder="1" applyAlignment="1">
      <alignment horizontal="center" vertical="top"/>
    </xf>
    <xf numFmtId="3" fontId="6" fillId="0" borderId="37" xfId="0" applyNumberFormat="1" applyFont="1" applyBorder="1" applyAlignment="1">
      <alignment vertical="top"/>
    </xf>
    <xf numFmtId="3" fontId="5" fillId="0" borderId="36" xfId="0" applyNumberFormat="1" applyFont="1" applyBorder="1" applyAlignment="1">
      <alignment vertical="top"/>
    </xf>
    <xf numFmtId="3" fontId="5" fillId="0" borderId="35" xfId="0" applyNumberFormat="1" applyFont="1" applyBorder="1" applyAlignment="1">
      <alignment vertical="top"/>
    </xf>
    <xf numFmtId="3" fontId="5" fillId="0" borderId="0" xfId="0" applyNumberFormat="1" applyFont="1" applyAlignment="1">
      <alignment horizontal="left" vertical="top"/>
    </xf>
    <xf numFmtId="3" fontId="6" fillId="0" borderId="34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top"/>
    </xf>
    <xf numFmtId="3" fontId="6" fillId="0" borderId="33" xfId="0" applyNumberFormat="1" applyFont="1" applyBorder="1" applyAlignment="1">
      <alignment horizontal="center" vertical="top"/>
    </xf>
    <xf numFmtId="3" fontId="6" fillId="0" borderId="33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horizontal="left" vertical="top" indent="1"/>
    </xf>
    <xf numFmtId="3" fontId="6" fillId="0" borderId="1" xfId="0" applyNumberFormat="1" applyFont="1" applyBorder="1" applyAlignment="1">
      <alignment horizontal="center" vertical="top"/>
    </xf>
    <xf numFmtId="179" fontId="6" fillId="0" borderId="0" xfId="0" applyNumberFormat="1" applyFont="1" applyAlignment="1">
      <alignment vertical="top"/>
    </xf>
    <xf numFmtId="3" fontId="6" fillId="0" borderId="38" xfId="0" applyNumberFormat="1" applyFont="1" applyBorder="1" applyAlignment="1">
      <alignment vertical="top"/>
    </xf>
    <xf numFmtId="3" fontId="6" fillId="0" borderId="19" xfId="0" applyNumberFormat="1" applyFont="1" applyBorder="1" applyAlignment="1">
      <alignment vertical="top"/>
    </xf>
    <xf numFmtId="3" fontId="6" fillId="0" borderId="4" xfId="0" applyNumberFormat="1" applyFont="1" applyBorder="1" applyAlignment="1">
      <alignment vertical="top"/>
    </xf>
    <xf numFmtId="3" fontId="6" fillId="0" borderId="15" xfId="0" applyNumberFormat="1" applyFont="1" applyBorder="1" applyAlignment="1">
      <alignment vertical="top"/>
    </xf>
    <xf numFmtId="3" fontId="6" fillId="0" borderId="15" xfId="0" applyNumberFormat="1" applyFont="1" applyBorder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3" fontId="5" fillId="0" borderId="0" xfId="0" quotePrefix="1" applyNumberFormat="1" applyFont="1" applyAlignment="1">
      <alignment vertical="top"/>
    </xf>
    <xf numFmtId="3" fontId="5" fillId="0" borderId="1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37" fontId="0" fillId="0" borderId="0" xfId="0" applyNumberFormat="1" applyFill="1"/>
    <xf numFmtId="164" fontId="0" fillId="0" borderId="3" xfId="1" applyNumberFormat="1" applyFont="1" applyFill="1" applyBorder="1"/>
    <xf numFmtId="41" fontId="9" fillId="0" borderId="0" xfId="0" applyNumberFormat="1" applyFont="1" applyFill="1"/>
    <xf numFmtId="164" fontId="6" fillId="0" borderId="3" xfId="1" applyNumberFormat="1" applyFont="1" applyFill="1" applyBorder="1"/>
    <xf numFmtId="41" fontId="0" fillId="0" borderId="0" xfId="0" applyNumberFormat="1" applyFill="1"/>
    <xf numFmtId="164" fontId="9" fillId="0" borderId="0" xfId="1" applyNumberFormat="1" applyFont="1" applyFill="1"/>
    <xf numFmtId="0" fontId="9" fillId="0" borderId="0" xfId="0" applyFont="1" applyFill="1"/>
    <xf numFmtId="0" fontId="2" fillId="0" borderId="0" xfId="0" applyFont="1" applyFill="1"/>
    <xf numFmtId="0" fontId="31" fillId="0" borderId="0" xfId="0" applyFont="1" applyFill="1"/>
    <xf numFmtId="5" fontId="9" fillId="0" borderId="0" xfId="0" applyNumberFormat="1" applyFont="1" applyFill="1"/>
    <xf numFmtId="0" fontId="37" fillId="0" borderId="0" xfId="0" applyFont="1" applyFill="1"/>
    <xf numFmtId="0" fontId="29" fillId="0" borderId="0" xfId="0" applyFont="1" applyFill="1" applyAlignment="1">
      <alignment horizontal="center"/>
    </xf>
    <xf numFmtId="0" fontId="0" fillId="0" borderId="0" xfId="0" applyFill="1" applyAlignment="1">
      <alignment horizontal="left" indent="1"/>
    </xf>
    <xf numFmtId="0" fontId="8" fillId="0" borderId="0" xfId="0" applyFont="1" applyFill="1"/>
    <xf numFmtId="37" fontId="9" fillId="0" borderId="0" xfId="0" applyNumberFormat="1" applyFont="1" applyFill="1"/>
    <xf numFmtId="3" fontId="9" fillId="0" borderId="0" xfId="0" applyNumberFormat="1" applyFont="1" applyFill="1"/>
    <xf numFmtId="164" fontId="29" fillId="0" borderId="0" xfId="1" applyNumberFormat="1" applyFont="1" applyFill="1"/>
    <xf numFmtId="164" fontId="9" fillId="0" borderId="0" xfId="0" applyNumberFormat="1" applyFont="1" applyFill="1"/>
    <xf numFmtId="37" fontId="30" fillId="0" borderId="0" xfId="0" applyNumberFormat="1" applyFont="1" applyFill="1"/>
    <xf numFmtId="9" fontId="29" fillId="0" borderId="0" xfId="9" applyFont="1" applyFill="1"/>
    <xf numFmtId="0" fontId="34" fillId="0" borderId="0" xfId="0" applyFont="1" applyFill="1" applyAlignment="1">
      <alignment horizontal="center"/>
    </xf>
    <xf numFmtId="0" fontId="3" fillId="0" borderId="0" xfId="0" applyFont="1" applyFill="1"/>
    <xf numFmtId="171" fontId="0" fillId="0" borderId="3" xfId="0" applyNumberFormat="1" applyFill="1" applyBorder="1"/>
    <xf numFmtId="171" fontId="0" fillId="0" borderId="0" xfId="11" applyNumberFormat="1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71" fontId="0" fillId="0" borderId="0" xfId="0" applyNumberFormat="1" applyFill="1" applyBorder="1"/>
    <xf numFmtId="37" fontId="8" fillId="0" borderId="0" xfId="0" applyNumberFormat="1" applyFont="1" applyFill="1" applyBorder="1"/>
    <xf numFmtId="37" fontId="8" fillId="0" borderId="14" xfId="0" applyNumberFormat="1" applyFont="1" applyFill="1" applyBorder="1"/>
    <xf numFmtId="0" fontId="0" fillId="0" borderId="14" xfId="0" applyFill="1" applyBorder="1"/>
    <xf numFmtId="37" fontId="8" fillId="0" borderId="1" xfId="0" applyNumberFormat="1" applyFont="1" applyFill="1" applyBorder="1"/>
    <xf numFmtId="37" fontId="8" fillId="0" borderId="10" xfId="0" applyNumberFormat="1" applyFont="1" applyFill="1" applyBorder="1"/>
    <xf numFmtId="0" fontId="3" fillId="0" borderId="11" xfId="0" applyFont="1" applyFill="1" applyBorder="1"/>
    <xf numFmtId="171" fontId="0" fillId="0" borderId="6" xfId="0" applyNumberFormat="1" applyFill="1" applyBorder="1"/>
    <xf numFmtId="0" fontId="0" fillId="0" borderId="13" xfId="0" applyFill="1" applyBorder="1"/>
    <xf numFmtId="171" fontId="0" fillId="0" borderId="14" xfId="11" applyNumberFormat="1" applyFont="1" applyFill="1" applyBorder="1"/>
    <xf numFmtId="0" fontId="0" fillId="0" borderId="9" xfId="0" applyFill="1" applyBorder="1"/>
    <xf numFmtId="0" fontId="0" fillId="0" borderId="0" xfId="0" applyFont="1" applyFill="1" applyAlignment="1">
      <alignment horizontal="center"/>
    </xf>
    <xf numFmtId="0" fontId="16" fillId="0" borderId="11" xfId="8" applyFont="1" applyFill="1" applyBorder="1"/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72" fontId="6" fillId="0" borderId="0" xfId="9" applyNumberFormat="1" applyFont="1" applyFill="1"/>
    <xf numFmtId="9" fontId="30" fillId="0" borderId="0" xfId="9" applyFont="1" applyFill="1"/>
    <xf numFmtId="0" fontId="3" fillId="0" borderId="0" xfId="0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0" fontId="0" fillId="0" borderId="0" xfId="9" applyNumberFormat="1" applyFont="1" applyFill="1"/>
    <xf numFmtId="164" fontId="0" fillId="0" borderId="1" xfId="0" applyNumberFormat="1" applyFill="1" applyBorder="1"/>
    <xf numFmtId="43" fontId="6" fillId="0" borderId="0" xfId="0" applyNumberFormat="1" applyFont="1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164" fontId="6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0" fontId="0" fillId="0" borderId="0" xfId="9" applyNumberFormat="1" applyFont="1" applyFill="1" applyAlignment="1">
      <alignment horizontal="center"/>
    </xf>
    <xf numFmtId="43" fontId="0" fillId="0" borderId="0" xfId="1" applyNumberFormat="1" applyFont="1" applyFill="1"/>
    <xf numFmtId="43" fontId="0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6" fillId="0" borderId="0" xfId="0" applyNumberFormat="1" applyFont="1" applyFill="1"/>
    <xf numFmtId="37" fontId="6" fillId="0" borderId="0" xfId="0" applyNumberFormat="1" applyFont="1" applyFill="1" applyAlignment="1">
      <alignment horizontal="center" wrapText="1"/>
    </xf>
    <xf numFmtId="3" fontId="5" fillId="0" borderId="1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0" xfId="16" applyNumberFormat="1" applyFont="1" applyFill="1" applyBorder="1" applyAlignment="1">
      <alignment vertical="center"/>
    </xf>
    <xf numFmtId="0" fontId="0" fillId="6" borderId="24" xfId="0" applyFill="1" applyBorder="1" applyAlignment="1">
      <alignment horizontal="center"/>
    </xf>
    <xf numFmtId="3" fontId="50" fillId="0" borderId="0" xfId="0" applyNumberFormat="1" applyFont="1" applyFill="1" applyBorder="1" applyAlignment="1">
      <alignment vertical="center"/>
    </xf>
  </cellXfs>
  <cellStyles count="29">
    <cellStyle name="Comma" xfId="1" builtinId="3"/>
    <cellStyle name="Comma 2" xfId="5"/>
    <cellStyle name="Comma 3" xfId="10"/>
    <cellStyle name="Comma 4" xfId="18"/>
    <cellStyle name="Comma0" xfId="4"/>
    <cellStyle name="Comma0 2" xfId="19"/>
    <cellStyle name="Currency" xfId="11" builtinId="4"/>
    <cellStyle name="Currency 2" xfId="22"/>
    <cellStyle name="Currency0" xfId="20"/>
    <cellStyle name="Normal" xfId="0" builtinId="0"/>
    <cellStyle name="Normal 125" xfId="25"/>
    <cellStyle name="Normal 2" xfId="2"/>
    <cellStyle name="Normal 2 2" xfId="27"/>
    <cellStyle name="Normal 2 3" xfId="15"/>
    <cellStyle name="Normal 3" xfId="3"/>
    <cellStyle name="Normal 3 10" xfId="28"/>
    <cellStyle name="Normal 3 2" xfId="8"/>
    <cellStyle name="Normal 3 2 3" xfId="13"/>
    <cellStyle name="Normal 4" xfId="12"/>
    <cellStyle name="Normal 5" xfId="16"/>
    <cellStyle name="Normal 9" xfId="26"/>
    <cellStyle name="Normal_2006 master state IS allocation" xfId="24"/>
    <cellStyle name="Normal_2007 Oregon Earnings Test Report model 2" xfId="14"/>
    <cellStyle name="Normal_Rev &amp; Cost Model b" xfId="23"/>
    <cellStyle name="Percent" xfId="9" builtinId="5"/>
    <cellStyle name="Percent 2" xfId="7"/>
    <cellStyle name="Percent 3" xfId="17"/>
    <cellStyle name="Percent2" xfId="6"/>
    <cellStyle name="Percent2 2" xfId="2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367553</xdr:colOff>
      <xdr:row>0</xdr:row>
      <xdr:rowOff>80682</xdr:rowOff>
    </xdr:from>
    <xdr:to>
      <xdr:col>6</xdr:col>
      <xdr:colOff>740733</xdr:colOff>
      <xdr:row>3</xdr:row>
      <xdr:rowOff>99060</xdr:rowOff>
    </xdr:to>
    <xdr:sp macro="" textlink="">
      <xdr:nvSpPr>
        <xdr:cNvPr id="2" name="TextBox 1"/>
        <xdr:cNvSpPr txBox="1"/>
      </xdr:nvSpPr>
      <xdr:spPr>
        <a:xfrm>
          <a:off x="4500282" y="80682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This tab pulls data from other tabs in this workpaper; see</a:t>
          </a:r>
          <a:r>
            <a:rPr lang="en-US" sz="900" baseline="0"/>
            <a:t> those tabs for source.</a:t>
          </a:r>
          <a:endParaRPr lang="en-US" sz="9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528918</xdr:colOff>
      <xdr:row>0</xdr:row>
      <xdr:rowOff>89647</xdr:rowOff>
    </xdr:from>
    <xdr:to>
      <xdr:col>1</xdr:col>
      <xdr:colOff>2506781</xdr:colOff>
      <xdr:row>3</xdr:row>
      <xdr:rowOff>108025</xdr:rowOff>
    </xdr:to>
    <xdr:sp macro="" textlink="">
      <xdr:nvSpPr>
        <xdr:cNvPr id="2" name="TextBox 1"/>
        <xdr:cNvSpPr txBox="1"/>
      </xdr:nvSpPr>
      <xdr:spPr>
        <a:xfrm>
          <a:off x="528918" y="89647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"UG-181053-NWN-KSM-WP7-1-4-2019."</a:t>
          </a:r>
          <a:endParaRPr lang="en-US" sz="9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421342</xdr:colOff>
      <xdr:row>0</xdr:row>
      <xdr:rowOff>71718</xdr:rowOff>
    </xdr:from>
    <xdr:to>
      <xdr:col>1</xdr:col>
      <xdr:colOff>2399205</xdr:colOff>
      <xdr:row>3</xdr:row>
      <xdr:rowOff>90096</xdr:rowOff>
    </xdr:to>
    <xdr:sp macro="" textlink="">
      <xdr:nvSpPr>
        <xdr:cNvPr id="2" name="TextBox 1"/>
        <xdr:cNvSpPr txBox="1"/>
      </xdr:nvSpPr>
      <xdr:spPr>
        <a:xfrm>
          <a:off x="421342" y="71718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"UG-181053-NWN-KSM-WP7-1-4-2019."</a:t>
          </a:r>
          <a:endParaRPr lang="en-US" sz="9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735106</xdr:colOff>
      <xdr:row>1</xdr:row>
      <xdr:rowOff>44824</xdr:rowOff>
    </xdr:from>
    <xdr:to>
      <xdr:col>1</xdr:col>
      <xdr:colOff>3367393</xdr:colOff>
      <xdr:row>3</xdr:row>
      <xdr:rowOff>242495</xdr:rowOff>
    </xdr:to>
    <xdr:sp macro="" textlink="">
      <xdr:nvSpPr>
        <xdr:cNvPr id="2" name="TextBox 1"/>
        <xdr:cNvSpPr txBox="1"/>
      </xdr:nvSpPr>
      <xdr:spPr>
        <a:xfrm>
          <a:off x="1120588" y="277906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"UG-181053-NWN-KSM-WP17-1-4-2019."</a:t>
          </a:r>
          <a:endParaRPr lang="en-US" sz="9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89647</xdr:rowOff>
    </xdr:from>
    <xdr:to>
      <xdr:col>1</xdr:col>
      <xdr:colOff>2193016</xdr:colOff>
      <xdr:row>3</xdr:row>
      <xdr:rowOff>108025</xdr:rowOff>
    </xdr:to>
    <xdr:sp macro="" textlink="">
      <xdr:nvSpPr>
        <xdr:cNvPr id="2" name="TextBox 1"/>
        <xdr:cNvSpPr txBox="1"/>
      </xdr:nvSpPr>
      <xdr:spPr>
        <a:xfrm>
          <a:off x="304800" y="89647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"UG-181053-NWN-KSM-WP16-1-4-2019."</a:t>
          </a:r>
          <a:endParaRPr lang="en-US" sz="9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44824</xdr:colOff>
      <xdr:row>0</xdr:row>
      <xdr:rowOff>89645</xdr:rowOff>
    </xdr:from>
    <xdr:to>
      <xdr:col>6</xdr:col>
      <xdr:colOff>937958</xdr:colOff>
      <xdr:row>3</xdr:row>
      <xdr:rowOff>108023</xdr:rowOff>
    </xdr:to>
    <xdr:sp macro="" textlink="">
      <xdr:nvSpPr>
        <xdr:cNvPr id="2" name="TextBox 1"/>
        <xdr:cNvSpPr txBox="1"/>
      </xdr:nvSpPr>
      <xdr:spPr>
        <a:xfrm>
          <a:off x="2913530" y="89645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the base and heat load coefficients is, "UG-181053-NWN-KSM-WP4-1-4-2019."</a:t>
          </a:r>
          <a:endParaRPr lang="en-US" sz="9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1210236</xdr:colOff>
      <xdr:row>0</xdr:row>
      <xdr:rowOff>80682</xdr:rowOff>
    </xdr:from>
    <xdr:to>
      <xdr:col>1</xdr:col>
      <xdr:colOff>2426099</xdr:colOff>
      <xdr:row>3</xdr:row>
      <xdr:rowOff>99060</xdr:rowOff>
    </xdr:to>
    <xdr:sp macro="" textlink="">
      <xdr:nvSpPr>
        <xdr:cNvPr id="2" name="TextBox 1"/>
        <xdr:cNvSpPr txBox="1"/>
      </xdr:nvSpPr>
      <xdr:spPr>
        <a:xfrm>
          <a:off x="1210236" y="80682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"UG-181053-NWN-KSM-WP2-1-4-2019."</a:t>
          </a:r>
          <a:endParaRPr lang="en-US" sz="9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268941</xdr:colOff>
      <xdr:row>0</xdr:row>
      <xdr:rowOff>89647</xdr:rowOff>
    </xdr:from>
    <xdr:to>
      <xdr:col>2</xdr:col>
      <xdr:colOff>2076475</xdr:colOff>
      <xdr:row>3</xdr:row>
      <xdr:rowOff>99060</xdr:rowOff>
    </xdr:to>
    <xdr:sp macro="" textlink="">
      <xdr:nvSpPr>
        <xdr:cNvPr id="2" name="TextBox 1"/>
        <xdr:cNvSpPr txBox="1"/>
      </xdr:nvSpPr>
      <xdr:spPr>
        <a:xfrm>
          <a:off x="1210235" y="89647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file for this tab is, "UG-181053-NWN-KSM-WP2-1-4-2019."</a:t>
          </a:r>
          <a:endParaRPr lang="en-US" sz="90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186267</xdr:colOff>
      <xdr:row>1</xdr:row>
      <xdr:rowOff>33867</xdr:rowOff>
    </xdr:from>
    <xdr:to>
      <xdr:col>3</xdr:col>
      <xdr:colOff>574887</xdr:colOff>
      <xdr:row>4</xdr:row>
      <xdr:rowOff>31327</xdr:rowOff>
    </xdr:to>
    <xdr:sp macro="" textlink="">
      <xdr:nvSpPr>
        <xdr:cNvPr id="2" name="TextBox 1"/>
        <xdr:cNvSpPr txBox="1"/>
      </xdr:nvSpPr>
      <xdr:spPr>
        <a:xfrm>
          <a:off x="1752600" y="228600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file for this tab is, "UG-181053-NWN-KSM-WP2-1-4-2019."</a:t>
          </a:r>
          <a:endParaRPr lang="en-US" sz="90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242047</xdr:colOff>
      <xdr:row>0</xdr:row>
      <xdr:rowOff>71718</xdr:rowOff>
    </xdr:from>
    <xdr:to>
      <xdr:col>3</xdr:col>
      <xdr:colOff>629771</xdr:colOff>
      <xdr:row>3</xdr:row>
      <xdr:rowOff>73511</xdr:rowOff>
    </xdr:to>
    <xdr:sp macro="" textlink="">
      <xdr:nvSpPr>
        <xdr:cNvPr id="2" name="TextBox 1"/>
        <xdr:cNvSpPr txBox="1"/>
      </xdr:nvSpPr>
      <xdr:spPr>
        <a:xfrm>
          <a:off x="2070847" y="71718"/>
          <a:ext cx="26289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file for this tab is, "UG-181053-NWN-KSM-WP2-1-4-2019."</a:t>
          </a:r>
          <a:endParaRPr lang="en-US" sz="90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0</xdr:row>
      <xdr:rowOff>76200</xdr:rowOff>
    </xdr:from>
    <xdr:to>
      <xdr:col>11</xdr:col>
      <xdr:colOff>45720</xdr:colOff>
      <xdr:row>2</xdr:row>
      <xdr:rowOff>144780</xdr:rowOff>
    </xdr:to>
    <xdr:sp macro="" textlink="">
      <xdr:nvSpPr>
        <xdr:cNvPr id="2" name="TextBox 1"/>
        <xdr:cNvSpPr txBox="1"/>
      </xdr:nvSpPr>
      <xdr:spPr>
        <a:xfrm>
          <a:off x="6743700" y="76200"/>
          <a:ext cx="26289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file that feeds this Meter Assembly Cost Guide is, "UG-181053-NWN-RJA-WP2-1-4-2019."</a:t>
          </a:r>
          <a:endParaRPr 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71717</xdr:colOff>
      <xdr:row>0</xdr:row>
      <xdr:rowOff>53788</xdr:rowOff>
    </xdr:from>
    <xdr:to>
      <xdr:col>5</xdr:col>
      <xdr:colOff>875204</xdr:colOff>
      <xdr:row>3</xdr:row>
      <xdr:rowOff>72166</xdr:rowOff>
    </xdr:to>
    <xdr:sp macro="" textlink="">
      <xdr:nvSpPr>
        <xdr:cNvPr id="2" name="TextBox 1"/>
        <xdr:cNvSpPr txBox="1"/>
      </xdr:nvSpPr>
      <xdr:spPr>
        <a:xfrm>
          <a:off x="4195482" y="53788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1</xdr:row>
      <xdr:rowOff>35860</xdr:rowOff>
    </xdr:from>
    <xdr:to>
      <xdr:col>4</xdr:col>
      <xdr:colOff>558052</xdr:colOff>
      <xdr:row>4</xdr:row>
      <xdr:rowOff>46618</xdr:rowOff>
    </xdr:to>
    <xdr:sp macro="" textlink="">
      <xdr:nvSpPr>
        <xdr:cNvPr id="2" name="TextBox 1"/>
        <xdr:cNvSpPr txBox="1"/>
      </xdr:nvSpPr>
      <xdr:spPr>
        <a:xfrm>
          <a:off x="654423" y="215154"/>
          <a:ext cx="26289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file for this tab is, "UG-181053-NWN-KSM-WP35-1-4-2019."</a:t>
          </a:r>
          <a:endParaRPr lang="en-US" sz="90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188259</xdr:colOff>
      <xdr:row>0</xdr:row>
      <xdr:rowOff>170329</xdr:rowOff>
    </xdr:from>
    <xdr:to>
      <xdr:col>12</xdr:col>
      <xdr:colOff>513677</xdr:colOff>
      <xdr:row>1</xdr:row>
      <xdr:rowOff>328556</xdr:rowOff>
    </xdr:to>
    <xdr:sp macro="" textlink="">
      <xdr:nvSpPr>
        <xdr:cNvPr id="2" name="TextBox 1"/>
        <xdr:cNvSpPr txBox="1"/>
      </xdr:nvSpPr>
      <xdr:spPr>
        <a:xfrm>
          <a:off x="9448800" y="170329"/>
          <a:ext cx="2629348" cy="5437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file that feeds this tab is, "UG-181053-NWN-RJA-WP3-1-4-2019."</a:t>
          </a:r>
          <a:endParaRPr lang="en-US" sz="9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89647</xdr:colOff>
      <xdr:row>0</xdr:row>
      <xdr:rowOff>89647</xdr:rowOff>
    </xdr:from>
    <xdr:to>
      <xdr:col>8</xdr:col>
      <xdr:colOff>387723</xdr:colOff>
      <xdr:row>3</xdr:row>
      <xdr:rowOff>100405</xdr:rowOff>
    </xdr:to>
    <xdr:sp macro="" textlink="">
      <xdr:nvSpPr>
        <xdr:cNvPr id="2" name="TextBox 1"/>
        <xdr:cNvSpPr txBox="1"/>
      </xdr:nvSpPr>
      <xdr:spPr>
        <a:xfrm>
          <a:off x="4500282" y="89647"/>
          <a:ext cx="26289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source file for this tab is, "UG-181053-NWN-KSM-WP33-1-4-2019."</a:t>
          </a:r>
          <a:endParaRPr lang="en-US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215153</xdr:colOff>
      <xdr:row>0</xdr:row>
      <xdr:rowOff>98612</xdr:rowOff>
    </xdr:from>
    <xdr:to>
      <xdr:col>6</xdr:col>
      <xdr:colOff>749699</xdr:colOff>
      <xdr:row>3</xdr:row>
      <xdr:rowOff>90096</xdr:rowOff>
    </xdr:to>
    <xdr:sp macro="" textlink="">
      <xdr:nvSpPr>
        <xdr:cNvPr id="2" name="TextBox 1"/>
        <xdr:cNvSpPr txBox="1"/>
      </xdr:nvSpPr>
      <xdr:spPr>
        <a:xfrm>
          <a:off x="4428565" y="98612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170330</xdr:colOff>
      <xdr:row>0</xdr:row>
      <xdr:rowOff>89647</xdr:rowOff>
    </xdr:from>
    <xdr:to>
      <xdr:col>6</xdr:col>
      <xdr:colOff>848311</xdr:colOff>
      <xdr:row>3</xdr:row>
      <xdr:rowOff>108025</xdr:rowOff>
    </xdr:to>
    <xdr:sp macro="" textlink="">
      <xdr:nvSpPr>
        <xdr:cNvPr id="2" name="TextBox 1"/>
        <xdr:cNvSpPr txBox="1"/>
      </xdr:nvSpPr>
      <xdr:spPr>
        <a:xfrm>
          <a:off x="4796118" y="89647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116541</xdr:colOff>
      <xdr:row>0</xdr:row>
      <xdr:rowOff>98612</xdr:rowOff>
    </xdr:from>
    <xdr:to>
      <xdr:col>5</xdr:col>
      <xdr:colOff>651086</xdr:colOff>
      <xdr:row>3</xdr:row>
      <xdr:rowOff>116990</xdr:rowOff>
    </xdr:to>
    <xdr:sp macro="" textlink="">
      <xdr:nvSpPr>
        <xdr:cNvPr id="2" name="TextBox 1"/>
        <xdr:cNvSpPr txBox="1"/>
      </xdr:nvSpPr>
      <xdr:spPr>
        <a:xfrm>
          <a:off x="4374776" y="98612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107576</xdr:colOff>
      <xdr:row>0</xdr:row>
      <xdr:rowOff>80682</xdr:rowOff>
    </xdr:from>
    <xdr:to>
      <xdr:col>5</xdr:col>
      <xdr:colOff>391110</xdr:colOff>
      <xdr:row>3</xdr:row>
      <xdr:rowOff>125954</xdr:rowOff>
    </xdr:to>
    <xdr:sp macro="" textlink="">
      <xdr:nvSpPr>
        <xdr:cNvPr id="2" name="TextBox 1"/>
        <xdr:cNvSpPr txBox="1"/>
      </xdr:nvSpPr>
      <xdr:spPr>
        <a:xfrm>
          <a:off x="4688541" y="80682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502024</xdr:colOff>
      <xdr:row>1</xdr:row>
      <xdr:rowOff>62753</xdr:rowOff>
    </xdr:from>
    <xdr:to>
      <xdr:col>5</xdr:col>
      <xdr:colOff>364217</xdr:colOff>
      <xdr:row>4</xdr:row>
      <xdr:rowOff>81131</xdr:rowOff>
    </xdr:to>
    <xdr:sp macro="" textlink="">
      <xdr:nvSpPr>
        <xdr:cNvPr id="2" name="TextBox 1"/>
        <xdr:cNvSpPr txBox="1"/>
      </xdr:nvSpPr>
      <xdr:spPr>
        <a:xfrm>
          <a:off x="4374777" y="242047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197224</xdr:colOff>
      <xdr:row>0</xdr:row>
      <xdr:rowOff>125506</xdr:rowOff>
    </xdr:from>
    <xdr:to>
      <xdr:col>7</xdr:col>
      <xdr:colOff>875204</xdr:colOff>
      <xdr:row>3</xdr:row>
      <xdr:rowOff>143884</xdr:rowOff>
    </xdr:to>
    <xdr:sp macro="" textlink="">
      <xdr:nvSpPr>
        <xdr:cNvPr id="2" name="TextBox 1"/>
        <xdr:cNvSpPr txBox="1"/>
      </xdr:nvSpPr>
      <xdr:spPr>
        <a:xfrm>
          <a:off x="4634753" y="125506"/>
          <a:ext cx="2686075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"UG-181053-NWN-KSM-WP31-1-4-2019."</a:t>
          </a:r>
          <a:endParaRPr lang="en-US" sz="9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376518</xdr:colOff>
      <xdr:row>0</xdr:row>
      <xdr:rowOff>71718</xdr:rowOff>
    </xdr:from>
    <xdr:to>
      <xdr:col>13</xdr:col>
      <xdr:colOff>857275</xdr:colOff>
      <xdr:row>3</xdr:row>
      <xdr:rowOff>90096</xdr:rowOff>
    </xdr:to>
    <xdr:sp macro="" textlink="">
      <xdr:nvSpPr>
        <xdr:cNvPr id="2" name="TextBox 1"/>
        <xdr:cNvSpPr txBox="1"/>
      </xdr:nvSpPr>
      <xdr:spPr>
        <a:xfrm>
          <a:off x="8722659" y="71718"/>
          <a:ext cx="2632287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The</a:t>
          </a:r>
          <a:r>
            <a:rPr lang="en-US" sz="900" baseline="0"/>
            <a:t> source file for this tab is, "UG-181053-NWN-KSM-WP33-1-4-2019."</a:t>
          </a:r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lackandveatch-my.sharepoint.com/personal/maciasge_bv_com/Documents/BV%20My%20Documents/NW%20Natural/Data%20from%20NW%20Natural/Rate%20Case%20Margin%20Model%20-%20WA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 Cust &amp; Vols"/>
      <sheetName val="Input - Cust &amp; Use"/>
      <sheetName val="R&amp;C UPC"/>
      <sheetName val="Input - Rates"/>
      <sheetName val="Customers"/>
      <sheetName val="Volumes"/>
      <sheetName val="Cust Charge"/>
      <sheetName val="MDDV Service Charge"/>
      <sheetName val="Perm Base Rate Rev"/>
      <sheetName val="Output to Forecast model"/>
      <sheetName val="Margins tab to Forecast model"/>
      <sheetName val="Volumes tab to Forecast model"/>
      <sheetName val="Mo. Output to Forecast model"/>
      <sheetName val="Mo. Margins tab to Forecast mod"/>
      <sheetName val="Mo. Volumes tab to Forecast mod"/>
      <sheetName val="BExRepositorySheet"/>
      <sheetName val="Export to Lawson Year 1"/>
      <sheetName val="Export to Lawson Year 2"/>
      <sheetName val="WACOG"/>
      <sheetName val="Demand"/>
      <sheetName val="Total Cost of Gas"/>
      <sheetName val="Total Revenue"/>
      <sheetName val="Monthly Margin"/>
      <sheetName val="Output to Rev Req"/>
    </sheetNames>
    <sheetDataSet>
      <sheetData sheetId="0"/>
      <sheetData sheetId="1"/>
      <sheetData sheetId="2" refreshError="1"/>
      <sheetData sheetId="3">
        <row r="35">
          <cell r="I35">
            <v>6.0587254696298134E-3</v>
          </cell>
        </row>
      </sheetData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V new brand_working">
      <a:dk1>
        <a:sysClr val="windowText" lastClr="000000"/>
      </a:dk1>
      <a:lt1>
        <a:srgbClr val="FFFFFF"/>
      </a:lt1>
      <a:dk2>
        <a:srgbClr val="006600"/>
      </a:dk2>
      <a:lt2>
        <a:srgbClr val="0000FF"/>
      </a:lt2>
      <a:accent1>
        <a:srgbClr val="00A2E5"/>
      </a:accent1>
      <a:accent2>
        <a:srgbClr val="49AD50"/>
      </a:accent2>
      <a:accent3>
        <a:srgbClr val="C0C0C0"/>
      </a:accent3>
      <a:accent4>
        <a:srgbClr val="61E769"/>
      </a:accent4>
      <a:accent5>
        <a:srgbClr val="BC0E93"/>
      </a:accent5>
      <a:accent6>
        <a:srgbClr val="4D4D4D"/>
      </a:accent6>
      <a:hlink>
        <a:srgbClr val="005596"/>
      </a:hlink>
      <a:folHlink>
        <a:srgbClr val="00A2E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12" sqref="A12"/>
    </sheetView>
  </sheetViews>
  <sheetFormatPr defaultRowHeight="14.4" x14ac:dyDescent="0.3"/>
  <sheetData>
    <row r="1" spans="1:3" x14ac:dyDescent="0.3">
      <c r="A1" s="695" t="s">
        <v>142</v>
      </c>
    </row>
    <row r="2" spans="1:3" x14ac:dyDescent="0.3">
      <c r="A2" s="696" t="s">
        <v>2438</v>
      </c>
      <c r="B2" s="7"/>
      <c r="C2" s="7"/>
    </row>
    <row r="3" spans="1:3" x14ac:dyDescent="0.3">
      <c r="A3" s="695" t="s">
        <v>2439</v>
      </c>
    </row>
    <row r="4" spans="1:3" x14ac:dyDescent="0.3">
      <c r="A4" s="695"/>
    </row>
    <row r="6" spans="1:3" x14ac:dyDescent="0.3">
      <c r="A6" s="695" t="s">
        <v>2440</v>
      </c>
    </row>
    <row r="7" spans="1:3" x14ac:dyDescent="0.3">
      <c r="A7" s="698" t="s">
        <v>2441</v>
      </c>
    </row>
    <row r="8" spans="1:3" x14ac:dyDescent="0.3">
      <c r="A8" s="698" t="s">
        <v>2442</v>
      </c>
    </row>
    <row r="9" spans="1:3" x14ac:dyDescent="0.3">
      <c r="A9" s="698" t="s">
        <v>2443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5"/>
  <sheetViews>
    <sheetView zoomScale="85" zoomScaleNormal="85" workbookViewId="0">
      <selection activeCell="P5" sqref="P5"/>
    </sheetView>
  </sheetViews>
  <sheetFormatPr defaultRowHeight="14.4" x14ac:dyDescent="0.3"/>
  <cols>
    <col min="2" max="2" width="9.109375" style="84"/>
    <col min="3" max="3" width="14.6640625" bestFit="1" customWidth="1"/>
    <col min="4" max="4" width="15.33203125" bestFit="1" customWidth="1"/>
    <col min="6" max="6" width="4.6640625" customWidth="1"/>
    <col min="7" max="7" width="14.6640625" bestFit="1" customWidth="1"/>
    <col min="8" max="8" width="15.33203125" bestFit="1" customWidth="1"/>
    <col min="11" max="11" width="12.44140625" bestFit="1" customWidth="1"/>
    <col min="12" max="12" width="17.77734375" bestFit="1" customWidth="1"/>
    <col min="13" max="13" width="14.33203125" bestFit="1" customWidth="1"/>
    <col min="14" max="14" width="15.44140625" bestFit="1" customWidth="1"/>
  </cols>
  <sheetData>
    <row r="1" spans="2:18" x14ac:dyDescent="0.3">
      <c r="R1" t="s">
        <v>2360</v>
      </c>
    </row>
    <row r="2" spans="2:18" x14ac:dyDescent="0.3">
      <c r="K2" s="5" t="s">
        <v>1597</v>
      </c>
      <c r="R2" s="8" t="s">
        <v>321</v>
      </c>
    </row>
    <row r="3" spans="2:18" x14ac:dyDescent="0.3">
      <c r="C3" s="689" t="s">
        <v>626</v>
      </c>
      <c r="D3" s="690"/>
      <c r="E3" s="691"/>
      <c r="G3" s="689" t="s">
        <v>625</v>
      </c>
      <c r="H3" s="690"/>
      <c r="I3" s="691"/>
      <c r="K3" t="s">
        <v>2342</v>
      </c>
      <c r="L3" s="163">
        <v>0</v>
      </c>
      <c r="R3" s="8" t="s">
        <v>2358</v>
      </c>
    </row>
    <row r="4" spans="2:18" x14ac:dyDescent="0.3">
      <c r="C4" s="420"/>
      <c r="D4" s="421"/>
      <c r="E4" s="422" t="s">
        <v>1597</v>
      </c>
      <c r="G4" s="420"/>
      <c r="H4" s="421"/>
      <c r="I4" s="422" t="s">
        <v>1597</v>
      </c>
      <c r="R4" s="8" t="s">
        <v>1959</v>
      </c>
    </row>
    <row r="5" spans="2:18" x14ac:dyDescent="0.3">
      <c r="B5" s="84" t="s">
        <v>2361</v>
      </c>
      <c r="C5" s="423" t="s">
        <v>2362</v>
      </c>
      <c r="D5" s="424" t="s">
        <v>2363</v>
      </c>
      <c r="E5" s="425" t="s">
        <v>2364</v>
      </c>
      <c r="G5" s="423" t="s">
        <v>2362</v>
      </c>
      <c r="H5" s="424" t="s">
        <v>2363</v>
      </c>
      <c r="I5" s="425" t="s">
        <v>2364</v>
      </c>
      <c r="K5" t="s">
        <v>2344</v>
      </c>
      <c r="L5" t="s">
        <v>2343</v>
      </c>
      <c r="M5" t="s">
        <v>2365</v>
      </c>
      <c r="N5" t="s">
        <v>2366</v>
      </c>
      <c r="R5" s="8" t="s">
        <v>1907</v>
      </c>
    </row>
    <row r="6" spans="2:18" x14ac:dyDescent="0.3">
      <c r="B6" s="84" t="s">
        <v>152</v>
      </c>
      <c r="C6" s="426">
        <v>38.731139999999996</v>
      </c>
      <c r="D6" s="100">
        <v>30402.824749999978</v>
      </c>
      <c r="E6" s="427">
        <v>1.2739322848611303E-3</v>
      </c>
      <c r="G6" s="426">
        <v>371.70000000000005</v>
      </c>
      <c r="H6" s="100">
        <v>291773.75</v>
      </c>
      <c r="I6" s="427">
        <v>1.2739322848611297E-3</v>
      </c>
      <c r="K6" s="84" t="s">
        <v>152</v>
      </c>
      <c r="L6" s="4">
        <v>38.731139999999996</v>
      </c>
      <c r="M6" s="4">
        <v>332.96886000000001</v>
      </c>
      <c r="N6" s="4">
        <v>371.70000000000005</v>
      </c>
      <c r="R6" s="8" t="s">
        <v>2359</v>
      </c>
    </row>
    <row r="7" spans="2:18" x14ac:dyDescent="0.3">
      <c r="B7" s="84" t="s">
        <v>153</v>
      </c>
      <c r="C7" s="426">
        <v>1756.1711699999996</v>
      </c>
      <c r="D7" s="100">
        <v>7614.693213999999</v>
      </c>
      <c r="E7" s="427">
        <v>0.2306292743049963</v>
      </c>
      <c r="G7" s="426">
        <v>16853.850000000002</v>
      </c>
      <c r="H7" s="100">
        <v>73077.67</v>
      </c>
      <c r="I7" s="427">
        <v>0.23062927430499636</v>
      </c>
      <c r="K7" s="84" t="s">
        <v>153</v>
      </c>
      <c r="L7" s="4">
        <v>1756.1711699999996</v>
      </c>
      <c r="M7" s="4">
        <v>15097.678830000003</v>
      </c>
      <c r="N7" s="4">
        <v>16853.850000000002</v>
      </c>
    </row>
    <row r="8" spans="2:18" x14ac:dyDescent="0.3">
      <c r="B8" s="84" t="s">
        <v>672</v>
      </c>
      <c r="C8" s="426">
        <v>0</v>
      </c>
      <c r="D8" s="100">
        <v>1.0419999999999995E-2</v>
      </c>
      <c r="E8" s="427">
        <v>0</v>
      </c>
      <c r="G8" s="426">
        <v>0</v>
      </c>
      <c r="H8" s="100">
        <v>9.9999999999999992E-2</v>
      </c>
      <c r="I8" s="427">
        <v>0</v>
      </c>
      <c r="K8" s="84" t="s">
        <v>155</v>
      </c>
      <c r="L8" s="4">
        <v>189887.64077200001</v>
      </c>
      <c r="M8" s="4">
        <v>1646243.8192280002</v>
      </c>
      <c r="N8" s="4">
        <v>1836131.4599999997</v>
      </c>
    </row>
    <row r="9" spans="2:18" x14ac:dyDescent="0.3">
      <c r="B9" s="84" t="s">
        <v>155</v>
      </c>
      <c r="C9" s="426">
        <v>189887.64077200001</v>
      </c>
      <c r="D9" s="100">
        <v>272282.42496560013</v>
      </c>
      <c r="E9" s="427">
        <v>0.69739220515606259</v>
      </c>
      <c r="G9" s="426">
        <v>1836131.4599999997</v>
      </c>
      <c r="H9" s="100">
        <v>2626828.3899999987</v>
      </c>
      <c r="I9" s="427">
        <v>0.69899178301480158</v>
      </c>
      <c r="K9" s="84" t="s">
        <v>157</v>
      </c>
      <c r="L9" s="4">
        <v>70.961195999999958</v>
      </c>
      <c r="M9" s="4">
        <v>1079.4988040000001</v>
      </c>
      <c r="N9" s="4">
        <v>1150.46</v>
      </c>
    </row>
    <row r="10" spans="2:18" x14ac:dyDescent="0.3">
      <c r="B10" s="84" t="s">
        <v>157</v>
      </c>
      <c r="C10" s="426">
        <v>70.961195999999958</v>
      </c>
      <c r="D10" s="100">
        <v>2137.958881999999</v>
      </c>
      <c r="E10" s="427">
        <v>3.3191094832290602E-2</v>
      </c>
      <c r="G10" s="426">
        <v>1150.46</v>
      </c>
      <c r="H10" s="100">
        <v>20987.29</v>
      </c>
      <c r="I10" s="427">
        <v>5.4816986852518831E-2</v>
      </c>
      <c r="K10" s="84" t="s">
        <v>160</v>
      </c>
      <c r="L10" s="4">
        <v>18020.403225999995</v>
      </c>
      <c r="M10" s="4">
        <v>154920.12677400003</v>
      </c>
      <c r="N10" s="4">
        <v>172940.53000000003</v>
      </c>
    </row>
    <row r="11" spans="2:18" x14ac:dyDescent="0.3">
      <c r="B11" s="84" t="s">
        <v>160</v>
      </c>
      <c r="C11" s="426">
        <v>18020.403225999995</v>
      </c>
      <c r="D11" s="100">
        <v>24740.601959999989</v>
      </c>
      <c r="E11" s="427">
        <v>0.72837367721023727</v>
      </c>
      <c r="G11" s="426">
        <v>172940.53000000003</v>
      </c>
      <c r="H11" s="100">
        <v>237433.80000000002</v>
      </c>
      <c r="I11" s="427">
        <v>0.72837367721023716</v>
      </c>
      <c r="K11" s="84" t="s">
        <v>164</v>
      </c>
      <c r="L11" s="4">
        <v>10859.636471999995</v>
      </c>
      <c r="M11" s="4">
        <v>93359.523528000005</v>
      </c>
      <c r="N11" s="4">
        <v>104219.16</v>
      </c>
    </row>
    <row r="12" spans="2:18" x14ac:dyDescent="0.3">
      <c r="B12" s="84" t="s">
        <v>702</v>
      </c>
      <c r="C12" s="426">
        <v>0</v>
      </c>
      <c r="D12" s="100">
        <v>24220.194857999988</v>
      </c>
      <c r="E12" s="427">
        <v>0</v>
      </c>
      <c r="G12" s="426">
        <v>0</v>
      </c>
      <c r="H12" s="100">
        <v>232439.48999999993</v>
      </c>
      <c r="I12" s="427">
        <v>0</v>
      </c>
      <c r="K12" s="84" t="s">
        <v>168</v>
      </c>
      <c r="L12" s="4">
        <v>131325.93168800001</v>
      </c>
      <c r="M12" s="4">
        <v>1128999.7083120001</v>
      </c>
      <c r="N12" s="4">
        <v>1260325.6399999997</v>
      </c>
    </row>
    <row r="13" spans="2:18" x14ac:dyDescent="0.3">
      <c r="B13" s="84" t="s">
        <v>164</v>
      </c>
      <c r="C13" s="426">
        <v>10859.636471999995</v>
      </c>
      <c r="D13" s="100">
        <v>17928.332105999994</v>
      </c>
      <c r="E13" s="427">
        <v>0.60572486095154654</v>
      </c>
      <c r="G13" s="426">
        <v>104219.16</v>
      </c>
      <c r="H13" s="100">
        <v>172056.93</v>
      </c>
      <c r="I13" s="427">
        <v>0.60572486095154676</v>
      </c>
      <c r="K13" s="84" t="s">
        <v>171</v>
      </c>
      <c r="L13" s="4">
        <v>89200.741356000013</v>
      </c>
      <c r="M13" s="4">
        <v>766852.4386440001</v>
      </c>
      <c r="N13" s="4">
        <v>856053.17999999982</v>
      </c>
    </row>
    <row r="14" spans="2:18" x14ac:dyDescent="0.3">
      <c r="B14" s="84" t="s">
        <v>168</v>
      </c>
      <c r="C14" s="426">
        <v>131325.93168800001</v>
      </c>
      <c r="D14" s="100">
        <v>197154.387972</v>
      </c>
      <c r="E14" s="427">
        <v>0.66610706989007529</v>
      </c>
      <c r="G14" s="426">
        <v>1260325.6399999997</v>
      </c>
      <c r="H14" s="100">
        <v>1892076.6600000006</v>
      </c>
      <c r="I14" s="427">
        <v>0.66610706989007473</v>
      </c>
      <c r="K14" s="84" t="s">
        <v>175</v>
      </c>
      <c r="L14" s="4">
        <v>36234.558100119968</v>
      </c>
      <c r="M14" s="4">
        <v>757505.71189988055</v>
      </c>
      <c r="N14" s="4">
        <v>793740.27000000037</v>
      </c>
    </row>
    <row r="15" spans="2:18" x14ac:dyDescent="0.3">
      <c r="B15" s="84" t="s">
        <v>169</v>
      </c>
      <c r="C15" s="426">
        <v>0</v>
      </c>
      <c r="D15" s="100">
        <v>-10478.562483999998</v>
      </c>
      <c r="E15" s="427">
        <v>0</v>
      </c>
      <c r="G15" s="426">
        <v>0</v>
      </c>
      <c r="H15" s="100">
        <v>-100562.02000000002</v>
      </c>
      <c r="I15" s="427">
        <v>0</v>
      </c>
      <c r="K15" s="84" t="s">
        <v>176</v>
      </c>
      <c r="L15" s="4">
        <v>1746.3061309999996</v>
      </c>
      <c r="M15" s="4">
        <v>13831.803869000001</v>
      </c>
      <c r="N15" s="4">
        <v>15578.109999999999</v>
      </c>
    </row>
    <row r="16" spans="2:18" x14ac:dyDescent="0.3">
      <c r="B16" s="84" t="s">
        <v>171</v>
      </c>
      <c r="C16" s="426">
        <v>89200.741356000013</v>
      </c>
      <c r="D16" s="100">
        <v>116477.30768999993</v>
      </c>
      <c r="E16" s="427">
        <v>0.76582076908409069</v>
      </c>
      <c r="G16" s="426">
        <v>856053.17999999982</v>
      </c>
      <c r="H16" s="100">
        <v>1117824.4499999997</v>
      </c>
      <c r="I16" s="427">
        <v>0.76582076908409014</v>
      </c>
      <c r="K16" s="84" t="s">
        <v>180</v>
      </c>
      <c r="L16" s="4">
        <v>269671.42838399997</v>
      </c>
      <c r="M16" s="4">
        <v>2839090.3316160003</v>
      </c>
      <c r="N16" s="4">
        <v>3108761.76</v>
      </c>
    </row>
    <row r="17" spans="2:14" x14ac:dyDescent="0.3">
      <c r="B17" s="84" t="s">
        <v>175</v>
      </c>
      <c r="C17" s="426">
        <v>36234.558100119968</v>
      </c>
      <c r="D17" s="100">
        <v>136387.00635412001</v>
      </c>
      <c r="E17" s="427">
        <v>0.26567456144641294</v>
      </c>
      <c r="G17" s="426">
        <v>793740.27000000037</v>
      </c>
      <c r="H17" s="100">
        <v>1998784.9200000027</v>
      </c>
      <c r="I17" s="427">
        <v>0.39711139605756046</v>
      </c>
      <c r="K17" s="84" t="s">
        <v>181</v>
      </c>
      <c r="L17" s="4">
        <v>833628.27772424009</v>
      </c>
      <c r="M17" s="4">
        <v>6012306.1622757455</v>
      </c>
      <c r="N17" s="4">
        <v>6845934.4399999883</v>
      </c>
    </row>
    <row r="18" spans="2:14" x14ac:dyDescent="0.3">
      <c r="B18" s="84" t="s">
        <v>176</v>
      </c>
      <c r="C18" s="426">
        <v>1746.3061309999996</v>
      </c>
      <c r="D18" s="100">
        <v>18635.184115999997</v>
      </c>
      <c r="E18" s="427">
        <v>9.3710162460945975E-2</v>
      </c>
      <c r="G18" s="426">
        <v>15578.109999999999</v>
      </c>
      <c r="H18" s="100">
        <v>166376.11000000002</v>
      </c>
      <c r="I18" s="427">
        <v>9.3631892222988011E-2</v>
      </c>
      <c r="K18" s="84" t="s">
        <v>183</v>
      </c>
      <c r="L18" s="4">
        <v>7587.931840000002</v>
      </c>
      <c r="M18" s="4">
        <v>74219.688160000049</v>
      </c>
      <c r="N18" s="4">
        <v>81807.619999999646</v>
      </c>
    </row>
    <row r="19" spans="2:14" x14ac:dyDescent="0.3">
      <c r="B19" s="84" t="s">
        <v>180</v>
      </c>
      <c r="C19" s="426">
        <v>269671.42838399997</v>
      </c>
      <c r="D19" s="100">
        <v>302733.33109600004</v>
      </c>
      <c r="E19" s="427">
        <v>0.89078869316337095</v>
      </c>
      <c r="G19" s="426">
        <v>3108761.76</v>
      </c>
      <c r="H19" s="100">
        <v>3497211.93</v>
      </c>
      <c r="I19" s="427">
        <v>0.88892575635243232</v>
      </c>
      <c r="K19" s="84" t="s">
        <v>185</v>
      </c>
      <c r="L19" s="4">
        <v>25803.690577000005</v>
      </c>
      <c r="M19" s="4">
        <v>262767.36942300008</v>
      </c>
      <c r="N19" s="4">
        <v>288571.06000000006</v>
      </c>
    </row>
    <row r="20" spans="2:14" x14ac:dyDescent="0.3">
      <c r="B20" s="84" t="s">
        <v>181</v>
      </c>
      <c r="C20" s="426">
        <v>833628.27772424009</v>
      </c>
      <c r="D20" s="100">
        <v>1505786.4810249705</v>
      </c>
      <c r="E20" s="427">
        <v>0.5536165241414569</v>
      </c>
      <c r="G20" s="426">
        <v>6845934.4399999883</v>
      </c>
      <c r="H20" s="100">
        <v>12875978.759999992</v>
      </c>
      <c r="I20" s="427">
        <v>0.53168264468308213</v>
      </c>
      <c r="K20" s="84" t="s">
        <v>187</v>
      </c>
      <c r="L20" s="4">
        <v>592504.34956314042</v>
      </c>
      <c r="M20" s="4">
        <v>4731372.8604368595</v>
      </c>
      <c r="N20" s="4">
        <v>5323877.21</v>
      </c>
    </row>
    <row r="21" spans="2:14" x14ac:dyDescent="0.3">
      <c r="B21" s="84" t="s">
        <v>183</v>
      </c>
      <c r="C21" s="426">
        <v>7587.931840000002</v>
      </c>
      <c r="D21" s="100">
        <v>20985.357176361704</v>
      </c>
      <c r="E21" s="427">
        <v>0.36158221069247226</v>
      </c>
      <c r="G21" s="426">
        <v>81807.619999999646</v>
      </c>
      <c r="H21" s="100">
        <v>199446.19000000003</v>
      </c>
      <c r="I21" s="427">
        <v>0.41017389201568422</v>
      </c>
      <c r="K21" s="84" t="s">
        <v>189</v>
      </c>
      <c r="L21" s="4">
        <v>1066166.7182209406</v>
      </c>
      <c r="M21" s="4">
        <v>8506199.8117790595</v>
      </c>
      <c r="N21" s="4">
        <v>9572366.5299999975</v>
      </c>
    </row>
    <row r="22" spans="2:14" x14ac:dyDescent="0.3">
      <c r="B22" s="84" t="s">
        <v>185</v>
      </c>
      <c r="C22" s="426">
        <v>25803.690577000005</v>
      </c>
      <c r="D22" s="100">
        <v>43948.897824000007</v>
      </c>
      <c r="E22" s="427">
        <v>0.587129412899836</v>
      </c>
      <c r="G22" s="426">
        <v>288571.06000000006</v>
      </c>
      <c r="H22" s="100">
        <v>504446.94999999995</v>
      </c>
      <c r="I22" s="427">
        <v>0.57205432602972439</v>
      </c>
      <c r="K22" s="84" t="s">
        <v>191</v>
      </c>
      <c r="L22" s="4">
        <v>170072.41919430991</v>
      </c>
      <c r="M22" s="4">
        <v>1476587.06080569</v>
      </c>
      <c r="N22" s="4">
        <v>1646659.4799999995</v>
      </c>
    </row>
    <row r="23" spans="2:14" x14ac:dyDescent="0.3">
      <c r="B23" s="84" t="s">
        <v>187</v>
      </c>
      <c r="C23" s="426">
        <v>592504.34956314042</v>
      </c>
      <c r="D23" s="100">
        <v>670318.29041065078</v>
      </c>
      <c r="E23" s="427">
        <v>0.88391493718627323</v>
      </c>
      <c r="G23" s="426">
        <v>5323877.21</v>
      </c>
      <c r="H23" s="100">
        <v>6022667.0599999996</v>
      </c>
      <c r="I23" s="427">
        <v>0.88397335548546829</v>
      </c>
      <c r="K23" s="84" t="s">
        <v>194</v>
      </c>
      <c r="L23" s="4">
        <v>318871.10395659984</v>
      </c>
      <c r="M23" s="4">
        <v>4776639.2760434002</v>
      </c>
      <c r="N23" s="4">
        <v>5095510.3800000018</v>
      </c>
    </row>
    <row r="24" spans="2:14" x14ac:dyDescent="0.3">
      <c r="B24" s="84" t="s">
        <v>189</v>
      </c>
      <c r="C24" s="426">
        <v>1066166.7182209406</v>
      </c>
      <c r="D24" s="100">
        <v>1229187.7961862108</v>
      </c>
      <c r="E24" s="427">
        <v>0.86737496217333576</v>
      </c>
      <c r="G24" s="426">
        <v>9572366.5299999975</v>
      </c>
      <c r="H24" s="100">
        <v>11036725.700000001</v>
      </c>
      <c r="I24" s="427">
        <v>0.86731941974420879</v>
      </c>
      <c r="K24" s="84" t="s">
        <v>195</v>
      </c>
      <c r="L24" s="4">
        <v>112303.84430410001</v>
      </c>
      <c r="M24" s="4">
        <v>2107955.0556958998</v>
      </c>
      <c r="N24" s="4">
        <v>2220258.8999999994</v>
      </c>
    </row>
    <row r="25" spans="2:14" x14ac:dyDescent="0.3">
      <c r="B25" s="84" t="s">
        <v>191</v>
      </c>
      <c r="C25" s="426">
        <v>170072.41919430991</v>
      </c>
      <c r="D25" s="100">
        <v>182680.69190022987</v>
      </c>
      <c r="E25" s="427">
        <v>0.93098190851605767</v>
      </c>
      <c r="G25" s="426">
        <v>1646659.4799999995</v>
      </c>
      <c r="H25" s="100">
        <v>1778613.65</v>
      </c>
      <c r="I25" s="427">
        <v>0.92581066157903358</v>
      </c>
      <c r="K25" s="84" t="s">
        <v>196</v>
      </c>
      <c r="L25" s="4">
        <v>99144.66097721277</v>
      </c>
      <c r="M25" s="4">
        <v>975854.28902278771</v>
      </c>
      <c r="N25" s="4">
        <v>1074998.95</v>
      </c>
    </row>
    <row r="26" spans="2:14" x14ac:dyDescent="0.3">
      <c r="B26" s="84" t="s">
        <v>193</v>
      </c>
      <c r="C26" s="426">
        <v>0</v>
      </c>
      <c r="D26" s="100">
        <v>31096.358330999989</v>
      </c>
      <c r="E26" s="427">
        <v>0</v>
      </c>
      <c r="G26" s="426">
        <v>0</v>
      </c>
      <c r="H26" s="100">
        <v>224750.72999999995</v>
      </c>
      <c r="I26" s="427">
        <v>0</v>
      </c>
      <c r="K26" s="84" t="s">
        <v>197</v>
      </c>
      <c r="L26" s="4">
        <v>9569.3354080000008</v>
      </c>
      <c r="M26" s="4">
        <v>131424.22459199998</v>
      </c>
      <c r="N26" s="4">
        <v>140993.56</v>
      </c>
    </row>
    <row r="27" spans="2:14" x14ac:dyDescent="0.3">
      <c r="B27" s="84" t="s">
        <v>194</v>
      </c>
      <c r="C27" s="426">
        <v>318871.10395659984</v>
      </c>
      <c r="D27" s="100">
        <v>345666.10514635965</v>
      </c>
      <c r="E27" s="427">
        <v>0.92248299503240427</v>
      </c>
      <c r="G27" s="426">
        <v>5095510.3800000018</v>
      </c>
      <c r="H27" s="100">
        <v>7357253.8700000029</v>
      </c>
      <c r="I27" s="427">
        <v>0.69258319340827634</v>
      </c>
      <c r="K27" s="84" t="s">
        <v>198</v>
      </c>
      <c r="L27" s="4">
        <v>40956.767430889995</v>
      </c>
      <c r="M27" s="4">
        <v>489985.17256911</v>
      </c>
      <c r="N27" s="4">
        <v>530941.93999999983</v>
      </c>
    </row>
    <row r="28" spans="2:14" x14ac:dyDescent="0.3">
      <c r="B28" s="84" t="s">
        <v>195</v>
      </c>
      <c r="C28" s="426">
        <v>112303.84430410001</v>
      </c>
      <c r="D28" s="100">
        <v>167430.60777712992</v>
      </c>
      <c r="E28" s="427">
        <v>0.67074859128260356</v>
      </c>
      <c r="G28" s="426">
        <v>2220258.8999999994</v>
      </c>
      <c r="H28" s="100">
        <v>3229684.6199999992</v>
      </c>
      <c r="I28" s="427">
        <v>0.68745377992975676</v>
      </c>
      <c r="K28" s="84" t="s">
        <v>199</v>
      </c>
      <c r="L28" s="4">
        <v>244764.49166533016</v>
      </c>
      <c r="M28" s="4">
        <v>2148591.7883346691</v>
      </c>
      <c r="N28" s="4">
        <v>2393356.2800000003</v>
      </c>
    </row>
    <row r="29" spans="2:14" x14ac:dyDescent="0.3">
      <c r="B29" s="84" t="s">
        <v>196</v>
      </c>
      <c r="C29" s="426">
        <v>99144.66097721277</v>
      </c>
      <c r="D29" s="100">
        <v>136348.00809895745</v>
      </c>
      <c r="E29" s="427">
        <v>0.72714418317909302</v>
      </c>
      <c r="G29" s="426">
        <v>1074998.95</v>
      </c>
      <c r="H29" s="100">
        <v>1499233.7300000002</v>
      </c>
      <c r="I29" s="427">
        <v>0.71703226020668553</v>
      </c>
      <c r="K29" s="84" t="s">
        <v>201</v>
      </c>
      <c r="L29" s="4">
        <v>1978.9136309999997</v>
      </c>
      <c r="M29" s="4">
        <v>15674.196368999998</v>
      </c>
      <c r="N29" s="4">
        <v>17653.11</v>
      </c>
    </row>
    <row r="30" spans="2:14" x14ac:dyDescent="0.3">
      <c r="B30" s="84" t="s">
        <v>197</v>
      </c>
      <c r="C30" s="426">
        <v>9569.3354080000008</v>
      </c>
      <c r="D30" s="100">
        <v>14444.307357000002</v>
      </c>
      <c r="E30" s="427">
        <v>0.66249873887947341</v>
      </c>
      <c r="G30" s="426">
        <v>140993.56</v>
      </c>
      <c r="H30" s="100">
        <v>201537.63999999998</v>
      </c>
      <c r="I30" s="427">
        <v>0.69958921817284359</v>
      </c>
      <c r="K30" s="84" t="s">
        <v>203</v>
      </c>
      <c r="L30" s="4">
        <v>191418.20380800008</v>
      </c>
      <c r="M30" s="4">
        <v>1523798.676192</v>
      </c>
      <c r="N30" s="4">
        <v>1715216.88</v>
      </c>
    </row>
    <row r="31" spans="2:14" x14ac:dyDescent="0.3">
      <c r="B31" s="84" t="s">
        <v>198</v>
      </c>
      <c r="C31" s="426">
        <v>40956.767430889995</v>
      </c>
      <c r="D31" s="100">
        <v>51255.474151049981</v>
      </c>
      <c r="E31" s="427">
        <v>0.79907108673290828</v>
      </c>
      <c r="G31" s="426">
        <v>530941.93999999983</v>
      </c>
      <c r="H31" s="100">
        <v>689871.29999999981</v>
      </c>
      <c r="I31" s="427">
        <v>0.76962462418714905</v>
      </c>
      <c r="K31" s="84" t="s">
        <v>204</v>
      </c>
      <c r="L31" s="4">
        <v>92309.705720460042</v>
      </c>
      <c r="M31" s="4">
        <v>735605.58427954011</v>
      </c>
      <c r="N31" s="4">
        <v>827915.29</v>
      </c>
    </row>
    <row r="32" spans="2:14" x14ac:dyDescent="0.3">
      <c r="B32" s="84" t="s">
        <v>199</v>
      </c>
      <c r="C32" s="426">
        <v>244764.49166533016</v>
      </c>
      <c r="D32" s="100">
        <v>282483.51459533011</v>
      </c>
      <c r="E32" s="427">
        <v>0.86647354276926891</v>
      </c>
      <c r="G32" s="426">
        <v>2393356.2800000003</v>
      </c>
      <c r="H32" s="100">
        <v>2834504.4999999981</v>
      </c>
      <c r="I32" s="427">
        <v>0.84436496043664844</v>
      </c>
      <c r="K32" s="84" t="s">
        <v>205</v>
      </c>
      <c r="L32" s="4">
        <v>1382701.8839082399</v>
      </c>
      <c r="M32" s="4">
        <v>11100025.286091756</v>
      </c>
      <c r="N32" s="4">
        <v>12482727.169999994</v>
      </c>
    </row>
    <row r="33" spans="2:14" x14ac:dyDescent="0.3">
      <c r="B33" s="84" t="s">
        <v>201</v>
      </c>
      <c r="C33" s="426">
        <v>1978.9136309999997</v>
      </c>
      <c r="D33" s="100">
        <v>2285.6702649999988</v>
      </c>
      <c r="E33" s="427">
        <v>0.86579138789295174</v>
      </c>
      <c r="G33" s="426">
        <v>17653.11</v>
      </c>
      <c r="H33" s="100">
        <v>70468.14</v>
      </c>
      <c r="I33" s="427">
        <v>0.25051193347802286</v>
      </c>
      <c r="K33" s="84" t="s">
        <v>211</v>
      </c>
      <c r="L33" s="4">
        <v>154915.24584200006</v>
      </c>
      <c r="M33" s="4">
        <v>1482076.5541579996</v>
      </c>
      <c r="N33" s="4">
        <v>1636991.7999999993</v>
      </c>
    </row>
    <row r="34" spans="2:14" x14ac:dyDescent="0.3">
      <c r="B34" s="84" t="s">
        <v>203</v>
      </c>
      <c r="C34" s="426">
        <v>191418.20380800008</v>
      </c>
      <c r="D34" s="100">
        <v>191745.08802000005</v>
      </c>
      <c r="E34" s="427">
        <v>0.99829521467602922</v>
      </c>
      <c r="G34" s="426">
        <v>1715216.88</v>
      </c>
      <c r="H34" s="100">
        <v>1718145.95</v>
      </c>
      <c r="I34" s="427">
        <v>0.99829521467602911</v>
      </c>
      <c r="K34" s="84" t="s">
        <v>1243</v>
      </c>
      <c r="L34" s="4">
        <v>91122.181200000035</v>
      </c>
      <c r="M34" s="4">
        <v>725384.81880000001</v>
      </c>
      <c r="N34" s="4">
        <v>816507</v>
      </c>
    </row>
    <row r="35" spans="2:14" x14ac:dyDescent="0.3">
      <c r="B35" s="84" t="s">
        <v>204</v>
      </c>
      <c r="C35" s="426">
        <v>92309.705720460042</v>
      </c>
      <c r="D35" s="100">
        <v>99320.238044460028</v>
      </c>
      <c r="E35" s="427">
        <v>0.92941486587193067</v>
      </c>
      <c r="G35" s="426">
        <v>827915.29</v>
      </c>
      <c r="H35" s="100">
        <v>890733.68000000017</v>
      </c>
      <c r="I35" s="427">
        <v>0.92947567672528097</v>
      </c>
      <c r="K35" s="84" t="s">
        <v>214</v>
      </c>
      <c r="L35" s="4">
        <v>17581.376939000002</v>
      </c>
      <c r="M35" s="4">
        <v>138420.193061</v>
      </c>
      <c r="N35" s="4">
        <v>156001.56999999998</v>
      </c>
    </row>
    <row r="36" spans="2:14" x14ac:dyDescent="0.3">
      <c r="B36" s="84" t="s">
        <v>205</v>
      </c>
      <c r="C36" s="426">
        <v>1382701.8839082399</v>
      </c>
      <c r="D36" s="100">
        <v>2023143.7413922409</v>
      </c>
      <c r="E36" s="427">
        <v>0.6834422367620423</v>
      </c>
      <c r="G36" s="426">
        <v>12482727.169999994</v>
      </c>
      <c r="H36" s="100">
        <v>18222749.409999985</v>
      </c>
      <c r="I36" s="427">
        <v>0.68500789256037975</v>
      </c>
      <c r="K36" s="84" t="s">
        <v>217</v>
      </c>
      <c r="L36" s="4">
        <v>17407.911492000007</v>
      </c>
      <c r="M36" s="4">
        <v>138576.95850799998</v>
      </c>
      <c r="N36" s="4">
        <v>155984.87</v>
      </c>
    </row>
    <row r="37" spans="2:14" x14ac:dyDescent="0.3">
      <c r="B37" s="84" t="s">
        <v>207</v>
      </c>
      <c r="C37" s="426">
        <v>0</v>
      </c>
      <c r="D37" s="100">
        <v>58165.898717000018</v>
      </c>
      <c r="E37" s="427">
        <v>0</v>
      </c>
      <c r="G37" s="426">
        <v>0</v>
      </c>
      <c r="H37" s="100">
        <v>525403.72000000009</v>
      </c>
      <c r="I37" s="427">
        <v>0</v>
      </c>
      <c r="K37" s="84" t="s">
        <v>218</v>
      </c>
      <c r="L37" s="4">
        <v>243119.97287599993</v>
      </c>
      <c r="M37" s="4">
        <v>1935435.8371240001</v>
      </c>
      <c r="N37" s="4">
        <v>2178555.8100000005</v>
      </c>
    </row>
    <row r="38" spans="2:14" x14ac:dyDescent="0.3">
      <c r="B38" s="84" t="s">
        <v>210</v>
      </c>
      <c r="C38" s="426">
        <v>0</v>
      </c>
      <c r="D38" s="100">
        <v>303.95415400000013</v>
      </c>
      <c r="E38" s="427">
        <v>0</v>
      </c>
      <c r="G38" s="426">
        <v>0</v>
      </c>
      <c r="H38" s="100">
        <v>2697.02</v>
      </c>
      <c r="I38" s="427">
        <v>0</v>
      </c>
      <c r="K38" s="84" t="s">
        <v>220</v>
      </c>
      <c r="L38" s="4">
        <v>7793.6942520000021</v>
      </c>
      <c r="M38" s="4">
        <v>62042.275747999993</v>
      </c>
      <c r="N38" s="4">
        <v>69835.97</v>
      </c>
    </row>
    <row r="39" spans="2:14" x14ac:dyDescent="0.3">
      <c r="B39" s="84" t="s">
        <v>211</v>
      </c>
      <c r="C39" s="426">
        <v>154915.24584200006</v>
      </c>
      <c r="D39" s="100">
        <v>278562.35634</v>
      </c>
      <c r="E39" s="427">
        <v>0.55612412200059747</v>
      </c>
      <c r="G39" s="426">
        <v>1636991.7999999993</v>
      </c>
      <c r="H39" s="100">
        <v>2330245.9300000002</v>
      </c>
      <c r="I39" s="427">
        <v>0.70249743983030977</v>
      </c>
      <c r="K39" s="84" t="s">
        <v>225</v>
      </c>
      <c r="L39" s="4">
        <v>4934582.9668411966</v>
      </c>
      <c r="M39" s="4">
        <v>36448562.463158801</v>
      </c>
      <c r="N39" s="4">
        <v>41383145.430000022</v>
      </c>
    </row>
    <row r="40" spans="2:14" x14ac:dyDescent="0.3">
      <c r="B40" s="84" t="s">
        <v>1243</v>
      </c>
      <c r="C40" s="426">
        <v>91122.181200000035</v>
      </c>
      <c r="D40" s="100">
        <v>339346.87416000012</v>
      </c>
      <c r="E40" s="427">
        <v>0.26852223532501568</v>
      </c>
      <c r="G40" s="426">
        <v>816507</v>
      </c>
      <c r="H40" s="100">
        <v>3040742.6</v>
      </c>
      <c r="I40" s="427">
        <v>0.26852223532501568</v>
      </c>
      <c r="K40" s="84" t="s">
        <v>227</v>
      </c>
      <c r="L40" s="4">
        <v>-864282.78533999994</v>
      </c>
      <c r="M40" s="4">
        <v>-5770776.2146600001</v>
      </c>
      <c r="N40" s="4">
        <v>-6635059</v>
      </c>
    </row>
    <row r="41" spans="2:14" x14ac:dyDescent="0.3">
      <c r="B41" s="84" t="s">
        <v>214</v>
      </c>
      <c r="C41" s="426">
        <v>17581.376939000002</v>
      </c>
      <c r="D41" s="100">
        <v>27866.793651000011</v>
      </c>
      <c r="E41" s="427">
        <v>0.6309077807510548</v>
      </c>
      <c r="G41" s="426">
        <v>156001.56999999998</v>
      </c>
      <c r="H41" s="100">
        <v>247275.72000000003</v>
      </c>
      <c r="I41" s="427">
        <v>0.63088106668944266</v>
      </c>
      <c r="K41" s="84" t="s">
        <v>232</v>
      </c>
      <c r="L41" s="4">
        <v>353703.47031660011</v>
      </c>
      <c r="M41" s="4">
        <v>2802088.6096834005</v>
      </c>
      <c r="N41" s="4">
        <v>3155792.0799999991</v>
      </c>
    </row>
    <row r="42" spans="2:14" x14ac:dyDescent="0.3">
      <c r="B42" s="84" t="s">
        <v>217</v>
      </c>
      <c r="C42" s="426">
        <v>17407.911492000007</v>
      </c>
      <c r="D42" s="100">
        <v>18157.886928000011</v>
      </c>
      <c r="E42" s="427">
        <v>0.95869698721146235</v>
      </c>
      <c r="G42" s="426">
        <v>155984.87</v>
      </c>
      <c r="H42" s="100">
        <v>162705.08000000002</v>
      </c>
      <c r="I42" s="427">
        <v>0.95869698721146246</v>
      </c>
      <c r="K42" s="84" t="s">
        <v>235</v>
      </c>
      <c r="L42" s="4">
        <v>910.22397499999988</v>
      </c>
      <c r="M42" s="4">
        <v>7209.5260250000001</v>
      </c>
      <c r="N42" s="4">
        <v>8119.75</v>
      </c>
    </row>
    <row r="43" spans="2:14" x14ac:dyDescent="0.3">
      <c r="B43" s="84" t="s">
        <v>218</v>
      </c>
      <c r="C43" s="426">
        <v>243119.97287599993</v>
      </c>
      <c r="D43" s="100">
        <v>407173.96651059977</v>
      </c>
      <c r="E43" s="427">
        <v>0.59709115236293209</v>
      </c>
      <c r="G43" s="426">
        <v>2178555.8100000005</v>
      </c>
      <c r="H43" s="100">
        <v>3675850.33</v>
      </c>
      <c r="I43" s="427">
        <v>0.59266716934037966</v>
      </c>
      <c r="K43" s="84" t="s">
        <v>238</v>
      </c>
      <c r="L43" s="4">
        <v>212616.38391499995</v>
      </c>
      <c r="M43" s="4">
        <v>1699460.0360850003</v>
      </c>
      <c r="N43" s="4">
        <v>1912076.4200000004</v>
      </c>
    </row>
    <row r="44" spans="2:14" x14ac:dyDescent="0.3">
      <c r="B44" s="84" t="s">
        <v>220</v>
      </c>
      <c r="C44" s="426">
        <v>7793.6942520000021</v>
      </c>
      <c r="D44" s="100">
        <v>50451.423276000009</v>
      </c>
      <c r="E44" s="427">
        <v>0.15447917513374693</v>
      </c>
      <c r="G44" s="426">
        <v>69835.97</v>
      </c>
      <c r="H44" s="100">
        <v>452073.35999999993</v>
      </c>
      <c r="I44" s="427">
        <v>0.15447928628220875</v>
      </c>
      <c r="K44" s="84" t="s">
        <v>2345</v>
      </c>
      <c r="L44" s="4">
        <v>11108065.449873382</v>
      </c>
      <c r="M44" s="4">
        <v>92154801.170126587</v>
      </c>
      <c r="N44" s="4">
        <v>103262866.62</v>
      </c>
    </row>
    <row r="45" spans="2:14" x14ac:dyDescent="0.3">
      <c r="B45" s="84" t="s">
        <v>225</v>
      </c>
      <c r="C45" s="426">
        <v>4934582.9668411966</v>
      </c>
      <c r="D45" s="100">
        <v>7368438.3797128014</v>
      </c>
      <c r="E45" s="427">
        <v>0.66969182784066805</v>
      </c>
      <c r="G45" s="426">
        <v>41383145.430000022</v>
      </c>
      <c r="H45" s="100">
        <v>62735082.870000064</v>
      </c>
      <c r="I45" s="427">
        <v>0.65964917135368051</v>
      </c>
    </row>
    <row r="46" spans="2:14" x14ac:dyDescent="0.3">
      <c r="B46" s="84" t="s">
        <v>227</v>
      </c>
      <c r="C46" s="426">
        <v>-864282.78533999994</v>
      </c>
      <c r="D46" s="100">
        <v>-2526442.0295369998</v>
      </c>
      <c r="E46" s="427">
        <v>0.3420948413759527</v>
      </c>
      <c r="G46" s="426">
        <v>-6635059</v>
      </c>
      <c r="H46" s="100">
        <v>-20271975.780000001</v>
      </c>
      <c r="I46" s="427">
        <v>0.32730203863730145</v>
      </c>
    </row>
    <row r="47" spans="2:14" x14ac:dyDescent="0.3">
      <c r="B47" s="84" t="s">
        <v>229</v>
      </c>
      <c r="C47" s="426">
        <v>0</v>
      </c>
      <c r="D47" s="100">
        <v>356755.60443999991</v>
      </c>
      <c r="E47" s="427">
        <v>0</v>
      </c>
      <c r="G47" s="426">
        <v>0</v>
      </c>
      <c r="H47" s="100">
        <v>3182476.4</v>
      </c>
      <c r="I47" s="427">
        <v>0</v>
      </c>
    </row>
    <row r="48" spans="2:14" x14ac:dyDescent="0.3">
      <c r="B48" s="84" t="s">
        <v>231</v>
      </c>
      <c r="C48" s="426">
        <v>0</v>
      </c>
      <c r="D48" s="100">
        <v>30014.123111999994</v>
      </c>
      <c r="E48" s="427">
        <v>0</v>
      </c>
      <c r="G48" s="426">
        <v>0</v>
      </c>
      <c r="H48" s="100">
        <v>267744.71999999997</v>
      </c>
      <c r="I48" s="427">
        <v>0</v>
      </c>
    </row>
    <row r="49" spans="2:9" x14ac:dyDescent="0.3">
      <c r="B49" s="84" t="s">
        <v>232</v>
      </c>
      <c r="C49" s="426">
        <v>353703.47031660011</v>
      </c>
      <c r="D49" s="100">
        <v>1826245.6182437998</v>
      </c>
      <c r="E49" s="427">
        <v>0.19367792961865521</v>
      </c>
      <c r="G49" s="426">
        <v>3155792.0799999991</v>
      </c>
      <c r="H49" s="100">
        <v>4898086.3899999987</v>
      </c>
      <c r="I49" s="427">
        <v>0.64429081660195053</v>
      </c>
    </row>
    <row r="50" spans="2:9" x14ac:dyDescent="0.3">
      <c r="B50" s="84" t="s">
        <v>235</v>
      </c>
      <c r="C50" s="426">
        <v>910.22397499999988</v>
      </c>
      <c r="D50" s="100">
        <v>361744.78533199994</v>
      </c>
      <c r="E50" s="427">
        <v>2.5162048270153223E-3</v>
      </c>
      <c r="G50" s="426">
        <v>8119.75</v>
      </c>
      <c r="H50" s="100">
        <v>3226982.92</v>
      </c>
      <c r="I50" s="427">
        <v>2.5162048270153223E-3</v>
      </c>
    </row>
    <row r="51" spans="2:9" x14ac:dyDescent="0.3">
      <c r="B51" s="84" t="s">
        <v>237</v>
      </c>
      <c r="C51" s="426">
        <v>0</v>
      </c>
      <c r="D51" s="100">
        <v>529184.17018899985</v>
      </c>
      <c r="E51" s="427">
        <v>0</v>
      </c>
      <c r="G51" s="426">
        <v>0</v>
      </c>
      <c r="H51" s="100">
        <v>4775371.9099999992</v>
      </c>
      <c r="I51" s="427">
        <v>0</v>
      </c>
    </row>
    <row r="52" spans="2:9" x14ac:dyDescent="0.3">
      <c r="B52" s="84" t="s">
        <v>238</v>
      </c>
      <c r="C52" s="428">
        <v>212616.38391499995</v>
      </c>
      <c r="D52" s="429">
        <v>433138.43705399986</v>
      </c>
      <c r="E52" s="430">
        <v>0.49087396944292161</v>
      </c>
      <c r="G52" s="428">
        <v>1912076.4200000004</v>
      </c>
      <c r="H52" s="429">
        <v>3990022.0100000021</v>
      </c>
      <c r="I52" s="430">
        <v>0.47921450438314733</v>
      </c>
    </row>
    <row r="54" spans="2:9" ht="15" thickBot="1" x14ac:dyDescent="0.35"/>
    <row r="55" spans="2:9" ht="15" thickBot="1" x14ac:dyDescent="0.35">
      <c r="C55" s="431">
        <v>11108065.449873382</v>
      </c>
      <c r="D55" s="432">
        <v>17697470.565883871</v>
      </c>
      <c r="E55" s="433">
        <v>0.6276640160818715</v>
      </c>
      <c r="F55" s="434"/>
      <c r="G55" s="432">
        <v>103262866.62</v>
      </c>
      <c r="H55" s="432">
        <v>154823906.54999998</v>
      </c>
      <c r="I55" s="435">
        <v>0.6669697782535382</v>
      </c>
    </row>
  </sheetData>
  <mergeCells count="2">
    <mergeCell ref="C3:E3"/>
    <mergeCell ref="G3:I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5"/>
  <sheetViews>
    <sheetView zoomScale="85" zoomScaleNormal="85" workbookViewId="0">
      <selection activeCell="C1" sqref="C1"/>
    </sheetView>
  </sheetViews>
  <sheetFormatPr defaultRowHeight="14.4" x14ac:dyDescent="0.3"/>
  <cols>
    <col min="1" max="1" width="9.5546875" style="470" customWidth="1"/>
    <col min="2" max="2" width="38.6640625" style="8" customWidth="1"/>
    <col min="3" max="16" width="15.5546875" customWidth="1"/>
    <col min="17" max="17" width="15.5546875" style="7" customWidth="1"/>
    <col min="18" max="19" width="15.5546875" style="4" customWidth="1"/>
  </cols>
  <sheetData>
    <row r="1" spans="1:21" x14ac:dyDescent="0.3">
      <c r="U1" t="s">
        <v>1903</v>
      </c>
    </row>
    <row r="2" spans="1:21" x14ac:dyDescent="0.3">
      <c r="U2" s="9" t="s">
        <v>321</v>
      </c>
    </row>
    <row r="3" spans="1:21" x14ac:dyDescent="0.3">
      <c r="R3" s="157" t="s">
        <v>1905</v>
      </c>
      <c r="S3" s="157" t="s">
        <v>1905</v>
      </c>
      <c r="U3" s="9" t="s">
        <v>2408</v>
      </c>
    </row>
    <row r="4" spans="1:21" x14ac:dyDescent="0.3">
      <c r="C4" s="10">
        <v>42979</v>
      </c>
      <c r="D4" s="10">
        <v>43009</v>
      </c>
      <c r="E4" s="10">
        <v>43040</v>
      </c>
      <c r="F4" s="10">
        <v>43070</v>
      </c>
      <c r="G4" s="10">
        <v>43101</v>
      </c>
      <c r="H4" s="10">
        <v>43132</v>
      </c>
      <c r="I4" s="10">
        <v>43160</v>
      </c>
      <c r="J4" s="10">
        <v>43191</v>
      </c>
      <c r="K4" s="10">
        <v>43221</v>
      </c>
      <c r="L4" s="10">
        <v>43252</v>
      </c>
      <c r="M4" s="10">
        <v>43282</v>
      </c>
      <c r="N4" s="10">
        <v>43313</v>
      </c>
      <c r="O4" s="10">
        <v>43344</v>
      </c>
      <c r="P4" s="10" t="s">
        <v>276</v>
      </c>
      <c r="R4" s="10">
        <v>43344</v>
      </c>
      <c r="S4" s="10" t="s">
        <v>276</v>
      </c>
      <c r="U4" s="9" t="s">
        <v>1959</v>
      </c>
    </row>
    <row r="5" spans="1:21" x14ac:dyDescent="0.3">
      <c r="A5" s="470" t="s">
        <v>148</v>
      </c>
      <c r="U5" s="9" t="s">
        <v>1907</v>
      </c>
    </row>
    <row r="6" spans="1:21" x14ac:dyDescent="0.3">
      <c r="A6" s="470">
        <v>301</v>
      </c>
      <c r="B6" s="8" t="s">
        <v>323</v>
      </c>
      <c r="C6" s="4">
        <v>852</v>
      </c>
      <c r="D6" s="4">
        <v>852</v>
      </c>
      <c r="E6" s="4">
        <v>852</v>
      </c>
      <c r="F6" s="4">
        <v>852</v>
      </c>
      <c r="G6" s="4">
        <v>852</v>
      </c>
      <c r="H6" s="4">
        <v>852</v>
      </c>
      <c r="I6" s="4">
        <v>852</v>
      </c>
      <c r="J6" s="4">
        <v>852</v>
      </c>
      <c r="K6" s="4">
        <v>852</v>
      </c>
      <c r="L6" s="4">
        <v>852</v>
      </c>
      <c r="M6" s="4">
        <v>852</v>
      </c>
      <c r="N6" s="4">
        <v>852</v>
      </c>
      <c r="O6" s="4">
        <v>852</v>
      </c>
      <c r="P6" s="4">
        <f t="shared" ref="P6:P69" si="0">(C6/2+O6/2+SUM(D6:N6))/12</f>
        <v>852</v>
      </c>
      <c r="U6" s="9" t="s">
        <v>2409</v>
      </c>
    </row>
    <row r="7" spans="1:21" x14ac:dyDescent="0.3">
      <c r="A7" s="470">
        <v>302</v>
      </c>
      <c r="B7" s="8" t="s">
        <v>324</v>
      </c>
      <c r="C7" s="4">
        <v>83496.27</v>
      </c>
      <c r="D7" s="4">
        <v>83496.27</v>
      </c>
      <c r="E7" s="4">
        <v>83496.27</v>
      </c>
      <c r="F7" s="4">
        <v>83496.27</v>
      </c>
      <c r="G7" s="4">
        <v>83496.27</v>
      </c>
      <c r="H7" s="4">
        <v>83496.27</v>
      </c>
      <c r="I7" s="4">
        <v>83496.27</v>
      </c>
      <c r="J7" s="4">
        <v>83496.27</v>
      </c>
      <c r="K7" s="4">
        <v>83496.27</v>
      </c>
      <c r="L7" s="4">
        <v>83496.27</v>
      </c>
      <c r="M7" s="4">
        <v>83496.27</v>
      </c>
      <c r="N7" s="4">
        <v>83496.27</v>
      </c>
      <c r="O7" s="4">
        <v>83496.27</v>
      </c>
      <c r="P7" s="4">
        <f t="shared" si="0"/>
        <v>83496.27</v>
      </c>
      <c r="U7" s="9" t="s">
        <v>2410</v>
      </c>
    </row>
    <row r="8" spans="1:21" x14ac:dyDescent="0.3">
      <c r="A8" s="470">
        <v>303.10000000000002</v>
      </c>
      <c r="B8" s="8" t="s">
        <v>348</v>
      </c>
      <c r="C8" s="4">
        <v>65165764.760000005</v>
      </c>
      <c r="D8" s="4">
        <v>65617427.670000002</v>
      </c>
      <c r="E8" s="4">
        <v>66722984.450000003</v>
      </c>
      <c r="F8" s="4">
        <v>67997562.340000004</v>
      </c>
      <c r="G8" s="4">
        <v>68033275.63000001</v>
      </c>
      <c r="H8" s="4">
        <v>68798720.750000015</v>
      </c>
      <c r="I8" s="4">
        <v>68756949.910000011</v>
      </c>
      <c r="J8" s="4">
        <v>68781166.24000001</v>
      </c>
      <c r="K8" s="4">
        <v>68780895.890000015</v>
      </c>
      <c r="L8" s="4">
        <v>69161607.270000011</v>
      </c>
      <c r="M8" s="4">
        <v>69171571.160000011</v>
      </c>
      <c r="N8" s="4">
        <v>69159326.370000005</v>
      </c>
      <c r="O8" s="4">
        <v>73740028.350000009</v>
      </c>
      <c r="P8" s="4">
        <f t="shared" si="0"/>
        <v>68369532.019583344</v>
      </c>
    </row>
    <row r="9" spans="1:21" x14ac:dyDescent="0.3">
      <c r="A9" s="470">
        <v>303.2</v>
      </c>
      <c r="B9" s="8" t="s">
        <v>325</v>
      </c>
      <c r="C9" s="4">
        <v>30488304.73</v>
      </c>
      <c r="D9" s="4">
        <v>30488304.73</v>
      </c>
      <c r="E9" s="4">
        <v>30488304.73</v>
      </c>
      <c r="F9" s="4">
        <v>30488304.73</v>
      </c>
      <c r="G9" s="4">
        <v>30488304.73</v>
      </c>
      <c r="H9" s="4">
        <v>30488304.73</v>
      </c>
      <c r="I9" s="4">
        <v>30488304.73</v>
      </c>
      <c r="J9" s="4">
        <v>30488304.73</v>
      </c>
      <c r="K9" s="4">
        <v>30488304.73</v>
      </c>
      <c r="L9" s="4">
        <v>30488304.73</v>
      </c>
      <c r="M9" s="4">
        <v>30488304.73</v>
      </c>
      <c r="N9" s="4">
        <v>30488304.73</v>
      </c>
      <c r="O9" s="4">
        <v>30488304.73</v>
      </c>
      <c r="P9" s="4">
        <f t="shared" si="0"/>
        <v>30488304.730000004</v>
      </c>
    </row>
    <row r="10" spans="1:21" x14ac:dyDescent="0.3">
      <c r="A10" s="470">
        <v>303.3</v>
      </c>
      <c r="B10" s="8" t="s">
        <v>349</v>
      </c>
      <c r="C10" s="4">
        <v>4146951</v>
      </c>
      <c r="D10" s="4">
        <v>4146951</v>
      </c>
      <c r="E10" s="4">
        <v>4146951</v>
      </c>
      <c r="F10" s="4">
        <v>4146951</v>
      </c>
      <c r="G10" s="4">
        <v>4146951</v>
      </c>
      <c r="H10" s="4">
        <v>4146951</v>
      </c>
      <c r="I10" s="4">
        <v>4146951</v>
      </c>
      <c r="J10" s="4">
        <v>4146951</v>
      </c>
      <c r="K10" s="4">
        <v>4146951</v>
      </c>
      <c r="L10" s="4">
        <v>4146951</v>
      </c>
      <c r="M10" s="4">
        <v>4146951</v>
      </c>
      <c r="N10" s="4">
        <v>4146951</v>
      </c>
      <c r="O10" s="4">
        <v>4146951</v>
      </c>
      <c r="P10" s="4">
        <f t="shared" si="0"/>
        <v>4146951</v>
      </c>
    </row>
    <row r="11" spans="1:21" x14ac:dyDescent="0.3">
      <c r="A11" s="470">
        <v>303.39999999999998</v>
      </c>
      <c r="B11" s="8" t="s">
        <v>350</v>
      </c>
      <c r="C11" s="4">
        <v>682892.55</v>
      </c>
      <c r="D11" s="4">
        <v>682892.55</v>
      </c>
      <c r="E11" s="4">
        <v>682892.55</v>
      </c>
      <c r="F11" s="4">
        <v>682892.55</v>
      </c>
      <c r="G11" s="4">
        <v>682892.55</v>
      </c>
      <c r="H11" s="4">
        <v>682892.55</v>
      </c>
      <c r="I11" s="4">
        <v>682892.55</v>
      </c>
      <c r="J11" s="4">
        <v>682892.55</v>
      </c>
      <c r="K11" s="4">
        <v>682892.55</v>
      </c>
      <c r="L11" s="4">
        <v>682892.55</v>
      </c>
      <c r="M11" s="4">
        <v>682892.55</v>
      </c>
      <c r="N11" s="4">
        <v>682892.55</v>
      </c>
      <c r="O11" s="4">
        <v>682892.55</v>
      </c>
      <c r="P11" s="4">
        <f t="shared" si="0"/>
        <v>682892.54999999993</v>
      </c>
    </row>
    <row r="12" spans="1:21" x14ac:dyDescent="0.3">
      <c r="A12" s="470">
        <v>303.5</v>
      </c>
      <c r="B12" s="8" t="s">
        <v>351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f t="shared" si="0"/>
        <v>0</v>
      </c>
    </row>
    <row r="13" spans="1:21" x14ac:dyDescent="0.3">
      <c r="A13" s="470">
        <v>304.10000000000002</v>
      </c>
      <c r="B13" s="8" t="s">
        <v>327</v>
      </c>
      <c r="C13" s="4">
        <v>24998</v>
      </c>
      <c r="D13" s="4">
        <v>24998</v>
      </c>
      <c r="E13" s="4">
        <v>24998</v>
      </c>
      <c r="F13" s="4">
        <v>24998</v>
      </c>
      <c r="G13" s="4">
        <v>24998</v>
      </c>
      <c r="H13" s="4">
        <v>24998</v>
      </c>
      <c r="I13" s="4">
        <v>24998</v>
      </c>
      <c r="J13" s="4">
        <v>24998</v>
      </c>
      <c r="K13" s="4">
        <v>24998</v>
      </c>
      <c r="L13" s="4">
        <v>24998</v>
      </c>
      <c r="M13" s="4">
        <v>24998</v>
      </c>
      <c r="N13" s="4">
        <v>24998</v>
      </c>
      <c r="O13" s="4">
        <v>24998</v>
      </c>
      <c r="P13" s="4">
        <f t="shared" si="0"/>
        <v>24998</v>
      </c>
    </row>
    <row r="14" spans="1:21" x14ac:dyDescent="0.3">
      <c r="A14" s="470">
        <v>305.2</v>
      </c>
      <c r="B14" s="8" t="s">
        <v>352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f t="shared" si="0"/>
        <v>0</v>
      </c>
    </row>
    <row r="15" spans="1:21" x14ac:dyDescent="0.3">
      <c r="A15" s="470">
        <v>305.5</v>
      </c>
      <c r="B15" s="8" t="s">
        <v>353</v>
      </c>
      <c r="C15" s="4">
        <v>13156</v>
      </c>
      <c r="D15" s="4">
        <v>13156</v>
      </c>
      <c r="E15" s="4">
        <v>13156</v>
      </c>
      <c r="F15" s="4">
        <v>13156</v>
      </c>
      <c r="G15" s="4">
        <v>13156</v>
      </c>
      <c r="H15" s="4">
        <v>13156</v>
      </c>
      <c r="I15" s="4">
        <v>13156</v>
      </c>
      <c r="J15" s="4">
        <v>13156</v>
      </c>
      <c r="K15" s="4">
        <v>13156</v>
      </c>
      <c r="L15" s="4">
        <v>13156</v>
      </c>
      <c r="M15" s="4">
        <v>13156</v>
      </c>
      <c r="N15" s="4">
        <v>13156</v>
      </c>
      <c r="O15" s="4">
        <v>13156</v>
      </c>
      <c r="P15" s="4">
        <f t="shared" si="0"/>
        <v>13156</v>
      </c>
    </row>
    <row r="16" spans="1:21" x14ac:dyDescent="0.3">
      <c r="A16" s="470">
        <v>312.3</v>
      </c>
      <c r="B16" s="8" t="s">
        <v>354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si="0"/>
        <v>0</v>
      </c>
    </row>
    <row r="17" spans="1:16" x14ac:dyDescent="0.3">
      <c r="A17" s="470">
        <v>318.3</v>
      </c>
      <c r="B17" s="8" t="s">
        <v>355</v>
      </c>
      <c r="C17" s="4">
        <v>144896</v>
      </c>
      <c r="D17" s="4">
        <v>144896</v>
      </c>
      <c r="E17" s="4">
        <v>144896</v>
      </c>
      <c r="F17" s="4">
        <v>144896</v>
      </c>
      <c r="G17" s="4">
        <v>144896</v>
      </c>
      <c r="H17" s="4">
        <v>144896</v>
      </c>
      <c r="I17" s="4">
        <v>144896</v>
      </c>
      <c r="J17" s="4">
        <v>144896</v>
      </c>
      <c r="K17" s="4">
        <v>144896</v>
      </c>
      <c r="L17" s="4">
        <v>144896</v>
      </c>
      <c r="M17" s="4">
        <v>144896</v>
      </c>
      <c r="N17" s="4">
        <v>144896</v>
      </c>
      <c r="O17" s="4">
        <v>144896</v>
      </c>
      <c r="P17" s="4">
        <f t="shared" si="0"/>
        <v>144896</v>
      </c>
    </row>
    <row r="18" spans="1:16" x14ac:dyDescent="0.3">
      <c r="A18" s="470">
        <v>318.5</v>
      </c>
      <c r="B18" s="8" t="s">
        <v>356</v>
      </c>
      <c r="C18" s="4">
        <v>243551</v>
      </c>
      <c r="D18" s="4">
        <v>243551</v>
      </c>
      <c r="E18" s="4">
        <v>243551</v>
      </c>
      <c r="F18" s="4">
        <v>243551</v>
      </c>
      <c r="G18" s="4">
        <v>243551</v>
      </c>
      <c r="H18" s="4">
        <v>243551</v>
      </c>
      <c r="I18" s="4">
        <v>243551</v>
      </c>
      <c r="J18" s="4">
        <v>243551</v>
      </c>
      <c r="K18" s="4">
        <v>243551</v>
      </c>
      <c r="L18" s="4">
        <v>243551</v>
      </c>
      <c r="M18" s="4">
        <v>243551</v>
      </c>
      <c r="N18" s="4">
        <v>243551</v>
      </c>
      <c r="O18" s="4">
        <v>243551</v>
      </c>
      <c r="P18" s="4">
        <f t="shared" si="0"/>
        <v>243551</v>
      </c>
    </row>
    <row r="19" spans="1:16" x14ac:dyDescent="0.3">
      <c r="A19" s="470">
        <v>325</v>
      </c>
      <c r="B19" s="8" t="s">
        <v>357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f t="shared" si="0"/>
        <v>0</v>
      </c>
    </row>
    <row r="20" spans="1:16" x14ac:dyDescent="0.3">
      <c r="A20" s="470">
        <v>327</v>
      </c>
      <c r="B20" s="8" t="s">
        <v>358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 t="shared" si="0"/>
        <v>0</v>
      </c>
    </row>
    <row r="21" spans="1:16" x14ac:dyDescent="0.3">
      <c r="A21" s="470">
        <v>328</v>
      </c>
      <c r="B21" s="8" t="s">
        <v>357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f t="shared" si="0"/>
        <v>0</v>
      </c>
    </row>
    <row r="22" spans="1:16" x14ac:dyDescent="0.3">
      <c r="A22" s="470">
        <v>331</v>
      </c>
      <c r="B22" s="8" t="s">
        <v>358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f t="shared" si="0"/>
        <v>0</v>
      </c>
    </row>
    <row r="23" spans="1:16" x14ac:dyDescent="0.3">
      <c r="A23" s="470">
        <v>332</v>
      </c>
      <c r="B23" s="8" t="s">
        <v>358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f t="shared" si="0"/>
        <v>0</v>
      </c>
    </row>
    <row r="24" spans="1:16" x14ac:dyDescent="0.3">
      <c r="A24" s="470">
        <v>333</v>
      </c>
      <c r="B24" s="8" t="s">
        <v>358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f t="shared" si="0"/>
        <v>0</v>
      </c>
    </row>
    <row r="25" spans="1:16" x14ac:dyDescent="0.3">
      <c r="A25" s="470">
        <v>334</v>
      </c>
      <c r="B25" s="8" t="s">
        <v>358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f t="shared" si="0"/>
        <v>0</v>
      </c>
    </row>
    <row r="26" spans="1:16" x14ac:dyDescent="0.3">
      <c r="A26" s="470">
        <v>305.11</v>
      </c>
      <c r="B26" s="8" t="s">
        <v>359</v>
      </c>
      <c r="C26" s="4">
        <v>8320</v>
      </c>
      <c r="D26" s="4">
        <v>8320</v>
      </c>
      <c r="E26" s="4">
        <v>8320</v>
      </c>
      <c r="F26" s="4">
        <v>8320</v>
      </c>
      <c r="G26" s="4">
        <v>8320</v>
      </c>
      <c r="H26" s="4">
        <v>8320</v>
      </c>
      <c r="I26" s="4">
        <v>8320</v>
      </c>
      <c r="J26" s="4">
        <v>8320</v>
      </c>
      <c r="K26" s="4">
        <v>8320</v>
      </c>
      <c r="L26" s="4">
        <v>8320</v>
      </c>
      <c r="M26" s="4">
        <v>8320</v>
      </c>
      <c r="N26" s="4">
        <v>8320</v>
      </c>
      <c r="O26" s="4">
        <v>8320</v>
      </c>
      <c r="P26" s="4">
        <f t="shared" si="0"/>
        <v>8320</v>
      </c>
    </row>
    <row r="27" spans="1:16" x14ac:dyDescent="0.3">
      <c r="A27" s="470">
        <v>305.17</v>
      </c>
      <c r="B27" s="8" t="s">
        <v>360</v>
      </c>
      <c r="C27" s="4">
        <v>46587</v>
      </c>
      <c r="D27" s="4">
        <v>46587</v>
      </c>
      <c r="E27" s="4">
        <v>46587</v>
      </c>
      <c r="F27" s="4">
        <v>46587</v>
      </c>
      <c r="G27" s="4">
        <v>46587</v>
      </c>
      <c r="H27" s="4">
        <v>46587</v>
      </c>
      <c r="I27" s="4">
        <v>46587</v>
      </c>
      <c r="J27" s="4">
        <v>46587</v>
      </c>
      <c r="K27" s="4">
        <v>46587</v>
      </c>
      <c r="L27" s="4">
        <v>46587</v>
      </c>
      <c r="M27" s="4">
        <v>46587</v>
      </c>
      <c r="N27" s="4">
        <v>46587</v>
      </c>
      <c r="O27" s="4">
        <v>46587</v>
      </c>
      <c r="P27" s="4">
        <f t="shared" si="0"/>
        <v>46587</v>
      </c>
    </row>
    <row r="28" spans="1:16" x14ac:dyDescent="0.3">
      <c r="A28" s="470">
        <v>311</v>
      </c>
      <c r="B28" s="8" t="s">
        <v>361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f t="shared" si="0"/>
        <v>0</v>
      </c>
    </row>
    <row r="29" spans="1:16" x14ac:dyDescent="0.3">
      <c r="A29" s="470">
        <v>311.39999999999998</v>
      </c>
      <c r="B29" s="8" t="s">
        <v>362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f t="shared" si="0"/>
        <v>0</v>
      </c>
    </row>
    <row r="30" spans="1:16" x14ac:dyDescent="0.3">
      <c r="A30" s="470">
        <v>311.7</v>
      </c>
      <c r="B30" s="8" t="s">
        <v>363</v>
      </c>
      <c r="C30" s="4">
        <v>4033</v>
      </c>
      <c r="D30" s="4">
        <v>4033</v>
      </c>
      <c r="E30" s="4">
        <v>4033</v>
      </c>
      <c r="F30" s="4">
        <v>4033</v>
      </c>
      <c r="G30" s="4">
        <v>4033</v>
      </c>
      <c r="H30" s="4">
        <v>4033</v>
      </c>
      <c r="I30" s="4">
        <v>4033</v>
      </c>
      <c r="J30" s="4">
        <v>4033</v>
      </c>
      <c r="K30" s="4">
        <v>4033</v>
      </c>
      <c r="L30" s="4">
        <v>4033</v>
      </c>
      <c r="M30" s="4">
        <v>4033</v>
      </c>
      <c r="N30" s="4">
        <v>4033</v>
      </c>
      <c r="O30" s="4">
        <v>4033</v>
      </c>
      <c r="P30" s="4">
        <f t="shared" si="0"/>
        <v>4033</v>
      </c>
    </row>
    <row r="31" spans="1:16" x14ac:dyDescent="0.3">
      <c r="A31" s="470">
        <v>311.8</v>
      </c>
      <c r="B31" s="8" t="s">
        <v>364</v>
      </c>
      <c r="C31" s="4">
        <v>4209</v>
      </c>
      <c r="D31" s="4">
        <v>4209</v>
      </c>
      <c r="E31" s="4">
        <v>4209</v>
      </c>
      <c r="F31" s="4">
        <v>4209</v>
      </c>
      <c r="G31" s="4">
        <v>4209</v>
      </c>
      <c r="H31" s="4">
        <v>4209</v>
      </c>
      <c r="I31" s="4">
        <v>4209</v>
      </c>
      <c r="J31" s="4">
        <v>4209</v>
      </c>
      <c r="K31" s="4">
        <v>4209</v>
      </c>
      <c r="L31" s="4">
        <v>4209</v>
      </c>
      <c r="M31" s="4">
        <v>4209</v>
      </c>
      <c r="N31" s="4">
        <v>4209</v>
      </c>
      <c r="O31" s="4">
        <v>4209</v>
      </c>
      <c r="P31" s="4">
        <f t="shared" si="0"/>
        <v>4209</v>
      </c>
    </row>
    <row r="32" spans="1:16" x14ac:dyDescent="0.3">
      <c r="A32" s="470">
        <v>319</v>
      </c>
      <c r="B32" s="8" t="s">
        <v>365</v>
      </c>
      <c r="C32" s="4">
        <v>185448</v>
      </c>
      <c r="D32" s="4">
        <v>185448</v>
      </c>
      <c r="E32" s="4">
        <v>185448</v>
      </c>
      <c r="F32" s="4">
        <v>185448</v>
      </c>
      <c r="G32" s="4">
        <v>185448</v>
      </c>
      <c r="H32" s="4">
        <v>185448</v>
      </c>
      <c r="I32" s="4">
        <v>185448</v>
      </c>
      <c r="J32" s="4">
        <v>185448</v>
      </c>
      <c r="K32" s="4">
        <v>185448</v>
      </c>
      <c r="L32" s="4">
        <v>185448</v>
      </c>
      <c r="M32" s="4">
        <v>185448</v>
      </c>
      <c r="N32" s="4">
        <v>185448</v>
      </c>
      <c r="O32" s="4">
        <v>185448</v>
      </c>
      <c r="P32" s="4">
        <f t="shared" si="0"/>
        <v>185448</v>
      </c>
    </row>
    <row r="33" spans="1:16" x14ac:dyDescent="0.3">
      <c r="A33" s="470">
        <v>350.1</v>
      </c>
      <c r="B33" s="8" t="s">
        <v>327</v>
      </c>
      <c r="C33" s="4">
        <v>106549</v>
      </c>
      <c r="D33" s="4">
        <v>106549</v>
      </c>
      <c r="E33" s="4">
        <v>106549</v>
      </c>
      <c r="F33" s="4">
        <v>106549</v>
      </c>
      <c r="G33" s="4">
        <v>106549</v>
      </c>
      <c r="H33" s="4">
        <v>106549</v>
      </c>
      <c r="I33" s="4">
        <v>106549</v>
      </c>
      <c r="J33" s="4">
        <v>106549</v>
      </c>
      <c r="K33" s="4">
        <v>106549</v>
      </c>
      <c r="L33" s="4">
        <v>106549</v>
      </c>
      <c r="M33" s="4">
        <v>106549</v>
      </c>
      <c r="N33" s="4">
        <v>106549</v>
      </c>
      <c r="O33" s="4">
        <v>106549</v>
      </c>
      <c r="P33" s="4">
        <f t="shared" si="0"/>
        <v>106549</v>
      </c>
    </row>
    <row r="34" spans="1:16" x14ac:dyDescent="0.3">
      <c r="A34" s="470">
        <v>350.2</v>
      </c>
      <c r="B34" s="8" t="s">
        <v>366</v>
      </c>
      <c r="C34" s="4">
        <v>109624.94</v>
      </c>
      <c r="D34" s="4">
        <v>109624.94</v>
      </c>
      <c r="E34" s="4">
        <v>109624.94</v>
      </c>
      <c r="F34" s="4">
        <v>109624.94</v>
      </c>
      <c r="G34" s="4">
        <v>109624.94</v>
      </c>
      <c r="H34" s="4">
        <v>109624.94</v>
      </c>
      <c r="I34" s="4">
        <v>109624.94</v>
      </c>
      <c r="J34" s="4">
        <v>109624.94</v>
      </c>
      <c r="K34" s="4">
        <v>109624.94</v>
      </c>
      <c r="L34" s="4">
        <v>109624.94</v>
      </c>
      <c r="M34" s="4">
        <v>109624.94</v>
      </c>
      <c r="N34" s="4">
        <v>109624.94</v>
      </c>
      <c r="O34" s="4">
        <v>109624.94</v>
      </c>
      <c r="P34" s="4">
        <f t="shared" si="0"/>
        <v>109624.93999999996</v>
      </c>
    </row>
    <row r="35" spans="1:16" x14ac:dyDescent="0.3">
      <c r="A35" s="470">
        <v>351</v>
      </c>
      <c r="B35" s="8" t="s">
        <v>367</v>
      </c>
      <c r="C35" s="4">
        <v>7254419.3600000013</v>
      </c>
      <c r="D35" s="4">
        <v>7254419.3600000013</v>
      </c>
      <c r="E35" s="4">
        <v>7254419.3600000013</v>
      </c>
      <c r="F35" s="4">
        <v>7382069.2300000014</v>
      </c>
      <c r="G35" s="4">
        <v>7382069.2300000014</v>
      </c>
      <c r="H35" s="4">
        <v>7382069.2300000014</v>
      </c>
      <c r="I35" s="4">
        <v>7382069.2300000014</v>
      </c>
      <c r="J35" s="4">
        <v>7382069.2300000014</v>
      </c>
      <c r="K35" s="4">
        <v>7382069.2300000014</v>
      </c>
      <c r="L35" s="4">
        <v>8582708.8600000013</v>
      </c>
      <c r="M35" s="4">
        <v>8582708.8600000013</v>
      </c>
      <c r="N35" s="4">
        <v>8582708.8600000013</v>
      </c>
      <c r="O35" s="4">
        <v>8582708.8600000013</v>
      </c>
      <c r="P35" s="4">
        <f t="shared" si="0"/>
        <v>7705662.0658333348</v>
      </c>
    </row>
    <row r="36" spans="1:16" x14ac:dyDescent="0.3">
      <c r="A36" s="470">
        <v>352</v>
      </c>
      <c r="B36" s="8" t="s">
        <v>368</v>
      </c>
      <c r="C36" s="4">
        <v>20047076.030000001</v>
      </c>
      <c r="D36" s="4">
        <v>20047076.030000001</v>
      </c>
      <c r="E36" s="4">
        <v>20047076.030000001</v>
      </c>
      <c r="F36" s="4">
        <v>20047076.030000001</v>
      </c>
      <c r="G36" s="4">
        <v>20047076.030000001</v>
      </c>
      <c r="H36" s="4">
        <v>23165836.07</v>
      </c>
      <c r="I36" s="4">
        <v>23178402.699999999</v>
      </c>
      <c r="J36" s="4">
        <v>23183101.849999998</v>
      </c>
      <c r="K36" s="4">
        <v>23191779.599999998</v>
      </c>
      <c r="L36" s="4">
        <v>23199946.879999999</v>
      </c>
      <c r="M36" s="4">
        <v>23208624.619999997</v>
      </c>
      <c r="N36" s="4">
        <v>23220939.929999996</v>
      </c>
      <c r="O36" s="4">
        <v>23230707.559999995</v>
      </c>
      <c r="P36" s="4">
        <f t="shared" si="0"/>
        <v>22014652.297083333</v>
      </c>
    </row>
    <row r="37" spans="1:16" x14ac:dyDescent="0.3">
      <c r="A37" s="470">
        <v>352.1</v>
      </c>
      <c r="B37" s="8" t="s">
        <v>369</v>
      </c>
      <c r="C37" s="4">
        <v>3938491.32</v>
      </c>
      <c r="D37" s="4">
        <v>3938491.32</v>
      </c>
      <c r="E37" s="4">
        <v>3938491.32</v>
      </c>
      <c r="F37" s="4">
        <v>3938491.32</v>
      </c>
      <c r="G37" s="4">
        <v>3938491.32</v>
      </c>
      <c r="H37" s="4">
        <v>3938491.32</v>
      </c>
      <c r="I37" s="4">
        <v>3938491.32</v>
      </c>
      <c r="J37" s="4">
        <v>3938491.32</v>
      </c>
      <c r="K37" s="4">
        <v>3938491.32</v>
      </c>
      <c r="L37" s="4">
        <v>3938491.32</v>
      </c>
      <c r="M37" s="4">
        <v>3938491.32</v>
      </c>
      <c r="N37" s="4">
        <v>3938491.32</v>
      </c>
      <c r="O37" s="4">
        <v>3938491.32</v>
      </c>
      <c r="P37" s="4">
        <f t="shared" si="0"/>
        <v>3938491.32</v>
      </c>
    </row>
    <row r="38" spans="1:16" x14ac:dyDescent="0.3">
      <c r="A38" s="470">
        <v>352.2</v>
      </c>
      <c r="B38" s="8" t="s">
        <v>370</v>
      </c>
      <c r="C38" s="4">
        <v>7272553.0899999999</v>
      </c>
      <c r="D38" s="4">
        <v>7272553.0899999999</v>
      </c>
      <c r="E38" s="4">
        <v>7272553.0899999999</v>
      </c>
      <c r="F38" s="4">
        <v>7272553.0899999999</v>
      </c>
      <c r="G38" s="4">
        <v>7272553.0899999999</v>
      </c>
      <c r="H38" s="4">
        <v>7272553.0899999999</v>
      </c>
      <c r="I38" s="4">
        <v>7272553.0899999999</v>
      </c>
      <c r="J38" s="4">
        <v>7272553.0899999999</v>
      </c>
      <c r="K38" s="4">
        <v>7272553.0899999999</v>
      </c>
      <c r="L38" s="4">
        <v>7272553.0899999999</v>
      </c>
      <c r="M38" s="4">
        <v>7272553.0899999999</v>
      </c>
      <c r="N38" s="4">
        <v>7272553.0899999999</v>
      </c>
      <c r="O38" s="4">
        <v>7272553.0899999999</v>
      </c>
      <c r="P38" s="4">
        <f t="shared" si="0"/>
        <v>7272553.0900000026</v>
      </c>
    </row>
    <row r="39" spans="1:16" x14ac:dyDescent="0.3">
      <c r="A39" s="470">
        <v>352.3</v>
      </c>
      <c r="B39" s="8" t="s">
        <v>371</v>
      </c>
      <c r="C39" s="4">
        <v>6440889.8200000003</v>
      </c>
      <c r="D39" s="4">
        <v>6440889.8200000003</v>
      </c>
      <c r="E39" s="4">
        <v>6440889.8200000003</v>
      </c>
      <c r="F39" s="4">
        <v>6440889.8200000003</v>
      </c>
      <c r="G39" s="4">
        <v>6440889.8200000003</v>
      </c>
      <c r="H39" s="4">
        <v>6440889.8200000003</v>
      </c>
      <c r="I39" s="4">
        <v>6440889.8200000003</v>
      </c>
      <c r="J39" s="4">
        <v>6440889.8200000003</v>
      </c>
      <c r="K39" s="4">
        <v>6440889.8200000003</v>
      </c>
      <c r="L39" s="4">
        <v>6440889.8200000003</v>
      </c>
      <c r="M39" s="4">
        <v>6440889.8200000003</v>
      </c>
      <c r="N39" s="4">
        <v>6440889.8200000003</v>
      </c>
      <c r="O39" s="4">
        <v>6440889.8200000003</v>
      </c>
      <c r="P39" s="4">
        <f t="shared" si="0"/>
        <v>6440889.8200000003</v>
      </c>
    </row>
    <row r="40" spans="1:16" x14ac:dyDescent="0.3">
      <c r="A40" s="470">
        <v>353</v>
      </c>
      <c r="B40" s="8" t="s">
        <v>372</v>
      </c>
      <c r="C40" s="4">
        <v>6552220.3200000003</v>
      </c>
      <c r="D40" s="4">
        <v>6552220.3200000003</v>
      </c>
      <c r="E40" s="4">
        <v>6552220.3200000003</v>
      </c>
      <c r="F40" s="4">
        <v>6552220.3200000003</v>
      </c>
      <c r="G40" s="4">
        <v>6552220.3200000003</v>
      </c>
      <c r="H40" s="4">
        <v>6552220.3200000003</v>
      </c>
      <c r="I40" s="4">
        <v>6552220.3200000003</v>
      </c>
      <c r="J40" s="4">
        <v>6552220.3200000003</v>
      </c>
      <c r="K40" s="4">
        <v>6552220.3200000003</v>
      </c>
      <c r="L40" s="4">
        <v>6552220.3200000003</v>
      </c>
      <c r="M40" s="4">
        <v>6552220.3200000003</v>
      </c>
      <c r="N40" s="4">
        <v>6552220.3200000003</v>
      </c>
      <c r="O40" s="4">
        <v>6918695.5200000005</v>
      </c>
      <c r="P40" s="4">
        <f t="shared" si="0"/>
        <v>6567490.120000001</v>
      </c>
    </row>
    <row r="41" spans="1:16" x14ac:dyDescent="0.3">
      <c r="A41" s="470">
        <v>354</v>
      </c>
      <c r="B41" s="8" t="s">
        <v>373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f t="shared" si="0"/>
        <v>0</v>
      </c>
    </row>
    <row r="42" spans="1:16" x14ac:dyDescent="0.3">
      <c r="A42" s="470">
        <v>354.1</v>
      </c>
      <c r="B42" s="8" t="s">
        <v>1909</v>
      </c>
      <c r="C42" s="4">
        <v>4154699.66</v>
      </c>
      <c r="D42" s="4">
        <v>4154699.66</v>
      </c>
      <c r="E42" s="4">
        <v>4154699.66</v>
      </c>
      <c r="F42" s="4">
        <v>4154699.66</v>
      </c>
      <c r="G42" s="4">
        <v>4154699.66</v>
      </c>
      <c r="H42" s="4">
        <v>4154699.66</v>
      </c>
      <c r="I42" s="4">
        <v>4154699.66</v>
      </c>
      <c r="J42" s="4">
        <v>4154699.66</v>
      </c>
      <c r="K42" s="4">
        <v>4154699.66</v>
      </c>
      <c r="L42" s="4">
        <v>4154699.66</v>
      </c>
      <c r="M42" s="4">
        <v>4154699.66</v>
      </c>
      <c r="N42" s="4">
        <v>4154699.66</v>
      </c>
      <c r="O42" s="4">
        <v>4154699.66</v>
      </c>
      <c r="P42" s="4">
        <f t="shared" si="0"/>
        <v>4154699.6599999988</v>
      </c>
    </row>
    <row r="43" spans="1:16" x14ac:dyDescent="0.3">
      <c r="A43" s="470">
        <v>354.2</v>
      </c>
      <c r="B43" s="8" t="s">
        <v>1910</v>
      </c>
      <c r="C43" s="4">
        <v>4154699</v>
      </c>
      <c r="D43" s="4">
        <v>4154699</v>
      </c>
      <c r="E43" s="4">
        <v>4154699</v>
      </c>
      <c r="F43" s="4">
        <v>4154699</v>
      </c>
      <c r="G43" s="4">
        <v>4154699</v>
      </c>
      <c r="H43" s="4">
        <v>4154699</v>
      </c>
      <c r="I43" s="4">
        <v>4154699</v>
      </c>
      <c r="J43" s="4">
        <v>4154699</v>
      </c>
      <c r="K43" s="4">
        <v>4154699</v>
      </c>
      <c r="L43" s="4">
        <v>4154699</v>
      </c>
      <c r="M43" s="4">
        <v>4154699</v>
      </c>
      <c r="N43" s="4">
        <v>4154699</v>
      </c>
      <c r="O43" s="4">
        <v>4154699</v>
      </c>
      <c r="P43" s="4">
        <f t="shared" si="0"/>
        <v>4154699</v>
      </c>
    </row>
    <row r="44" spans="1:16" x14ac:dyDescent="0.3">
      <c r="A44" s="470">
        <v>354.3</v>
      </c>
      <c r="B44" s="8" t="s">
        <v>1911</v>
      </c>
      <c r="C44" s="4">
        <v>19640514.359999999</v>
      </c>
      <c r="D44" s="4">
        <v>19640514.359999999</v>
      </c>
      <c r="E44" s="4">
        <v>19640514.359999999</v>
      </c>
      <c r="F44" s="4">
        <v>19640514.359999999</v>
      </c>
      <c r="G44" s="4">
        <v>19640514.359999999</v>
      </c>
      <c r="H44" s="4">
        <v>19640514.359999999</v>
      </c>
      <c r="I44" s="4">
        <v>19640514.359999999</v>
      </c>
      <c r="J44" s="4">
        <v>19640514.359999999</v>
      </c>
      <c r="K44" s="4">
        <v>19640514.359999999</v>
      </c>
      <c r="L44" s="4">
        <v>19640514.359999999</v>
      </c>
      <c r="M44" s="4">
        <v>19640514.359999999</v>
      </c>
      <c r="N44" s="4">
        <v>19640514.359999999</v>
      </c>
      <c r="O44" s="4">
        <v>19640514.359999999</v>
      </c>
      <c r="P44" s="4">
        <f t="shared" si="0"/>
        <v>19640514.360000003</v>
      </c>
    </row>
    <row r="45" spans="1:16" x14ac:dyDescent="0.3">
      <c r="A45" s="470">
        <v>354.4</v>
      </c>
      <c r="B45" s="8" t="s">
        <v>1912</v>
      </c>
      <c r="C45" s="4">
        <v>3316171.17</v>
      </c>
      <c r="D45" s="4">
        <v>3316171.17</v>
      </c>
      <c r="E45" s="4">
        <v>3316171.17</v>
      </c>
      <c r="F45" s="4">
        <v>3316171.17</v>
      </c>
      <c r="G45" s="4">
        <v>3316171.17</v>
      </c>
      <c r="H45" s="4">
        <v>3316171.17</v>
      </c>
      <c r="I45" s="4">
        <v>3316171.17</v>
      </c>
      <c r="J45" s="4">
        <v>3316171.17</v>
      </c>
      <c r="K45" s="4">
        <v>3316171.17</v>
      </c>
      <c r="L45" s="4">
        <v>3316171.17</v>
      </c>
      <c r="M45" s="4">
        <v>3316171.17</v>
      </c>
      <c r="N45" s="4">
        <v>3316171.17</v>
      </c>
      <c r="O45" s="4">
        <v>3316171.17</v>
      </c>
      <c r="P45" s="4">
        <f t="shared" si="0"/>
        <v>3316171.1700000004</v>
      </c>
    </row>
    <row r="46" spans="1:16" x14ac:dyDescent="0.3">
      <c r="A46" s="470">
        <v>354.6</v>
      </c>
      <c r="B46" s="8" t="s">
        <v>1913</v>
      </c>
      <c r="C46" s="4">
        <v>85727.360000000001</v>
      </c>
      <c r="D46" s="4">
        <v>85727.360000000001</v>
      </c>
      <c r="E46" s="4">
        <v>85727.360000000001</v>
      </c>
      <c r="F46" s="4">
        <v>86631.360000000001</v>
      </c>
      <c r="G46" s="4">
        <v>86631.360000000001</v>
      </c>
      <c r="H46" s="4">
        <v>86631.360000000001</v>
      </c>
      <c r="I46" s="4">
        <v>86631.360000000001</v>
      </c>
      <c r="J46" s="4">
        <v>86631.360000000001</v>
      </c>
      <c r="K46" s="4">
        <v>86631.360000000001</v>
      </c>
      <c r="L46" s="4">
        <v>86631.360000000001</v>
      </c>
      <c r="M46" s="4">
        <v>86631.360000000001</v>
      </c>
      <c r="N46" s="4">
        <v>86631.360000000001</v>
      </c>
      <c r="O46" s="4">
        <v>86631.360000000001</v>
      </c>
      <c r="P46" s="4">
        <f t="shared" si="0"/>
        <v>86443.026666666658</v>
      </c>
    </row>
    <row r="47" spans="1:16" x14ac:dyDescent="0.3">
      <c r="A47" s="470">
        <v>355</v>
      </c>
      <c r="B47" s="8" t="s">
        <v>374</v>
      </c>
      <c r="C47" s="4">
        <v>7407338.3700000001</v>
      </c>
      <c r="D47" s="4">
        <v>7407338.3700000001</v>
      </c>
      <c r="E47" s="4">
        <v>7407338.3700000001</v>
      </c>
      <c r="F47" s="4">
        <v>7408127.1799999997</v>
      </c>
      <c r="G47" s="4">
        <v>7408127.1799999997</v>
      </c>
      <c r="H47" s="4">
        <v>7408127.1799999997</v>
      </c>
      <c r="I47" s="4">
        <v>7408127.1799999997</v>
      </c>
      <c r="J47" s="4">
        <v>7408127.1799999997</v>
      </c>
      <c r="K47" s="4">
        <v>7408127.1799999997</v>
      </c>
      <c r="L47" s="4">
        <v>7408127.1799999997</v>
      </c>
      <c r="M47" s="4">
        <v>7408127.1799999997</v>
      </c>
      <c r="N47" s="4">
        <v>7408127.1799999997</v>
      </c>
      <c r="O47" s="4">
        <v>7408127.1799999997</v>
      </c>
      <c r="P47" s="4">
        <f t="shared" si="0"/>
        <v>7407962.8445833353</v>
      </c>
    </row>
    <row r="48" spans="1:16" x14ac:dyDescent="0.3">
      <c r="A48" s="470">
        <v>356</v>
      </c>
      <c r="B48" s="8" t="s">
        <v>375</v>
      </c>
      <c r="C48" s="4">
        <v>297363</v>
      </c>
      <c r="D48" s="4">
        <v>297363</v>
      </c>
      <c r="E48" s="4">
        <v>297363</v>
      </c>
      <c r="F48" s="4">
        <v>297363</v>
      </c>
      <c r="G48" s="4">
        <v>297363</v>
      </c>
      <c r="H48" s="4">
        <v>297363</v>
      </c>
      <c r="I48" s="4">
        <v>297363</v>
      </c>
      <c r="J48" s="4">
        <v>297363</v>
      </c>
      <c r="K48" s="4">
        <v>297363</v>
      </c>
      <c r="L48" s="4">
        <v>363595.51</v>
      </c>
      <c r="M48" s="4">
        <v>363430.3</v>
      </c>
      <c r="N48" s="4">
        <v>363430.3</v>
      </c>
      <c r="O48" s="4">
        <v>363430.3</v>
      </c>
      <c r="P48" s="4">
        <f t="shared" si="0"/>
        <v>316646.39666666661</v>
      </c>
    </row>
    <row r="49" spans="1:16" x14ac:dyDescent="0.3">
      <c r="A49" s="470">
        <v>357</v>
      </c>
      <c r="B49" s="8" t="s">
        <v>376</v>
      </c>
      <c r="C49" s="4">
        <v>1332028.8500000001</v>
      </c>
      <c r="D49" s="4">
        <v>1332028.8500000001</v>
      </c>
      <c r="E49" s="4">
        <v>1332028.8500000001</v>
      </c>
      <c r="F49" s="4">
        <v>1332028.8500000001</v>
      </c>
      <c r="G49" s="4">
        <v>1332028.8500000001</v>
      </c>
      <c r="H49" s="4">
        <v>1332028.8500000001</v>
      </c>
      <c r="I49" s="4">
        <v>1332028.8500000001</v>
      </c>
      <c r="J49" s="4">
        <v>1332028.8500000001</v>
      </c>
      <c r="K49" s="4">
        <v>1332028.8500000001</v>
      </c>
      <c r="L49" s="4">
        <v>2357694.38</v>
      </c>
      <c r="M49" s="4">
        <v>2357694.38</v>
      </c>
      <c r="N49" s="4">
        <v>2357694.38</v>
      </c>
      <c r="O49" s="4">
        <v>2357694.38</v>
      </c>
      <c r="P49" s="4">
        <f t="shared" si="0"/>
        <v>1631181.2962499997</v>
      </c>
    </row>
    <row r="50" spans="1:16" x14ac:dyDescent="0.3">
      <c r="A50" s="470">
        <v>360.11</v>
      </c>
      <c r="B50" s="8" t="s">
        <v>377</v>
      </c>
      <c r="C50" s="4">
        <v>83598</v>
      </c>
      <c r="D50" s="4">
        <v>83598</v>
      </c>
      <c r="E50" s="4">
        <v>83598</v>
      </c>
      <c r="F50" s="4">
        <v>83598</v>
      </c>
      <c r="G50" s="4">
        <v>83598</v>
      </c>
      <c r="H50" s="4">
        <v>83598</v>
      </c>
      <c r="I50" s="4">
        <v>83598</v>
      </c>
      <c r="J50" s="4">
        <v>83598</v>
      </c>
      <c r="K50" s="4">
        <v>83598</v>
      </c>
      <c r="L50" s="4">
        <v>83598</v>
      </c>
      <c r="M50" s="4">
        <v>83598</v>
      </c>
      <c r="N50" s="4">
        <v>83598</v>
      </c>
      <c r="O50" s="4">
        <v>83598</v>
      </c>
      <c r="P50" s="4">
        <f t="shared" si="0"/>
        <v>83598</v>
      </c>
    </row>
    <row r="51" spans="1:16" x14ac:dyDescent="0.3">
      <c r="A51" s="470">
        <v>360.12</v>
      </c>
      <c r="B51" s="8" t="s">
        <v>378</v>
      </c>
      <c r="C51" s="4">
        <v>536674.81999999995</v>
      </c>
      <c r="D51" s="4">
        <v>536674.81999999995</v>
      </c>
      <c r="E51" s="4">
        <v>536674.81999999995</v>
      </c>
      <c r="F51" s="4">
        <v>536674.81999999995</v>
      </c>
      <c r="G51" s="4">
        <v>536674.81999999995</v>
      </c>
      <c r="H51" s="4">
        <v>536674.81999999995</v>
      </c>
      <c r="I51" s="4">
        <v>536674.81999999995</v>
      </c>
      <c r="J51" s="4">
        <v>536674.81999999995</v>
      </c>
      <c r="K51" s="4">
        <v>536674.81999999995</v>
      </c>
      <c r="L51" s="4">
        <v>536674.81999999995</v>
      </c>
      <c r="M51" s="4">
        <v>536674.81999999995</v>
      </c>
      <c r="N51" s="4">
        <v>536674.81999999995</v>
      </c>
      <c r="O51" s="4">
        <v>536674.81999999995</v>
      </c>
      <c r="P51" s="4">
        <f t="shared" si="0"/>
        <v>536674.82000000007</v>
      </c>
    </row>
    <row r="52" spans="1:16" x14ac:dyDescent="0.3">
      <c r="A52" s="470">
        <v>360.2</v>
      </c>
      <c r="B52" s="8" t="s">
        <v>379</v>
      </c>
      <c r="C52" s="4">
        <v>106557.31</v>
      </c>
      <c r="D52" s="4">
        <v>106557.31</v>
      </c>
      <c r="E52" s="4">
        <v>106557.31</v>
      </c>
      <c r="F52" s="4">
        <v>106557.31</v>
      </c>
      <c r="G52" s="4">
        <v>106557.31</v>
      </c>
      <c r="H52" s="4">
        <v>106557.31</v>
      </c>
      <c r="I52" s="4">
        <v>106557.31</v>
      </c>
      <c r="J52" s="4">
        <v>106557.31</v>
      </c>
      <c r="K52" s="4">
        <v>106557.31</v>
      </c>
      <c r="L52" s="4">
        <v>106557.31</v>
      </c>
      <c r="M52" s="4">
        <v>106557.31</v>
      </c>
      <c r="N52" s="4">
        <v>106557.31</v>
      </c>
      <c r="O52" s="4">
        <v>106557.31</v>
      </c>
      <c r="P52" s="4">
        <f t="shared" si="0"/>
        <v>106557.31000000004</v>
      </c>
    </row>
    <row r="53" spans="1:16" x14ac:dyDescent="0.3">
      <c r="A53" s="470">
        <v>361.11</v>
      </c>
      <c r="B53" s="8" t="s">
        <v>329</v>
      </c>
      <c r="C53" s="4">
        <v>5093858.49</v>
      </c>
      <c r="D53" s="4">
        <v>5093858.49</v>
      </c>
      <c r="E53" s="4">
        <v>5093858.49</v>
      </c>
      <c r="F53" s="4">
        <v>5068838.49</v>
      </c>
      <c r="G53" s="4">
        <v>5068838.49</v>
      </c>
      <c r="H53" s="4">
        <v>5396077.7200000007</v>
      </c>
      <c r="I53" s="4">
        <v>5411636.1600000011</v>
      </c>
      <c r="J53" s="4">
        <v>5408882.2000000011</v>
      </c>
      <c r="K53" s="4">
        <v>5408882.2000000011</v>
      </c>
      <c r="L53" s="4">
        <v>5408882.2000000011</v>
      </c>
      <c r="M53" s="4">
        <v>5408882.2000000011</v>
      </c>
      <c r="N53" s="4">
        <v>5408882.2000000011</v>
      </c>
      <c r="O53" s="4">
        <v>5408882.2000000011</v>
      </c>
      <c r="P53" s="4">
        <f t="shared" si="0"/>
        <v>5285740.7654166678</v>
      </c>
    </row>
    <row r="54" spans="1:16" x14ac:dyDescent="0.3">
      <c r="A54" s="470">
        <v>361.12</v>
      </c>
      <c r="B54" s="8" t="s">
        <v>329</v>
      </c>
      <c r="C54" s="4">
        <v>10391547.239999998</v>
      </c>
      <c r="D54" s="4">
        <v>10393973.659999998</v>
      </c>
      <c r="E54" s="4">
        <v>10394724.839999998</v>
      </c>
      <c r="F54" s="4">
        <v>10013761.109999998</v>
      </c>
      <c r="G54" s="4">
        <v>10013761.109999998</v>
      </c>
      <c r="H54" s="4">
        <v>10013761.109999998</v>
      </c>
      <c r="I54" s="4">
        <v>10013761.109999998</v>
      </c>
      <c r="J54" s="4">
        <v>10036530.509999998</v>
      </c>
      <c r="K54" s="4">
        <v>10021371.719999999</v>
      </c>
      <c r="L54" s="4">
        <v>10031519.329999998</v>
      </c>
      <c r="M54" s="4">
        <v>10031519.329999998</v>
      </c>
      <c r="N54" s="4">
        <v>10031519.329999998</v>
      </c>
      <c r="O54" s="4">
        <v>10031519.329999998</v>
      </c>
      <c r="P54" s="4">
        <f t="shared" si="0"/>
        <v>10100644.703749998</v>
      </c>
    </row>
    <row r="55" spans="1:16" x14ac:dyDescent="0.3">
      <c r="A55" s="470">
        <v>361.2</v>
      </c>
      <c r="B55" s="8" t="s">
        <v>380</v>
      </c>
      <c r="C55" s="4">
        <v>26757</v>
      </c>
      <c r="D55" s="4">
        <v>26757</v>
      </c>
      <c r="E55" s="4">
        <v>26757</v>
      </c>
      <c r="F55" s="4">
        <v>26757</v>
      </c>
      <c r="G55" s="4">
        <v>26757</v>
      </c>
      <c r="H55" s="4">
        <v>26757</v>
      </c>
      <c r="I55" s="4">
        <v>26757</v>
      </c>
      <c r="J55" s="4">
        <v>26757</v>
      </c>
      <c r="K55" s="4">
        <v>26757</v>
      </c>
      <c r="L55" s="4">
        <v>26757</v>
      </c>
      <c r="M55" s="4">
        <v>26757</v>
      </c>
      <c r="N55" s="4">
        <v>26757</v>
      </c>
      <c r="O55" s="4">
        <v>26757</v>
      </c>
      <c r="P55" s="4">
        <f t="shared" si="0"/>
        <v>26757</v>
      </c>
    </row>
    <row r="56" spans="1:16" x14ac:dyDescent="0.3">
      <c r="A56" s="470">
        <v>362.11</v>
      </c>
      <c r="B56" s="8" t="s">
        <v>381</v>
      </c>
      <c r="C56" s="4">
        <v>4334577.8999999994</v>
      </c>
      <c r="D56" s="4">
        <v>4334577.8999999994</v>
      </c>
      <c r="E56" s="4">
        <v>4556064.3499999996</v>
      </c>
      <c r="F56" s="4">
        <v>4556064.3499999996</v>
      </c>
      <c r="G56" s="4">
        <v>4556064.3499999996</v>
      </c>
      <c r="H56" s="4">
        <v>4556064.3499999996</v>
      </c>
      <c r="I56" s="4">
        <v>4556064.3499999996</v>
      </c>
      <c r="J56" s="4">
        <v>4556064.3499999996</v>
      </c>
      <c r="K56" s="4">
        <v>4556064.3499999996</v>
      </c>
      <c r="L56" s="4">
        <v>4556064.3499999996</v>
      </c>
      <c r="M56" s="4">
        <v>4556064.3499999996</v>
      </c>
      <c r="N56" s="4">
        <v>4556064.3499999996</v>
      </c>
      <c r="O56" s="4">
        <v>4556064.3499999996</v>
      </c>
      <c r="P56" s="4">
        <f t="shared" si="0"/>
        <v>4528378.5437500002</v>
      </c>
    </row>
    <row r="57" spans="1:16" x14ac:dyDescent="0.3">
      <c r="A57" s="470">
        <v>362.12</v>
      </c>
      <c r="B57" s="8" t="s">
        <v>382</v>
      </c>
      <c r="C57" s="4">
        <v>5773903.3600000003</v>
      </c>
      <c r="D57" s="4">
        <v>5773903.3600000003</v>
      </c>
      <c r="E57" s="4">
        <v>5927103.8200000003</v>
      </c>
      <c r="F57" s="4">
        <v>5927103.8200000003</v>
      </c>
      <c r="G57" s="4">
        <v>5927103.8200000003</v>
      </c>
      <c r="H57" s="4">
        <v>5927103.8200000003</v>
      </c>
      <c r="I57" s="4">
        <v>5927103.8200000003</v>
      </c>
      <c r="J57" s="4">
        <v>5927103.8200000003</v>
      </c>
      <c r="K57" s="4">
        <v>5927103.8200000003</v>
      </c>
      <c r="L57" s="4">
        <v>5927103.8200000003</v>
      </c>
      <c r="M57" s="4">
        <v>5927103.8200000003</v>
      </c>
      <c r="N57" s="4">
        <v>5927103.8200000003</v>
      </c>
      <c r="O57" s="4">
        <v>5927103.8200000003</v>
      </c>
      <c r="P57" s="4">
        <f t="shared" si="0"/>
        <v>5907953.7625000002</v>
      </c>
    </row>
    <row r="58" spans="1:16" x14ac:dyDescent="0.3">
      <c r="A58" s="470">
        <v>362.2</v>
      </c>
      <c r="B58" s="8" t="s">
        <v>383</v>
      </c>
      <c r="C58" s="4">
        <v>1600.14</v>
      </c>
      <c r="D58" s="4">
        <v>1600.14</v>
      </c>
      <c r="E58" s="4">
        <v>1600.14</v>
      </c>
      <c r="F58" s="4">
        <v>1600.14</v>
      </c>
      <c r="G58" s="4">
        <v>1600.14</v>
      </c>
      <c r="H58" s="4">
        <v>1600.14</v>
      </c>
      <c r="I58" s="4">
        <v>1600.14</v>
      </c>
      <c r="J58" s="4">
        <v>1600.14</v>
      </c>
      <c r="K58" s="4">
        <v>1600.14</v>
      </c>
      <c r="L58" s="4">
        <v>1600.14</v>
      </c>
      <c r="M58" s="4">
        <v>1600.14</v>
      </c>
      <c r="N58" s="4">
        <v>1600.14</v>
      </c>
      <c r="O58" s="4">
        <v>1600.14</v>
      </c>
      <c r="P58" s="4">
        <f t="shared" si="0"/>
        <v>1600.1399999999996</v>
      </c>
    </row>
    <row r="59" spans="1:16" x14ac:dyDescent="0.3">
      <c r="A59" s="470">
        <v>363.11</v>
      </c>
      <c r="B59" s="8" t="s">
        <v>384</v>
      </c>
      <c r="C59" s="4">
        <v>3235222.69</v>
      </c>
      <c r="D59" s="4">
        <v>3332892.64</v>
      </c>
      <c r="E59" s="4">
        <v>3336220.39</v>
      </c>
      <c r="F59" s="4">
        <v>3308902.39</v>
      </c>
      <c r="G59" s="4">
        <v>3331674.0100000002</v>
      </c>
      <c r="H59" s="4">
        <v>3331884.47</v>
      </c>
      <c r="I59" s="4">
        <v>3332869</v>
      </c>
      <c r="J59" s="4">
        <v>3332869</v>
      </c>
      <c r="K59" s="4">
        <v>3332869</v>
      </c>
      <c r="L59" s="4">
        <v>3332869</v>
      </c>
      <c r="M59" s="4">
        <v>3332869</v>
      </c>
      <c r="N59" s="4">
        <v>3319411.35</v>
      </c>
      <c r="O59" s="4">
        <v>3319411.35</v>
      </c>
      <c r="P59" s="4">
        <f t="shared" si="0"/>
        <v>3325220.6058333335</v>
      </c>
    </row>
    <row r="60" spans="1:16" x14ac:dyDescent="0.3">
      <c r="A60" s="470">
        <v>363.12</v>
      </c>
      <c r="B60" s="8" t="s">
        <v>385</v>
      </c>
      <c r="C60" s="4">
        <v>10800589.780000001</v>
      </c>
      <c r="D60" s="4">
        <v>10799342.710000001</v>
      </c>
      <c r="E60" s="4">
        <v>10800360.07</v>
      </c>
      <c r="F60" s="4">
        <v>10725181.040000001</v>
      </c>
      <c r="G60" s="4">
        <v>10725181.040000001</v>
      </c>
      <c r="H60" s="4">
        <v>10725181.040000001</v>
      </c>
      <c r="I60" s="4">
        <v>10725181.040000001</v>
      </c>
      <c r="J60" s="4">
        <v>10725181.040000001</v>
      </c>
      <c r="K60" s="4">
        <v>10725181.040000001</v>
      </c>
      <c r="L60" s="4">
        <v>10725181.040000001</v>
      </c>
      <c r="M60" s="4">
        <v>10725181.040000001</v>
      </c>
      <c r="N60" s="4">
        <v>10725181.040000001</v>
      </c>
      <c r="O60" s="4">
        <v>10725181.040000001</v>
      </c>
      <c r="P60" s="4">
        <f t="shared" si="0"/>
        <v>10740768.129166668</v>
      </c>
    </row>
    <row r="61" spans="1:16" x14ac:dyDescent="0.3">
      <c r="A61" s="470">
        <v>363.21</v>
      </c>
      <c r="B61" s="8" t="s">
        <v>386</v>
      </c>
      <c r="C61" s="4">
        <v>5676430.9500000002</v>
      </c>
      <c r="D61" s="4">
        <v>5692621.0499999998</v>
      </c>
      <c r="E61" s="4">
        <v>5693066.6699999999</v>
      </c>
      <c r="F61" s="4">
        <v>4458618</v>
      </c>
      <c r="G61" s="4">
        <v>4458618</v>
      </c>
      <c r="H61" s="4">
        <v>4458618</v>
      </c>
      <c r="I61" s="4">
        <v>4458618</v>
      </c>
      <c r="J61" s="4">
        <v>4458618</v>
      </c>
      <c r="K61" s="4">
        <v>4458618</v>
      </c>
      <c r="L61" s="4">
        <v>4458618</v>
      </c>
      <c r="M61" s="4">
        <v>4458618</v>
      </c>
      <c r="N61" s="4">
        <v>4458618</v>
      </c>
      <c r="O61" s="4">
        <v>4458618</v>
      </c>
      <c r="P61" s="4">
        <f t="shared" si="0"/>
        <v>4715064.5162500003</v>
      </c>
    </row>
    <row r="62" spans="1:16" x14ac:dyDescent="0.3">
      <c r="A62" s="470">
        <v>363.22</v>
      </c>
      <c r="B62" s="8" t="s">
        <v>387</v>
      </c>
      <c r="C62" s="4">
        <v>3697966.25</v>
      </c>
      <c r="D62" s="4">
        <v>7105999.4900000002</v>
      </c>
      <c r="E62" s="4">
        <v>7106445.1100000003</v>
      </c>
      <c r="F62" s="4">
        <v>3739812.74</v>
      </c>
      <c r="G62" s="4">
        <v>3739812.74</v>
      </c>
      <c r="H62" s="4">
        <v>3739812.74</v>
      </c>
      <c r="I62" s="4">
        <v>3739812.74</v>
      </c>
      <c r="J62" s="4">
        <v>3739812.74</v>
      </c>
      <c r="K62" s="4">
        <v>3739812.74</v>
      </c>
      <c r="L62" s="4">
        <v>3739812.74</v>
      </c>
      <c r="M62" s="4">
        <v>3739812.74</v>
      </c>
      <c r="N62" s="4">
        <v>3739812.74</v>
      </c>
      <c r="O62" s="4">
        <v>3739812.74</v>
      </c>
      <c r="P62" s="4">
        <f t="shared" si="0"/>
        <v>4299137.3962500012</v>
      </c>
    </row>
    <row r="63" spans="1:16" x14ac:dyDescent="0.3">
      <c r="A63" s="470">
        <v>363.31</v>
      </c>
      <c r="B63" s="8" t="s">
        <v>388</v>
      </c>
      <c r="C63" s="4">
        <v>180903.23</v>
      </c>
      <c r="D63" s="4">
        <v>180903.23</v>
      </c>
      <c r="E63" s="4">
        <v>180903.23</v>
      </c>
      <c r="F63" s="4">
        <v>180903.23</v>
      </c>
      <c r="G63" s="4">
        <v>180903.23</v>
      </c>
      <c r="H63" s="4">
        <v>180903.23</v>
      </c>
      <c r="I63" s="4">
        <v>180903.23</v>
      </c>
      <c r="J63" s="4">
        <v>180903.23</v>
      </c>
      <c r="K63" s="4">
        <v>180903.23</v>
      </c>
      <c r="L63" s="4">
        <v>180903.23</v>
      </c>
      <c r="M63" s="4">
        <v>180903.23</v>
      </c>
      <c r="N63" s="4">
        <v>180903.23</v>
      </c>
      <c r="O63" s="4">
        <v>180903.23</v>
      </c>
      <c r="P63" s="4">
        <f t="shared" si="0"/>
        <v>180903.23</v>
      </c>
    </row>
    <row r="64" spans="1:16" x14ac:dyDescent="0.3">
      <c r="A64" s="470">
        <v>363.32</v>
      </c>
      <c r="B64" s="8" t="s">
        <v>389</v>
      </c>
      <c r="C64" s="4">
        <v>4352331.9900000012</v>
      </c>
      <c r="D64" s="4">
        <v>4354931.3100000015</v>
      </c>
      <c r="E64" s="4">
        <v>4366183.5000000019</v>
      </c>
      <c r="F64" s="4">
        <v>4366714.660000002</v>
      </c>
      <c r="G64" s="4">
        <v>4366714.660000002</v>
      </c>
      <c r="H64" s="4">
        <v>4366714.660000002</v>
      </c>
      <c r="I64" s="4">
        <v>4366714.660000002</v>
      </c>
      <c r="J64" s="4">
        <v>4366714.660000002</v>
      </c>
      <c r="K64" s="4">
        <v>4366714.660000002</v>
      </c>
      <c r="L64" s="4">
        <v>4366714.660000002</v>
      </c>
      <c r="M64" s="4">
        <v>4366714.660000002</v>
      </c>
      <c r="N64" s="4">
        <v>4366714.660000002</v>
      </c>
      <c r="O64" s="4">
        <v>4623081.0700000022</v>
      </c>
      <c r="P64" s="4">
        <f t="shared" si="0"/>
        <v>4375771.1066666692</v>
      </c>
    </row>
    <row r="65" spans="1:16" x14ac:dyDescent="0.3">
      <c r="A65" s="470">
        <v>363.41</v>
      </c>
      <c r="B65" s="8" t="s">
        <v>390</v>
      </c>
      <c r="C65" s="4">
        <v>1302364.02</v>
      </c>
      <c r="D65" s="4">
        <v>1302364.02</v>
      </c>
      <c r="E65" s="4">
        <v>1302364.02</v>
      </c>
      <c r="F65" s="4">
        <v>2451771.96</v>
      </c>
      <c r="G65" s="4">
        <v>2451771.96</v>
      </c>
      <c r="H65" s="4">
        <v>2812271.92</v>
      </c>
      <c r="I65" s="4">
        <v>2812681.13</v>
      </c>
      <c r="J65" s="4">
        <v>2812681.13</v>
      </c>
      <c r="K65" s="4">
        <v>2812681.13</v>
      </c>
      <c r="L65" s="4">
        <v>2812681.13</v>
      </c>
      <c r="M65" s="4">
        <v>2812681.13</v>
      </c>
      <c r="N65" s="4">
        <v>2812681.13</v>
      </c>
      <c r="O65" s="4">
        <v>2812681.13</v>
      </c>
      <c r="P65" s="4">
        <f t="shared" si="0"/>
        <v>2437846.1029166658</v>
      </c>
    </row>
    <row r="66" spans="1:16" x14ac:dyDescent="0.3">
      <c r="A66" s="470">
        <v>363.42</v>
      </c>
      <c r="B66" s="8" t="s">
        <v>390</v>
      </c>
      <c r="C66" s="4">
        <v>8933366.5700000003</v>
      </c>
      <c r="D66" s="4">
        <v>8941034.1600000001</v>
      </c>
      <c r="E66" s="4">
        <v>8934769.6500000004</v>
      </c>
      <c r="F66" s="4">
        <v>10289895.17</v>
      </c>
      <c r="G66" s="4">
        <v>10289895.17</v>
      </c>
      <c r="H66" s="4">
        <v>10299179.529999999</v>
      </c>
      <c r="I66" s="4">
        <v>10299179.529999999</v>
      </c>
      <c r="J66" s="4">
        <v>10299179.529999999</v>
      </c>
      <c r="K66" s="4">
        <v>10290639.879999999</v>
      </c>
      <c r="L66" s="4">
        <v>10290639.879999999</v>
      </c>
      <c r="M66" s="4">
        <v>10290639.879999999</v>
      </c>
      <c r="N66" s="4">
        <v>10290639.879999999</v>
      </c>
      <c r="O66" s="4">
        <v>10290639.879999999</v>
      </c>
      <c r="P66" s="4">
        <f t="shared" si="0"/>
        <v>10010641.290416665</v>
      </c>
    </row>
    <row r="67" spans="1:16" x14ac:dyDescent="0.3">
      <c r="A67" s="470">
        <v>363.5</v>
      </c>
      <c r="B67" s="8" t="s">
        <v>391</v>
      </c>
      <c r="C67" s="4">
        <v>3051295.49</v>
      </c>
      <c r="D67" s="4">
        <v>3051295.49</v>
      </c>
      <c r="E67" s="4">
        <v>3051295.49</v>
      </c>
      <c r="F67" s="4">
        <v>3051295.49</v>
      </c>
      <c r="G67" s="4">
        <v>3051295.49</v>
      </c>
      <c r="H67" s="4">
        <v>3051295.49</v>
      </c>
      <c r="I67" s="4">
        <v>3051295.49</v>
      </c>
      <c r="J67" s="4">
        <v>3051295.49</v>
      </c>
      <c r="K67" s="4">
        <v>3051295.49</v>
      </c>
      <c r="L67" s="4">
        <v>3051295.49</v>
      </c>
      <c r="M67" s="4">
        <v>3051295.49</v>
      </c>
      <c r="N67" s="4">
        <v>3051295.49</v>
      </c>
      <c r="O67" s="4">
        <v>3051295.49</v>
      </c>
      <c r="P67" s="4">
        <f t="shared" si="0"/>
        <v>3051295.4900000007</v>
      </c>
    </row>
    <row r="68" spans="1:16" x14ac:dyDescent="0.3">
      <c r="A68" s="470">
        <v>363.6</v>
      </c>
      <c r="B68" s="8" t="s">
        <v>392</v>
      </c>
      <c r="C68" s="4">
        <v>739473</v>
      </c>
      <c r="D68" s="4">
        <v>739473</v>
      </c>
      <c r="E68" s="4">
        <v>739473</v>
      </c>
      <c r="F68" s="4">
        <v>739473</v>
      </c>
      <c r="G68" s="4">
        <v>739473</v>
      </c>
      <c r="H68" s="4">
        <v>739473</v>
      </c>
      <c r="I68" s="4">
        <v>739473</v>
      </c>
      <c r="J68" s="4">
        <v>739473</v>
      </c>
      <c r="K68" s="4">
        <v>739473</v>
      </c>
      <c r="L68" s="4">
        <v>739473</v>
      </c>
      <c r="M68" s="4">
        <v>739473</v>
      </c>
      <c r="N68" s="4">
        <v>739473</v>
      </c>
      <c r="O68" s="4">
        <v>739473</v>
      </c>
      <c r="P68" s="4">
        <f t="shared" si="0"/>
        <v>739473</v>
      </c>
    </row>
    <row r="69" spans="1:16" x14ac:dyDescent="0.3">
      <c r="A69" s="470">
        <v>365.1</v>
      </c>
      <c r="B69" s="8" t="s">
        <v>327</v>
      </c>
      <c r="C69" s="4">
        <v>89772.22</v>
      </c>
      <c r="D69" s="4">
        <v>89772.22</v>
      </c>
      <c r="E69" s="4">
        <v>89772.22</v>
      </c>
      <c r="F69" s="4">
        <v>89772.22</v>
      </c>
      <c r="G69" s="4">
        <v>89772.22</v>
      </c>
      <c r="H69" s="4">
        <v>89772.22</v>
      </c>
      <c r="I69" s="4">
        <v>89772.22</v>
      </c>
      <c r="J69" s="4">
        <v>89772.22</v>
      </c>
      <c r="K69" s="4">
        <v>89772.22</v>
      </c>
      <c r="L69" s="4">
        <v>89772.22</v>
      </c>
      <c r="M69" s="4">
        <v>89772.22</v>
      </c>
      <c r="N69" s="4">
        <v>89772.22</v>
      </c>
      <c r="O69" s="4">
        <v>1027791.23</v>
      </c>
      <c r="P69" s="4">
        <f t="shared" si="0"/>
        <v>128856.34541666665</v>
      </c>
    </row>
    <row r="70" spans="1:16" x14ac:dyDescent="0.3">
      <c r="A70" s="470">
        <v>365.2</v>
      </c>
      <c r="B70" s="8" t="s">
        <v>328</v>
      </c>
      <c r="C70" s="4">
        <v>6455176.8600000003</v>
      </c>
      <c r="D70" s="4">
        <v>6455176.8600000003</v>
      </c>
      <c r="E70" s="4">
        <v>6455176.8600000003</v>
      </c>
      <c r="F70" s="4">
        <v>6455176.8600000003</v>
      </c>
      <c r="G70" s="4">
        <v>6455176.8600000003</v>
      </c>
      <c r="H70" s="4">
        <v>6455176.8600000003</v>
      </c>
      <c r="I70" s="4">
        <v>6455176.8600000003</v>
      </c>
      <c r="J70" s="4">
        <v>6455176.8600000003</v>
      </c>
      <c r="K70" s="4">
        <v>6455176.8600000003</v>
      </c>
      <c r="L70" s="4">
        <v>6455176.8600000003</v>
      </c>
      <c r="M70" s="4">
        <v>6455176.8600000003</v>
      </c>
      <c r="N70" s="4">
        <v>6455176.8600000003</v>
      </c>
      <c r="O70" s="4">
        <v>6455176.8600000003</v>
      </c>
      <c r="P70" s="4">
        <f t="shared" ref="P70:P133" si="1">(C70/2+O70/2+SUM(D70:N70))/12</f>
        <v>6455176.8600000003</v>
      </c>
    </row>
    <row r="71" spans="1:16" x14ac:dyDescent="0.3">
      <c r="A71" s="470">
        <v>366.3</v>
      </c>
      <c r="B71" s="8" t="s">
        <v>380</v>
      </c>
      <c r="C71" s="4">
        <v>1546072.61</v>
      </c>
      <c r="D71" s="4">
        <v>1546072.61</v>
      </c>
      <c r="E71" s="4">
        <v>1546072.61</v>
      </c>
      <c r="F71" s="4">
        <v>1546072.61</v>
      </c>
      <c r="G71" s="4">
        <v>1546072.61</v>
      </c>
      <c r="H71" s="4">
        <v>1546072.61</v>
      </c>
      <c r="I71" s="4">
        <v>1546072.61</v>
      </c>
      <c r="J71" s="4">
        <v>1546072.61</v>
      </c>
      <c r="K71" s="4">
        <v>1546072.61</v>
      </c>
      <c r="L71" s="4">
        <v>1546072.61</v>
      </c>
      <c r="M71" s="4">
        <v>1546072.61</v>
      </c>
      <c r="N71" s="4">
        <v>1546072.61</v>
      </c>
      <c r="O71" s="4">
        <v>1546072.61</v>
      </c>
      <c r="P71" s="4">
        <f t="shared" si="1"/>
        <v>1546072.6099999996</v>
      </c>
    </row>
    <row r="72" spans="1:16" x14ac:dyDescent="0.3">
      <c r="A72" s="470">
        <v>367</v>
      </c>
      <c r="B72" s="8" t="s">
        <v>326</v>
      </c>
      <c r="C72" s="4">
        <v>151927103.30999997</v>
      </c>
      <c r="D72" s="4">
        <v>152151706.02999997</v>
      </c>
      <c r="E72" s="4">
        <v>152173297.32999998</v>
      </c>
      <c r="F72" s="4">
        <v>153411898.95999998</v>
      </c>
      <c r="G72" s="4">
        <v>153471388.51999998</v>
      </c>
      <c r="H72" s="4">
        <v>153496164.24999997</v>
      </c>
      <c r="I72" s="4">
        <v>154647942.64999998</v>
      </c>
      <c r="J72" s="4">
        <v>154685210.23999998</v>
      </c>
      <c r="K72" s="4">
        <v>155019652.91999999</v>
      </c>
      <c r="L72" s="4">
        <v>155417344.55999997</v>
      </c>
      <c r="M72" s="4">
        <v>155490513.92999998</v>
      </c>
      <c r="N72" s="4">
        <v>155518754.70999998</v>
      </c>
      <c r="O72" s="4">
        <v>155520957.65999997</v>
      </c>
      <c r="P72" s="4">
        <f t="shared" si="1"/>
        <v>154100658.71541664</v>
      </c>
    </row>
    <row r="73" spans="1:16" x14ac:dyDescent="0.3">
      <c r="A73" s="470">
        <v>367.21</v>
      </c>
      <c r="B73" s="8" t="s">
        <v>393</v>
      </c>
      <c r="C73" s="4">
        <v>1994582.39</v>
      </c>
      <c r="D73" s="4">
        <v>1994582.39</v>
      </c>
      <c r="E73" s="4">
        <v>1994582.39</v>
      </c>
      <c r="F73" s="4">
        <v>1994582.39</v>
      </c>
      <c r="G73" s="4">
        <v>1994582.39</v>
      </c>
      <c r="H73" s="4">
        <v>1994582.39</v>
      </c>
      <c r="I73" s="4">
        <v>1994582.39</v>
      </c>
      <c r="J73" s="4">
        <v>1994582.39</v>
      </c>
      <c r="K73" s="4">
        <v>1994582.39</v>
      </c>
      <c r="L73" s="4">
        <v>1994582.39</v>
      </c>
      <c r="M73" s="4">
        <v>1994582.39</v>
      </c>
      <c r="N73" s="4">
        <v>1994582.39</v>
      </c>
      <c r="O73" s="4">
        <v>1994582.39</v>
      </c>
      <c r="P73" s="4">
        <f t="shared" si="1"/>
        <v>1994582.3900000004</v>
      </c>
    </row>
    <row r="74" spans="1:16" x14ac:dyDescent="0.3">
      <c r="A74" s="470">
        <v>367.22</v>
      </c>
      <c r="B74" s="8" t="s">
        <v>394</v>
      </c>
      <c r="C74" s="4">
        <v>14949264</v>
      </c>
      <c r="D74" s="4">
        <v>14949264</v>
      </c>
      <c r="E74" s="4">
        <v>14949264</v>
      </c>
      <c r="F74" s="4">
        <v>14949264</v>
      </c>
      <c r="G74" s="4">
        <v>14949264</v>
      </c>
      <c r="H74" s="4">
        <v>14949264</v>
      </c>
      <c r="I74" s="4">
        <v>14949264</v>
      </c>
      <c r="J74" s="4">
        <v>14949264</v>
      </c>
      <c r="K74" s="4">
        <v>14949264</v>
      </c>
      <c r="L74" s="4">
        <v>14949264</v>
      </c>
      <c r="M74" s="4">
        <v>14949264</v>
      </c>
      <c r="N74" s="4">
        <v>14949264</v>
      </c>
      <c r="O74" s="4">
        <v>14949264</v>
      </c>
      <c r="P74" s="4">
        <f t="shared" si="1"/>
        <v>14949264</v>
      </c>
    </row>
    <row r="75" spans="1:16" x14ac:dyDescent="0.3">
      <c r="A75" s="470">
        <v>367.23</v>
      </c>
      <c r="B75" s="8" t="s">
        <v>394</v>
      </c>
      <c r="C75" s="4">
        <v>34881341.359999999</v>
      </c>
      <c r="D75" s="4">
        <v>34881341.359999999</v>
      </c>
      <c r="E75" s="4">
        <v>34881341.359999999</v>
      </c>
      <c r="F75" s="4">
        <v>34881341.359999999</v>
      </c>
      <c r="G75" s="4">
        <v>34881341.359999999</v>
      </c>
      <c r="H75" s="4">
        <v>34881341.359999999</v>
      </c>
      <c r="I75" s="4">
        <v>34881341.359999999</v>
      </c>
      <c r="J75" s="4">
        <v>34881341.359999999</v>
      </c>
      <c r="K75" s="4">
        <v>34881341.359999999</v>
      </c>
      <c r="L75" s="4">
        <v>34881341.359999999</v>
      </c>
      <c r="M75" s="4">
        <v>34881341.359999999</v>
      </c>
      <c r="N75" s="4">
        <v>34881341.359999999</v>
      </c>
      <c r="O75" s="4">
        <v>34881341.359999999</v>
      </c>
      <c r="P75" s="4">
        <f t="shared" si="1"/>
        <v>34881341.360000007</v>
      </c>
    </row>
    <row r="76" spans="1:16" x14ac:dyDescent="0.3">
      <c r="A76" s="470">
        <v>367.24</v>
      </c>
      <c r="B76" s="8" t="s">
        <v>395</v>
      </c>
      <c r="C76" s="4">
        <v>17466181.890000001</v>
      </c>
      <c r="D76" s="4">
        <v>17466181.890000001</v>
      </c>
      <c r="E76" s="4">
        <v>17466181.890000001</v>
      </c>
      <c r="F76" s="4">
        <v>17466181.890000001</v>
      </c>
      <c r="G76" s="4">
        <v>17466181.890000001</v>
      </c>
      <c r="H76" s="4">
        <v>17466181.890000001</v>
      </c>
      <c r="I76" s="4">
        <v>17466181.890000001</v>
      </c>
      <c r="J76" s="4">
        <v>17466181.890000001</v>
      </c>
      <c r="K76" s="4">
        <v>17466181.890000001</v>
      </c>
      <c r="L76" s="4">
        <v>17466181.890000001</v>
      </c>
      <c r="M76" s="4">
        <v>17466181.890000001</v>
      </c>
      <c r="N76" s="4">
        <v>17466181.890000001</v>
      </c>
      <c r="O76" s="4">
        <v>17466181.890000001</v>
      </c>
      <c r="P76" s="4">
        <f t="shared" si="1"/>
        <v>17466181.889999997</v>
      </c>
    </row>
    <row r="77" spans="1:16" x14ac:dyDescent="0.3">
      <c r="A77" s="470">
        <v>367.25</v>
      </c>
      <c r="B77" s="8" t="s">
        <v>396</v>
      </c>
      <c r="C77" s="4">
        <v>18613651.149999999</v>
      </c>
      <c r="D77" s="4">
        <v>18613651.149999999</v>
      </c>
      <c r="E77" s="4">
        <v>18613651.149999999</v>
      </c>
      <c r="F77" s="4">
        <v>18613651.149999999</v>
      </c>
      <c r="G77" s="4">
        <v>18613651.149999999</v>
      </c>
      <c r="H77" s="4">
        <v>18613651.149999999</v>
      </c>
      <c r="I77" s="4">
        <v>18613651.149999999</v>
      </c>
      <c r="J77" s="4">
        <v>18613651.149999999</v>
      </c>
      <c r="K77" s="4">
        <v>18613651.149999999</v>
      </c>
      <c r="L77" s="4">
        <v>18613651.149999999</v>
      </c>
      <c r="M77" s="4">
        <v>18613651.149999999</v>
      </c>
      <c r="N77" s="4">
        <v>18613651.149999999</v>
      </c>
      <c r="O77" s="4">
        <v>18613651.149999999</v>
      </c>
      <c r="P77" s="4">
        <f t="shared" si="1"/>
        <v>18613651.150000002</v>
      </c>
    </row>
    <row r="78" spans="1:16" x14ac:dyDescent="0.3">
      <c r="A78" s="470">
        <v>367.26</v>
      </c>
      <c r="B78" s="8" t="s">
        <v>397</v>
      </c>
      <c r="C78" s="4">
        <v>68232675.579999998</v>
      </c>
      <c r="D78" s="4">
        <v>68232675.579999998</v>
      </c>
      <c r="E78" s="4">
        <v>68232675.579999998</v>
      </c>
      <c r="F78" s="4">
        <v>68232675.579999998</v>
      </c>
      <c r="G78" s="4">
        <v>68232675.579999998</v>
      </c>
      <c r="H78" s="4">
        <v>68232675.579999998</v>
      </c>
      <c r="I78" s="4">
        <v>68232675.579999998</v>
      </c>
      <c r="J78" s="4">
        <v>68232675.579999998</v>
      </c>
      <c r="K78" s="4">
        <v>68232675.579999998</v>
      </c>
      <c r="L78" s="4">
        <v>68232675.579999998</v>
      </c>
      <c r="M78" s="4">
        <v>68232675.579999998</v>
      </c>
      <c r="N78" s="4">
        <v>68232675.579999998</v>
      </c>
      <c r="O78" s="4">
        <v>68232675.579999998</v>
      </c>
      <c r="P78" s="4">
        <f t="shared" si="1"/>
        <v>68232675.580000013</v>
      </c>
    </row>
    <row r="79" spans="1:16" x14ac:dyDescent="0.3">
      <c r="A79" s="470">
        <v>368</v>
      </c>
      <c r="B79" s="8" t="s">
        <v>398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1"/>
        <v>0</v>
      </c>
    </row>
    <row r="80" spans="1:16" x14ac:dyDescent="0.3">
      <c r="A80" s="470">
        <v>369</v>
      </c>
      <c r="B80" s="8" t="s">
        <v>399</v>
      </c>
      <c r="C80" s="4">
        <v>3969549.08</v>
      </c>
      <c r="D80" s="4">
        <v>3969549.08</v>
      </c>
      <c r="E80" s="4">
        <v>3969549.08</v>
      </c>
      <c r="F80" s="4">
        <v>3969549.08</v>
      </c>
      <c r="G80" s="4">
        <v>3969549.08</v>
      </c>
      <c r="H80" s="4">
        <v>3969549.08</v>
      </c>
      <c r="I80" s="4">
        <v>3969549.08</v>
      </c>
      <c r="J80" s="4">
        <v>3969549.08</v>
      </c>
      <c r="K80" s="4">
        <v>3969549.08</v>
      </c>
      <c r="L80" s="4">
        <v>3969549.08</v>
      </c>
      <c r="M80" s="4">
        <v>3969549.08</v>
      </c>
      <c r="N80" s="4">
        <v>3969549.08</v>
      </c>
      <c r="O80" s="4">
        <v>3969549.08</v>
      </c>
      <c r="P80" s="4">
        <f t="shared" si="1"/>
        <v>3969549.0799999987</v>
      </c>
    </row>
    <row r="81" spans="1:16" x14ac:dyDescent="0.3">
      <c r="A81" s="470">
        <v>374.1</v>
      </c>
      <c r="B81" s="8" t="s">
        <v>327</v>
      </c>
      <c r="C81" s="4">
        <v>75384.44</v>
      </c>
      <c r="D81" s="4">
        <v>75384.44</v>
      </c>
      <c r="E81" s="4">
        <v>75384.44</v>
      </c>
      <c r="F81" s="4">
        <v>75384.44</v>
      </c>
      <c r="G81" s="4">
        <v>75384.44</v>
      </c>
      <c r="H81" s="4">
        <v>75384.44</v>
      </c>
      <c r="I81" s="4">
        <v>75384.44</v>
      </c>
      <c r="J81" s="4">
        <v>75384.44</v>
      </c>
      <c r="K81" s="4">
        <v>75384.44</v>
      </c>
      <c r="L81" s="4">
        <v>75384.44</v>
      </c>
      <c r="M81" s="4">
        <v>75384.44</v>
      </c>
      <c r="N81" s="4">
        <v>75384.44</v>
      </c>
      <c r="O81" s="4">
        <v>75384.44</v>
      </c>
      <c r="P81" s="4">
        <f t="shared" si="1"/>
        <v>75384.439999999988</v>
      </c>
    </row>
    <row r="82" spans="1:16" x14ac:dyDescent="0.3">
      <c r="A82" s="470">
        <v>374.2</v>
      </c>
      <c r="B82" s="8" t="s">
        <v>328</v>
      </c>
      <c r="C82" s="4">
        <v>1856083.3</v>
      </c>
      <c r="D82" s="4">
        <v>1856083.3</v>
      </c>
      <c r="E82" s="4">
        <v>1856083.3</v>
      </c>
      <c r="F82" s="4">
        <v>1856083.3</v>
      </c>
      <c r="G82" s="4">
        <v>1856083.3</v>
      </c>
      <c r="H82" s="4">
        <v>1856083.3</v>
      </c>
      <c r="I82" s="4">
        <v>1856083.3</v>
      </c>
      <c r="J82" s="4">
        <v>1856083.3</v>
      </c>
      <c r="K82" s="4">
        <v>1856083.3</v>
      </c>
      <c r="L82" s="4">
        <v>1856083.3</v>
      </c>
      <c r="M82" s="4">
        <v>1857178.32</v>
      </c>
      <c r="N82" s="4">
        <v>1858469.24</v>
      </c>
      <c r="O82" s="4">
        <v>1858469.24</v>
      </c>
      <c r="P82" s="4">
        <f t="shared" si="1"/>
        <v>1856472.7941666667</v>
      </c>
    </row>
    <row r="83" spans="1:16" x14ac:dyDescent="0.3">
      <c r="A83" s="470">
        <v>375</v>
      </c>
      <c r="B83" s="8" t="s">
        <v>329</v>
      </c>
      <c r="C83" s="4">
        <v>49372</v>
      </c>
      <c r="D83" s="4">
        <v>49372</v>
      </c>
      <c r="E83" s="4">
        <v>49372</v>
      </c>
      <c r="F83" s="4">
        <v>49372</v>
      </c>
      <c r="G83" s="4">
        <v>49372</v>
      </c>
      <c r="H83" s="4">
        <v>49372</v>
      </c>
      <c r="I83" s="4">
        <v>49372</v>
      </c>
      <c r="J83" s="4">
        <v>49372</v>
      </c>
      <c r="K83" s="4">
        <v>49372</v>
      </c>
      <c r="L83" s="4">
        <v>49372</v>
      </c>
      <c r="M83" s="4">
        <v>49372</v>
      </c>
      <c r="N83" s="4">
        <v>49372</v>
      </c>
      <c r="O83" s="4">
        <v>49372</v>
      </c>
      <c r="P83" s="4">
        <f t="shared" si="1"/>
        <v>49372</v>
      </c>
    </row>
    <row r="84" spans="1:16" x14ac:dyDescent="0.3">
      <c r="A84" s="470">
        <v>376.11</v>
      </c>
      <c r="B84" s="8" t="s">
        <v>330</v>
      </c>
      <c r="C84" s="4">
        <v>505936056.25999999</v>
      </c>
      <c r="D84" s="4">
        <v>507123033.14999992</v>
      </c>
      <c r="E84" s="4">
        <v>508714859.70999992</v>
      </c>
      <c r="F84" s="4">
        <v>511553123.08999991</v>
      </c>
      <c r="G84" s="4">
        <v>513169609.64999992</v>
      </c>
      <c r="H84" s="4">
        <v>513962922.48999989</v>
      </c>
      <c r="I84" s="4">
        <v>514801580.74999988</v>
      </c>
      <c r="J84" s="4">
        <v>515520557.95999992</v>
      </c>
      <c r="K84" s="4">
        <v>516976299.39999992</v>
      </c>
      <c r="L84" s="4">
        <v>518989821.15999991</v>
      </c>
      <c r="M84" s="4">
        <v>520880309.99999988</v>
      </c>
      <c r="N84" s="4">
        <v>522624802.2899999</v>
      </c>
      <c r="O84" s="4">
        <v>524638368.21999991</v>
      </c>
      <c r="P84" s="4">
        <f t="shared" si="1"/>
        <v>514967010.99083328</v>
      </c>
    </row>
    <row r="85" spans="1:16" x14ac:dyDescent="0.3">
      <c r="A85" s="470">
        <v>376.12</v>
      </c>
      <c r="B85" s="8" t="s">
        <v>331</v>
      </c>
      <c r="C85" s="4">
        <v>456488046.87000012</v>
      </c>
      <c r="D85" s="4">
        <v>457662585.9600001</v>
      </c>
      <c r="E85" s="4">
        <v>458122936.78000009</v>
      </c>
      <c r="F85" s="4">
        <v>458745242.16000009</v>
      </c>
      <c r="G85" s="4">
        <v>459715366.37000006</v>
      </c>
      <c r="H85" s="4">
        <v>460063367.57000005</v>
      </c>
      <c r="I85" s="4">
        <v>463000194.78000009</v>
      </c>
      <c r="J85" s="4">
        <v>463682955.79000008</v>
      </c>
      <c r="K85" s="4">
        <v>464458345.03000009</v>
      </c>
      <c r="L85" s="4">
        <v>465874001.16000015</v>
      </c>
      <c r="M85" s="4">
        <v>467159838.49000013</v>
      </c>
      <c r="N85" s="4">
        <v>467536036.24000013</v>
      </c>
      <c r="O85" s="4">
        <v>468811759.28000015</v>
      </c>
      <c r="P85" s="4">
        <f t="shared" si="1"/>
        <v>462389231.11708337</v>
      </c>
    </row>
    <row r="86" spans="1:16" x14ac:dyDescent="0.3">
      <c r="A86" s="470">
        <v>377</v>
      </c>
      <c r="B86" s="8" t="s">
        <v>373</v>
      </c>
      <c r="C86" s="4">
        <v>818380</v>
      </c>
      <c r="D86" s="4">
        <v>818380</v>
      </c>
      <c r="E86" s="4">
        <v>818380</v>
      </c>
      <c r="F86" s="4">
        <v>818380</v>
      </c>
      <c r="G86" s="4">
        <v>818380</v>
      </c>
      <c r="H86" s="4">
        <v>818380</v>
      </c>
      <c r="I86" s="4">
        <v>818380</v>
      </c>
      <c r="J86" s="4">
        <v>818380</v>
      </c>
      <c r="K86" s="4">
        <v>818380</v>
      </c>
      <c r="L86" s="4">
        <v>818380</v>
      </c>
      <c r="M86" s="4">
        <v>818380</v>
      </c>
      <c r="N86" s="4">
        <v>818380</v>
      </c>
      <c r="O86" s="4">
        <v>818380</v>
      </c>
      <c r="P86" s="4">
        <f t="shared" si="1"/>
        <v>818380</v>
      </c>
    </row>
    <row r="87" spans="1:16" x14ac:dyDescent="0.3">
      <c r="A87" s="470">
        <v>378</v>
      </c>
      <c r="B87" s="8" t="s">
        <v>332</v>
      </c>
      <c r="C87" s="4">
        <v>31876199.370000001</v>
      </c>
      <c r="D87" s="4">
        <v>31909881.620000001</v>
      </c>
      <c r="E87" s="4">
        <v>31982800.07</v>
      </c>
      <c r="F87" s="4">
        <v>32180017.57</v>
      </c>
      <c r="G87" s="4">
        <v>32367461.879999999</v>
      </c>
      <c r="H87" s="4">
        <v>32416121.669999998</v>
      </c>
      <c r="I87" s="4">
        <v>32455530.27</v>
      </c>
      <c r="J87" s="4">
        <v>32545497.68</v>
      </c>
      <c r="K87" s="4">
        <v>32546481.059999999</v>
      </c>
      <c r="L87" s="4">
        <v>32655749.27</v>
      </c>
      <c r="M87" s="4">
        <v>32668402.629999999</v>
      </c>
      <c r="N87" s="4">
        <v>32729013.379999999</v>
      </c>
      <c r="O87" s="4">
        <v>32865037.879999999</v>
      </c>
      <c r="P87" s="4">
        <f t="shared" si="1"/>
        <v>32402297.977083329</v>
      </c>
    </row>
    <row r="88" spans="1:16" x14ac:dyDescent="0.3">
      <c r="A88" s="470">
        <v>379</v>
      </c>
      <c r="B88" s="8" t="s">
        <v>333</v>
      </c>
      <c r="C88" s="4">
        <v>8729368.0099999979</v>
      </c>
      <c r="D88" s="4">
        <v>9029251.8599999975</v>
      </c>
      <c r="E88" s="4">
        <v>9175367.9599999972</v>
      </c>
      <c r="F88" s="4">
        <v>9593206.9899999965</v>
      </c>
      <c r="G88" s="4">
        <v>9879502.9199999962</v>
      </c>
      <c r="H88" s="4">
        <v>10105917.639999997</v>
      </c>
      <c r="I88" s="4">
        <v>10282628.999999996</v>
      </c>
      <c r="J88" s="4">
        <v>10524863.289999995</v>
      </c>
      <c r="K88" s="4">
        <v>10626333.879999995</v>
      </c>
      <c r="L88" s="4">
        <v>10748156.939999996</v>
      </c>
      <c r="M88" s="4">
        <v>10933361.269999996</v>
      </c>
      <c r="N88" s="4">
        <v>11231489.909999996</v>
      </c>
      <c r="O88" s="4">
        <v>11716877.349999996</v>
      </c>
      <c r="P88" s="4">
        <f t="shared" si="1"/>
        <v>10196100.361666663</v>
      </c>
    </row>
    <row r="89" spans="1:16" x14ac:dyDescent="0.3">
      <c r="A89" s="470">
        <v>380</v>
      </c>
      <c r="B89" s="8" t="s">
        <v>334</v>
      </c>
      <c r="C89" s="4">
        <v>688139592.54000008</v>
      </c>
      <c r="D89" s="4">
        <v>690740081.52999997</v>
      </c>
      <c r="E89" s="4">
        <v>693249895.79999995</v>
      </c>
      <c r="F89" s="4">
        <v>697685242.21999991</v>
      </c>
      <c r="G89" s="4">
        <v>698926027.17999983</v>
      </c>
      <c r="H89" s="4">
        <v>700653145.23999989</v>
      </c>
      <c r="I89" s="4">
        <v>702497197.86999989</v>
      </c>
      <c r="J89" s="4">
        <v>704087470.44999981</v>
      </c>
      <c r="K89" s="4">
        <v>705904446.80999982</v>
      </c>
      <c r="L89" s="4">
        <v>708175201.29999983</v>
      </c>
      <c r="M89" s="4">
        <v>709484340.66999984</v>
      </c>
      <c r="N89" s="4">
        <v>712908089.58999991</v>
      </c>
      <c r="O89" s="4">
        <v>716112981.95999992</v>
      </c>
      <c r="P89" s="4">
        <f t="shared" si="1"/>
        <v>702203118.8258332</v>
      </c>
    </row>
    <row r="90" spans="1:16" x14ac:dyDescent="0.3">
      <c r="A90" s="470">
        <v>381</v>
      </c>
      <c r="B90" s="8" t="s">
        <v>335</v>
      </c>
      <c r="C90" s="4">
        <v>77538108.920000002</v>
      </c>
      <c r="D90" s="4">
        <v>78027142.659999996</v>
      </c>
      <c r="E90" s="4">
        <v>78279397.680000007</v>
      </c>
      <c r="F90" s="4">
        <v>77008190.960000008</v>
      </c>
      <c r="G90" s="4">
        <v>77972672.329999998</v>
      </c>
      <c r="H90" s="4">
        <v>77903036.599999994</v>
      </c>
      <c r="I90" s="4">
        <v>79755367.489999995</v>
      </c>
      <c r="J90" s="4">
        <v>79615621</v>
      </c>
      <c r="K90" s="4">
        <v>80799687.309999987</v>
      </c>
      <c r="L90" s="4">
        <v>80584760.219999984</v>
      </c>
      <c r="M90" s="4">
        <v>80640252.609999985</v>
      </c>
      <c r="N90" s="4">
        <v>80856652.399999991</v>
      </c>
      <c r="O90" s="4">
        <v>80686012.399999991</v>
      </c>
      <c r="P90" s="4">
        <f t="shared" si="1"/>
        <v>79212903.493333325</v>
      </c>
    </row>
    <row r="91" spans="1:16" x14ac:dyDescent="0.3">
      <c r="A91" s="470">
        <v>381.1</v>
      </c>
      <c r="B91" s="8" t="s">
        <v>401</v>
      </c>
      <c r="C91" s="4">
        <v>1696938.4600000002</v>
      </c>
      <c r="D91" s="4">
        <v>1696938.4600000002</v>
      </c>
      <c r="E91" s="4">
        <v>1696938.4600000002</v>
      </c>
      <c r="F91" s="4">
        <v>1696938.4600000002</v>
      </c>
      <c r="G91" s="4">
        <v>1696938.4600000002</v>
      </c>
      <c r="H91" s="4">
        <v>1696938.4600000002</v>
      </c>
      <c r="I91" s="4">
        <v>1696938.4600000002</v>
      </c>
      <c r="J91" s="4">
        <v>1696938.4600000002</v>
      </c>
      <c r="K91" s="4">
        <v>1696938.4600000002</v>
      </c>
      <c r="L91" s="4">
        <v>1696938.4600000002</v>
      </c>
      <c r="M91" s="4">
        <v>1696938.4600000002</v>
      </c>
      <c r="N91" s="4">
        <v>1696938.4600000002</v>
      </c>
      <c r="O91" s="4">
        <v>1696938.4600000002</v>
      </c>
      <c r="P91" s="4">
        <f t="shared" si="1"/>
        <v>1696938.4600000007</v>
      </c>
    </row>
    <row r="92" spans="1:16" x14ac:dyDescent="0.3">
      <c r="A92" s="470">
        <v>381.2</v>
      </c>
      <c r="B92" s="8" t="s">
        <v>336</v>
      </c>
      <c r="C92" s="4">
        <v>34249349.830000006</v>
      </c>
      <c r="D92" s="4">
        <v>34224634.240000002</v>
      </c>
      <c r="E92" s="4">
        <v>34918031.720000006</v>
      </c>
      <c r="F92" s="4">
        <v>36183943.190000005</v>
      </c>
      <c r="G92" s="4">
        <v>36091870.140000008</v>
      </c>
      <c r="H92" s="4">
        <v>36131038.870000005</v>
      </c>
      <c r="I92" s="4">
        <v>36828272.550000004</v>
      </c>
      <c r="J92" s="4">
        <v>36709126.520000003</v>
      </c>
      <c r="K92" s="4">
        <v>36661698.870000005</v>
      </c>
      <c r="L92" s="4">
        <v>36913498.280000009</v>
      </c>
      <c r="M92" s="4">
        <v>37831142.270000003</v>
      </c>
      <c r="N92" s="4">
        <v>37891061.32</v>
      </c>
      <c r="O92" s="4">
        <v>38095936.950000003</v>
      </c>
      <c r="P92" s="4">
        <f t="shared" si="1"/>
        <v>36379746.780000001</v>
      </c>
    </row>
    <row r="93" spans="1:16" x14ac:dyDescent="0.3">
      <c r="A93" s="470">
        <v>382</v>
      </c>
      <c r="B93" s="8" t="s">
        <v>337</v>
      </c>
      <c r="C93" s="4">
        <v>54214785.580000013</v>
      </c>
      <c r="D93" s="4">
        <v>54125119.63000001</v>
      </c>
      <c r="E93" s="4">
        <v>53992404.280000009</v>
      </c>
      <c r="F93" s="4">
        <v>54588289.330000006</v>
      </c>
      <c r="G93" s="4">
        <v>54464296.650000006</v>
      </c>
      <c r="H93" s="4">
        <v>54246739.630000003</v>
      </c>
      <c r="I93" s="4">
        <v>54987963.600000001</v>
      </c>
      <c r="J93" s="4">
        <v>54782806.649999999</v>
      </c>
      <c r="K93" s="4">
        <v>54578805.799999997</v>
      </c>
      <c r="L93" s="4">
        <v>55117644.75</v>
      </c>
      <c r="M93" s="4">
        <v>54920155.130000003</v>
      </c>
      <c r="N93" s="4">
        <v>54568867.660000004</v>
      </c>
      <c r="O93" s="4">
        <v>55093801.580000006</v>
      </c>
      <c r="P93" s="4">
        <f t="shared" si="1"/>
        <v>54585615.557500005</v>
      </c>
    </row>
    <row r="94" spans="1:16" x14ac:dyDescent="0.3">
      <c r="A94" s="470">
        <v>382.1</v>
      </c>
      <c r="B94" s="8" t="s">
        <v>402</v>
      </c>
      <c r="C94" s="4">
        <v>481019.77</v>
      </c>
      <c r="D94" s="4">
        <v>481019.77</v>
      </c>
      <c r="E94" s="4">
        <v>481019.77</v>
      </c>
      <c r="F94" s="4">
        <v>481019.77</v>
      </c>
      <c r="G94" s="4">
        <v>481019.77</v>
      </c>
      <c r="H94" s="4">
        <v>481019.77</v>
      </c>
      <c r="I94" s="4">
        <v>481019.77</v>
      </c>
      <c r="J94" s="4">
        <v>481019.77</v>
      </c>
      <c r="K94" s="4">
        <v>481019.77</v>
      </c>
      <c r="L94" s="4">
        <v>481019.77</v>
      </c>
      <c r="M94" s="4">
        <v>481019.77</v>
      </c>
      <c r="N94" s="4">
        <v>481019.77</v>
      </c>
      <c r="O94" s="4">
        <v>481019.77</v>
      </c>
      <c r="P94" s="4">
        <f t="shared" si="1"/>
        <v>481019.76999999984</v>
      </c>
    </row>
    <row r="95" spans="1:16" x14ac:dyDescent="0.3">
      <c r="A95" s="470">
        <v>382.2</v>
      </c>
      <c r="B95" s="8" t="s">
        <v>338</v>
      </c>
      <c r="C95" s="4">
        <v>8374857.6800000006</v>
      </c>
      <c r="D95" s="4">
        <v>8369996.9600000009</v>
      </c>
      <c r="E95" s="4">
        <v>8365093.120000001</v>
      </c>
      <c r="F95" s="4">
        <v>8361220.3200000012</v>
      </c>
      <c r="G95" s="4">
        <v>8356890.9300000016</v>
      </c>
      <c r="H95" s="4">
        <v>8346819.6100000013</v>
      </c>
      <c r="I95" s="4">
        <v>8341681.2800000012</v>
      </c>
      <c r="J95" s="4">
        <v>8327667.040000001</v>
      </c>
      <c r="K95" s="4">
        <v>8318364.5100000007</v>
      </c>
      <c r="L95" s="4">
        <v>8302489.3200000003</v>
      </c>
      <c r="M95" s="4">
        <v>8291752.8700000001</v>
      </c>
      <c r="N95" s="4">
        <v>8277443.7800000003</v>
      </c>
      <c r="O95" s="4">
        <v>8264361.6400000006</v>
      </c>
      <c r="P95" s="4">
        <f t="shared" si="1"/>
        <v>8331585.7833333341</v>
      </c>
    </row>
    <row r="96" spans="1:16" x14ac:dyDescent="0.3">
      <c r="A96" s="470">
        <v>383</v>
      </c>
      <c r="B96" s="8" t="s">
        <v>339</v>
      </c>
      <c r="C96" s="4">
        <v>1704077.99</v>
      </c>
      <c r="D96" s="4">
        <v>1716660.55</v>
      </c>
      <c r="E96" s="4">
        <v>1779204.9200000002</v>
      </c>
      <c r="F96" s="4">
        <v>1797699.5300000003</v>
      </c>
      <c r="G96" s="4">
        <v>1846083.2700000003</v>
      </c>
      <c r="H96" s="4">
        <v>1846083.2700000003</v>
      </c>
      <c r="I96" s="4">
        <v>1856638.1900000002</v>
      </c>
      <c r="J96" s="4">
        <v>1893073.6600000001</v>
      </c>
      <c r="K96" s="4">
        <v>1969121.2600000002</v>
      </c>
      <c r="L96" s="4">
        <v>2001904.5400000003</v>
      </c>
      <c r="M96" s="4">
        <v>2002032.1400000004</v>
      </c>
      <c r="N96" s="4">
        <v>2014127.1700000004</v>
      </c>
      <c r="O96" s="4">
        <v>2035320.4900000005</v>
      </c>
      <c r="P96" s="4">
        <f t="shared" si="1"/>
        <v>1882693.9783333335</v>
      </c>
    </row>
    <row r="97" spans="1:16" x14ac:dyDescent="0.3">
      <c r="A97" s="470">
        <v>386</v>
      </c>
      <c r="B97" s="8" t="s">
        <v>403</v>
      </c>
      <c r="C97" s="4">
        <v>0</v>
      </c>
      <c r="D97" s="4">
        <v>0</v>
      </c>
      <c r="E97" s="4">
        <v>0</v>
      </c>
      <c r="F97" s="4">
        <v>1100432.32</v>
      </c>
      <c r="G97" s="4">
        <v>1349364.8</v>
      </c>
      <c r="H97" s="4">
        <v>1354267.99</v>
      </c>
      <c r="I97" s="4">
        <v>1348871.1199999999</v>
      </c>
      <c r="J97" s="4">
        <v>1348871.1199999999</v>
      </c>
      <c r="K97" s="4">
        <v>1364072.22</v>
      </c>
      <c r="L97" s="4">
        <v>1357634.94</v>
      </c>
      <c r="M97" s="4">
        <v>1357634.94</v>
      </c>
      <c r="N97" s="4">
        <v>1357634.94</v>
      </c>
      <c r="O97" s="4">
        <v>1357634.94</v>
      </c>
      <c r="P97" s="4">
        <f t="shared" si="1"/>
        <v>1051466.8216666665</v>
      </c>
    </row>
    <row r="98" spans="1:16" x14ac:dyDescent="0.3">
      <c r="A98" s="470">
        <v>386.1</v>
      </c>
      <c r="B98" s="8" t="s">
        <v>1914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17905</v>
      </c>
      <c r="L98" s="4">
        <v>17905</v>
      </c>
      <c r="M98" s="4">
        <v>17905</v>
      </c>
      <c r="N98" s="4">
        <v>17905</v>
      </c>
      <c r="O98" s="4">
        <v>115183</v>
      </c>
      <c r="P98" s="4">
        <f t="shared" si="1"/>
        <v>10767.625</v>
      </c>
    </row>
    <row r="99" spans="1:16" x14ac:dyDescent="0.3">
      <c r="A99" s="470">
        <v>387.1</v>
      </c>
      <c r="B99" s="8" t="s">
        <v>404</v>
      </c>
      <c r="C99" s="4">
        <v>173858.98</v>
      </c>
      <c r="D99" s="4">
        <v>173858.98</v>
      </c>
      <c r="E99" s="4">
        <v>173858.98</v>
      </c>
      <c r="F99" s="4">
        <v>173858.98</v>
      </c>
      <c r="G99" s="4">
        <v>173858.98</v>
      </c>
      <c r="H99" s="4">
        <v>173858.98</v>
      </c>
      <c r="I99" s="4">
        <v>173858.98</v>
      </c>
      <c r="J99" s="4">
        <v>173858.98</v>
      </c>
      <c r="K99" s="4">
        <v>173858.98</v>
      </c>
      <c r="L99" s="4">
        <v>173858.98</v>
      </c>
      <c r="M99" s="4">
        <v>173858.98</v>
      </c>
      <c r="N99" s="4">
        <v>173858.98</v>
      </c>
      <c r="O99" s="4">
        <v>173858.98</v>
      </c>
      <c r="P99" s="4">
        <f t="shared" si="1"/>
        <v>173858.98</v>
      </c>
    </row>
    <row r="100" spans="1:16" x14ac:dyDescent="0.3">
      <c r="A100" s="470">
        <v>387.2</v>
      </c>
      <c r="B100" s="8" t="s">
        <v>340</v>
      </c>
      <c r="C100" s="4">
        <v>69794</v>
      </c>
      <c r="D100" s="4">
        <v>69794</v>
      </c>
      <c r="E100" s="4">
        <v>69794</v>
      </c>
      <c r="F100" s="4">
        <v>69794</v>
      </c>
      <c r="G100" s="4">
        <v>69794</v>
      </c>
      <c r="H100" s="4">
        <v>69794</v>
      </c>
      <c r="I100" s="4">
        <v>69794</v>
      </c>
      <c r="J100" s="4">
        <v>69794</v>
      </c>
      <c r="K100" s="4">
        <v>69794</v>
      </c>
      <c r="L100" s="4">
        <v>69794</v>
      </c>
      <c r="M100" s="4">
        <v>69794</v>
      </c>
      <c r="N100" s="4">
        <v>69794</v>
      </c>
      <c r="O100" s="4">
        <v>69794</v>
      </c>
      <c r="P100" s="4">
        <f t="shared" si="1"/>
        <v>69794</v>
      </c>
    </row>
    <row r="101" spans="1:16" x14ac:dyDescent="0.3">
      <c r="A101" s="470">
        <v>387.3</v>
      </c>
      <c r="B101" s="8" t="s">
        <v>405</v>
      </c>
      <c r="C101" s="4">
        <v>72671</v>
      </c>
      <c r="D101" s="4">
        <v>72671</v>
      </c>
      <c r="E101" s="4">
        <v>72671</v>
      </c>
      <c r="F101" s="4">
        <v>72671</v>
      </c>
      <c r="G101" s="4">
        <v>72671</v>
      </c>
      <c r="H101" s="4">
        <v>72671</v>
      </c>
      <c r="I101" s="4">
        <v>72671</v>
      </c>
      <c r="J101" s="4">
        <v>72671</v>
      </c>
      <c r="K101" s="4">
        <v>72671</v>
      </c>
      <c r="L101" s="4">
        <v>72671</v>
      </c>
      <c r="M101" s="4">
        <v>72671</v>
      </c>
      <c r="N101" s="4">
        <v>72671</v>
      </c>
      <c r="O101" s="4">
        <v>72671</v>
      </c>
      <c r="P101" s="4">
        <f t="shared" si="1"/>
        <v>72671</v>
      </c>
    </row>
    <row r="102" spans="1:16" x14ac:dyDescent="0.3">
      <c r="A102" s="470">
        <v>389</v>
      </c>
      <c r="B102" s="8" t="s">
        <v>327</v>
      </c>
      <c r="C102" s="4">
        <v>9609257.5500000007</v>
      </c>
      <c r="D102" s="4">
        <v>9609257.5500000007</v>
      </c>
      <c r="E102" s="4">
        <v>9609257.5500000007</v>
      </c>
      <c r="F102" s="4">
        <v>9609257.5500000007</v>
      </c>
      <c r="G102" s="4">
        <v>9609257.5500000007</v>
      </c>
      <c r="H102" s="4">
        <v>9609257.5500000007</v>
      </c>
      <c r="I102" s="4">
        <v>9609257.5500000007</v>
      </c>
      <c r="J102" s="4">
        <v>9609257.5500000007</v>
      </c>
      <c r="K102" s="4">
        <v>9609257.5500000007</v>
      </c>
      <c r="L102" s="4">
        <v>9609257.5500000007</v>
      </c>
      <c r="M102" s="4">
        <v>9609257.5500000007</v>
      </c>
      <c r="N102" s="4">
        <v>9609257.5500000007</v>
      </c>
      <c r="O102" s="4">
        <v>9609257.5500000007</v>
      </c>
      <c r="P102" s="4">
        <f t="shared" si="1"/>
        <v>9609257.5499999989</v>
      </c>
    </row>
    <row r="103" spans="1:16" x14ac:dyDescent="0.3">
      <c r="A103" s="470">
        <v>390</v>
      </c>
      <c r="B103" s="8" t="s">
        <v>329</v>
      </c>
      <c r="C103" s="4">
        <v>58499350.149999999</v>
      </c>
      <c r="D103" s="4">
        <v>58503929.379999995</v>
      </c>
      <c r="E103" s="4">
        <v>58514926.569999993</v>
      </c>
      <c r="F103" s="4">
        <v>58793602.889999993</v>
      </c>
      <c r="G103" s="4">
        <v>58800923.989999995</v>
      </c>
      <c r="H103" s="4">
        <v>58802766.739999995</v>
      </c>
      <c r="I103" s="4">
        <v>58804595.949999996</v>
      </c>
      <c r="J103" s="4">
        <v>58806378.489999995</v>
      </c>
      <c r="K103" s="4">
        <v>58796747.059999995</v>
      </c>
      <c r="L103" s="4">
        <v>58854936.289999992</v>
      </c>
      <c r="M103" s="4">
        <v>58855870.899999991</v>
      </c>
      <c r="N103" s="4">
        <v>58868240.00999999</v>
      </c>
      <c r="O103" s="4">
        <v>58915067.859999992</v>
      </c>
      <c r="P103" s="4">
        <f t="shared" si="1"/>
        <v>58759177.272916667</v>
      </c>
    </row>
    <row r="104" spans="1:16" x14ac:dyDescent="0.3">
      <c r="A104" s="470">
        <v>390.1</v>
      </c>
      <c r="B104" s="8" t="s">
        <v>341</v>
      </c>
      <c r="C104" s="4">
        <v>18373873.420000002</v>
      </c>
      <c r="D104" s="4">
        <v>18373873.420000002</v>
      </c>
      <c r="E104" s="4">
        <v>18597940.600000001</v>
      </c>
      <c r="F104" s="4">
        <v>18607093.690000001</v>
      </c>
      <c r="G104" s="4">
        <v>18610739.43</v>
      </c>
      <c r="H104" s="4">
        <v>18610646.879999999</v>
      </c>
      <c r="I104" s="4">
        <v>18610646.879999999</v>
      </c>
      <c r="J104" s="4">
        <v>18610646.879999999</v>
      </c>
      <c r="K104" s="4">
        <v>18610646.879999999</v>
      </c>
      <c r="L104" s="4">
        <v>18610646.879999999</v>
      </c>
      <c r="M104" s="4">
        <v>18610646.879999999</v>
      </c>
      <c r="N104" s="4">
        <v>18610646.879999999</v>
      </c>
      <c r="O104" s="4">
        <v>18610646.879999999</v>
      </c>
      <c r="P104" s="4">
        <f t="shared" si="1"/>
        <v>18579702.954166666</v>
      </c>
    </row>
    <row r="105" spans="1:16" x14ac:dyDescent="0.3">
      <c r="A105" s="470">
        <v>391.1</v>
      </c>
      <c r="B105" s="8" t="s">
        <v>342</v>
      </c>
      <c r="C105" s="4">
        <v>11164728.730000006</v>
      </c>
      <c r="D105" s="4">
        <v>11164888.530000007</v>
      </c>
      <c r="E105" s="4">
        <v>11222200.050000006</v>
      </c>
      <c r="F105" s="4">
        <v>11463581.930000007</v>
      </c>
      <c r="G105" s="4">
        <v>11463902.680000007</v>
      </c>
      <c r="H105" s="4">
        <v>11464029.090000007</v>
      </c>
      <c r="I105" s="4">
        <v>11464168.870000007</v>
      </c>
      <c r="J105" s="4">
        <v>11464305.730000006</v>
      </c>
      <c r="K105" s="4">
        <v>11464449.660000006</v>
      </c>
      <c r="L105" s="4">
        <v>11519478.510000005</v>
      </c>
      <c r="M105" s="4">
        <v>11519624.700000005</v>
      </c>
      <c r="N105" s="4">
        <v>11519771.270000005</v>
      </c>
      <c r="O105" s="4">
        <v>11519915.630000005</v>
      </c>
      <c r="P105" s="4">
        <f t="shared" si="1"/>
        <v>11422726.933333339</v>
      </c>
    </row>
    <row r="106" spans="1:16" x14ac:dyDescent="0.3">
      <c r="A106" s="470">
        <v>391.2</v>
      </c>
      <c r="B106" s="8" t="s">
        <v>406</v>
      </c>
      <c r="C106" s="4">
        <v>27015687.430000015</v>
      </c>
      <c r="D106" s="4">
        <v>23284495.100000016</v>
      </c>
      <c r="E106" s="4">
        <v>25530616.580000017</v>
      </c>
      <c r="F106" s="4">
        <v>26375380.460000016</v>
      </c>
      <c r="G106" s="4">
        <v>27160133.490000017</v>
      </c>
      <c r="H106" s="4">
        <v>27160653.960000016</v>
      </c>
      <c r="I106" s="4">
        <v>27163607.500000015</v>
      </c>
      <c r="J106" s="4">
        <v>27232277.210000016</v>
      </c>
      <c r="K106" s="4">
        <v>27677097.930000015</v>
      </c>
      <c r="L106" s="4">
        <v>32568328.500000015</v>
      </c>
      <c r="M106" s="4">
        <v>32476456.150000013</v>
      </c>
      <c r="N106" s="4">
        <v>32487058.740000013</v>
      </c>
      <c r="O106" s="4">
        <v>32733140.950000014</v>
      </c>
      <c r="P106" s="4">
        <f t="shared" si="1"/>
        <v>28249209.984166682</v>
      </c>
    </row>
    <row r="107" spans="1:16" x14ac:dyDescent="0.3">
      <c r="A107" s="470">
        <v>392</v>
      </c>
      <c r="B107" s="8" t="s">
        <v>343</v>
      </c>
      <c r="C107" s="4">
        <v>41239702.140000001</v>
      </c>
      <c r="D107" s="4">
        <v>41236811.870000005</v>
      </c>
      <c r="E107" s="4">
        <v>41909666.040000007</v>
      </c>
      <c r="F107" s="4">
        <v>41986769.690000005</v>
      </c>
      <c r="G107" s="4">
        <v>42434621.230000004</v>
      </c>
      <c r="H107" s="4">
        <v>42090893.780000001</v>
      </c>
      <c r="I107" s="4">
        <v>41859725.200000003</v>
      </c>
      <c r="J107" s="4">
        <v>41860374.730000004</v>
      </c>
      <c r="K107" s="4">
        <v>41821565.700000003</v>
      </c>
      <c r="L107" s="4">
        <v>41993913.390000008</v>
      </c>
      <c r="M107" s="4">
        <v>43391278.110000007</v>
      </c>
      <c r="N107" s="4">
        <v>43479305.670000009</v>
      </c>
      <c r="O107" s="4">
        <v>43410343.890000008</v>
      </c>
      <c r="P107" s="4">
        <f t="shared" si="1"/>
        <v>42199162.368750006</v>
      </c>
    </row>
    <row r="108" spans="1:16" x14ac:dyDescent="0.3">
      <c r="A108" s="470">
        <v>393</v>
      </c>
      <c r="B108" s="8" t="s">
        <v>408</v>
      </c>
      <c r="C108" s="4">
        <v>119406</v>
      </c>
      <c r="D108" s="4">
        <v>119406</v>
      </c>
      <c r="E108" s="4">
        <v>119406</v>
      </c>
      <c r="F108" s="4">
        <v>119406</v>
      </c>
      <c r="G108" s="4">
        <v>119406</v>
      </c>
      <c r="H108" s="4">
        <v>119406</v>
      </c>
      <c r="I108" s="4">
        <v>119406</v>
      </c>
      <c r="J108" s="4">
        <v>119406</v>
      </c>
      <c r="K108" s="4">
        <v>119406</v>
      </c>
      <c r="L108" s="4">
        <v>119406</v>
      </c>
      <c r="M108" s="4">
        <v>119406</v>
      </c>
      <c r="N108" s="4">
        <v>119406</v>
      </c>
      <c r="O108" s="4">
        <v>119406</v>
      </c>
      <c r="P108" s="4">
        <f t="shared" si="1"/>
        <v>119406</v>
      </c>
    </row>
    <row r="109" spans="1:16" x14ac:dyDescent="0.3">
      <c r="A109" s="470">
        <v>394</v>
      </c>
      <c r="B109" s="8" t="s">
        <v>344</v>
      </c>
      <c r="C109" s="4">
        <v>11237607.449999992</v>
      </c>
      <c r="D109" s="4">
        <v>11344208.509999992</v>
      </c>
      <c r="E109" s="4">
        <v>11554038.029999992</v>
      </c>
      <c r="F109" s="4">
        <v>11771671.429999992</v>
      </c>
      <c r="G109" s="4">
        <v>11787855.229999993</v>
      </c>
      <c r="H109" s="4">
        <v>11883165.769999992</v>
      </c>
      <c r="I109" s="4">
        <v>12173001.609999992</v>
      </c>
      <c r="J109" s="4">
        <v>12173001.609999992</v>
      </c>
      <c r="K109" s="4">
        <v>12371061.699999992</v>
      </c>
      <c r="L109" s="4">
        <v>12381543.999999993</v>
      </c>
      <c r="M109" s="4">
        <v>12657995.939999992</v>
      </c>
      <c r="N109" s="4">
        <v>12700646.749999993</v>
      </c>
      <c r="O109" s="4">
        <v>12721089.079999993</v>
      </c>
      <c r="P109" s="4">
        <f t="shared" si="1"/>
        <v>12064794.903749993</v>
      </c>
    </row>
    <row r="110" spans="1:16" x14ac:dyDescent="0.3">
      <c r="A110" s="470">
        <v>395</v>
      </c>
      <c r="B110" s="8" t="s">
        <v>409</v>
      </c>
      <c r="C110" s="4">
        <v>68293</v>
      </c>
      <c r="D110" s="4">
        <v>68293</v>
      </c>
      <c r="E110" s="4">
        <v>68293</v>
      </c>
      <c r="F110" s="4">
        <v>68293</v>
      </c>
      <c r="G110" s="4">
        <v>68293</v>
      </c>
      <c r="H110" s="4">
        <v>68293</v>
      </c>
      <c r="I110" s="4">
        <v>68293</v>
      </c>
      <c r="J110" s="4">
        <v>68293</v>
      </c>
      <c r="K110" s="4">
        <v>68293</v>
      </c>
      <c r="L110" s="4">
        <v>68293</v>
      </c>
      <c r="M110" s="4">
        <v>68293</v>
      </c>
      <c r="N110" s="4">
        <v>68293</v>
      </c>
      <c r="O110" s="4">
        <v>68293</v>
      </c>
      <c r="P110" s="4">
        <f t="shared" si="1"/>
        <v>68293</v>
      </c>
    </row>
    <row r="111" spans="1:16" x14ac:dyDescent="0.3">
      <c r="A111" s="470">
        <v>396</v>
      </c>
      <c r="B111" s="8" t="s">
        <v>345</v>
      </c>
      <c r="C111" s="4">
        <v>9561111.1300000027</v>
      </c>
      <c r="D111" s="4">
        <v>9685197.0800000019</v>
      </c>
      <c r="E111" s="4">
        <v>9801604.6300000027</v>
      </c>
      <c r="F111" s="4">
        <v>9816214.9400000032</v>
      </c>
      <c r="G111" s="4">
        <v>9816786.5900000036</v>
      </c>
      <c r="H111" s="4">
        <v>10050058.650000004</v>
      </c>
      <c r="I111" s="4">
        <v>10231757.050000004</v>
      </c>
      <c r="J111" s="4">
        <v>10237870.220000004</v>
      </c>
      <c r="K111" s="4">
        <v>10616350.750000004</v>
      </c>
      <c r="L111" s="4">
        <v>10634429.860000003</v>
      </c>
      <c r="M111" s="4">
        <v>10889578.510000004</v>
      </c>
      <c r="N111" s="4">
        <v>10900694.810000004</v>
      </c>
      <c r="O111" s="4">
        <v>10902812.930000003</v>
      </c>
      <c r="P111" s="4">
        <f t="shared" si="1"/>
        <v>10242708.760000004</v>
      </c>
    </row>
    <row r="112" spans="1:16" x14ac:dyDescent="0.3">
      <c r="A112" s="470">
        <v>397</v>
      </c>
      <c r="B112" s="8" t="s">
        <v>410</v>
      </c>
      <c r="C112" s="4">
        <v>88322.23</v>
      </c>
      <c r="D112" s="4">
        <v>88322.23</v>
      </c>
      <c r="E112" s="4">
        <v>88322.23</v>
      </c>
      <c r="F112" s="4">
        <v>88322.23</v>
      </c>
      <c r="G112" s="4">
        <v>88322.23</v>
      </c>
      <c r="H112" s="4">
        <v>88322.23</v>
      </c>
      <c r="I112" s="4">
        <v>88322.23</v>
      </c>
      <c r="J112" s="4">
        <v>88322.23</v>
      </c>
      <c r="K112" s="4">
        <v>88322.23</v>
      </c>
      <c r="L112" s="4">
        <v>88322.23</v>
      </c>
      <c r="M112" s="4">
        <v>88322.23</v>
      </c>
      <c r="N112" s="4">
        <v>88322.23</v>
      </c>
      <c r="O112" s="4">
        <v>88322.23</v>
      </c>
      <c r="P112" s="4">
        <f t="shared" si="1"/>
        <v>88322.23</v>
      </c>
    </row>
    <row r="113" spans="1:19" x14ac:dyDescent="0.3">
      <c r="A113" s="470">
        <v>397.1</v>
      </c>
      <c r="B113" s="8" t="s">
        <v>411</v>
      </c>
      <c r="C113" s="4">
        <v>475621.17</v>
      </c>
      <c r="D113" s="4">
        <v>475621.17</v>
      </c>
      <c r="E113" s="4">
        <v>475621.17</v>
      </c>
      <c r="F113" s="4">
        <v>475621.17</v>
      </c>
      <c r="G113" s="4">
        <v>529561.66</v>
      </c>
      <c r="H113" s="4">
        <v>529561.66</v>
      </c>
      <c r="I113" s="4">
        <v>529904.96000000008</v>
      </c>
      <c r="J113" s="4">
        <v>529990.79</v>
      </c>
      <c r="K113" s="4">
        <v>529990.79</v>
      </c>
      <c r="L113" s="4">
        <v>529990.79</v>
      </c>
      <c r="M113" s="4">
        <v>529990.79</v>
      </c>
      <c r="N113" s="4">
        <v>529990.79</v>
      </c>
      <c r="O113" s="4">
        <v>529990.79</v>
      </c>
      <c r="P113" s="4">
        <f t="shared" si="1"/>
        <v>514054.31000000006</v>
      </c>
    </row>
    <row r="114" spans="1:19" x14ac:dyDescent="0.3">
      <c r="A114" s="470">
        <v>397.2</v>
      </c>
      <c r="B114" s="8" t="s">
        <v>412</v>
      </c>
      <c r="C114" s="4">
        <v>1690853.65</v>
      </c>
      <c r="D114" s="4">
        <v>1690853.65</v>
      </c>
      <c r="E114" s="4">
        <v>1690853.65</v>
      </c>
      <c r="F114" s="4">
        <v>1690853.65</v>
      </c>
      <c r="G114" s="4">
        <v>1690853.65</v>
      </c>
      <c r="H114" s="4">
        <v>1690853.65</v>
      </c>
      <c r="I114" s="4">
        <v>1690853.65</v>
      </c>
      <c r="J114" s="4">
        <v>1690853.65</v>
      </c>
      <c r="K114" s="4">
        <v>1690853.65</v>
      </c>
      <c r="L114" s="4">
        <v>1690853.65</v>
      </c>
      <c r="M114" s="4">
        <v>1690853.65</v>
      </c>
      <c r="N114" s="4">
        <v>1690853.65</v>
      </c>
      <c r="O114" s="4">
        <v>1690853.65</v>
      </c>
      <c r="P114" s="4">
        <f t="shared" si="1"/>
        <v>1690853.6499999997</v>
      </c>
    </row>
    <row r="115" spans="1:19" x14ac:dyDescent="0.3">
      <c r="A115" s="470">
        <v>397.3</v>
      </c>
      <c r="B115" s="8" t="s">
        <v>346</v>
      </c>
      <c r="C115" s="4">
        <v>4611216.1199999992</v>
      </c>
      <c r="D115" s="4">
        <v>4611216.1199999992</v>
      </c>
      <c r="E115" s="4">
        <v>4611216.1199999992</v>
      </c>
      <c r="F115" s="4">
        <v>4611216.1199999992</v>
      </c>
      <c r="G115" s="4">
        <v>4611216.1199999992</v>
      </c>
      <c r="H115" s="4">
        <v>4611216.1199999992</v>
      </c>
      <c r="I115" s="4">
        <v>4611216.1199999992</v>
      </c>
      <c r="J115" s="4">
        <v>4611216.1199999992</v>
      </c>
      <c r="K115" s="4">
        <v>4611216.1199999992</v>
      </c>
      <c r="L115" s="4">
        <v>4611216.1199999992</v>
      </c>
      <c r="M115" s="4">
        <v>4611216.1199999992</v>
      </c>
      <c r="N115" s="4">
        <v>4611216.1199999992</v>
      </c>
      <c r="O115" s="4">
        <v>4611216.1199999992</v>
      </c>
      <c r="P115" s="4">
        <f t="shared" si="1"/>
        <v>4611216.1199999982</v>
      </c>
    </row>
    <row r="116" spans="1:19" x14ac:dyDescent="0.3">
      <c r="A116" s="470">
        <v>397.4</v>
      </c>
      <c r="B116" s="8" t="s">
        <v>413</v>
      </c>
      <c r="C116" s="4">
        <v>2850935.95</v>
      </c>
      <c r="D116" s="4">
        <v>2850935.95</v>
      </c>
      <c r="E116" s="4">
        <v>2850935.95</v>
      </c>
      <c r="F116" s="4">
        <v>2852797.41</v>
      </c>
      <c r="G116" s="4">
        <v>2852797.41</v>
      </c>
      <c r="H116" s="4">
        <v>2852797.41</v>
      </c>
      <c r="I116" s="4">
        <v>2852797.41</v>
      </c>
      <c r="J116" s="4">
        <v>2852797.41</v>
      </c>
      <c r="K116" s="4">
        <v>2852797.41</v>
      </c>
      <c r="L116" s="4">
        <v>2852797.41</v>
      </c>
      <c r="M116" s="4">
        <v>2852797.41</v>
      </c>
      <c r="N116" s="4">
        <v>2852797.41</v>
      </c>
      <c r="O116" s="4">
        <v>2852797.41</v>
      </c>
      <c r="P116" s="4">
        <f t="shared" si="1"/>
        <v>2852409.6058333335</v>
      </c>
    </row>
    <row r="117" spans="1:19" x14ac:dyDescent="0.3">
      <c r="A117" s="470">
        <v>397.5</v>
      </c>
      <c r="B117" s="8" t="s">
        <v>414</v>
      </c>
      <c r="C117" s="4">
        <v>490766.50000000012</v>
      </c>
      <c r="D117" s="4">
        <v>490766.50000000012</v>
      </c>
      <c r="E117" s="4">
        <v>490766.50000000012</v>
      </c>
      <c r="F117" s="4">
        <v>490766.50000000012</v>
      </c>
      <c r="G117" s="4">
        <v>490766.50000000012</v>
      </c>
      <c r="H117" s="4">
        <v>490766.50000000012</v>
      </c>
      <c r="I117" s="4">
        <v>490766.50000000012</v>
      </c>
      <c r="J117" s="4">
        <v>490766.50000000012</v>
      </c>
      <c r="K117" s="4">
        <v>490766.50000000012</v>
      </c>
      <c r="L117" s="4">
        <v>490766.50000000012</v>
      </c>
      <c r="M117" s="4">
        <v>490766.50000000012</v>
      </c>
      <c r="N117" s="4">
        <v>490766.50000000012</v>
      </c>
      <c r="O117" s="4">
        <v>490766.50000000012</v>
      </c>
      <c r="P117" s="4">
        <f t="shared" si="1"/>
        <v>490766.50000000006</v>
      </c>
    </row>
    <row r="118" spans="1:19" x14ac:dyDescent="0.3">
      <c r="A118" s="470">
        <v>398</v>
      </c>
      <c r="B118" s="8" t="s">
        <v>415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f t="shared" si="1"/>
        <v>0</v>
      </c>
    </row>
    <row r="119" spans="1:19" x14ac:dyDescent="0.3">
      <c r="A119" s="470">
        <v>398.1</v>
      </c>
      <c r="B119" s="8" t="s">
        <v>416</v>
      </c>
      <c r="C119" s="4">
        <v>83249.31</v>
      </c>
      <c r="D119" s="4">
        <v>83249.31</v>
      </c>
      <c r="E119" s="4">
        <v>83249.31</v>
      </c>
      <c r="F119" s="4">
        <v>83249.31</v>
      </c>
      <c r="G119" s="4">
        <v>83249.31</v>
      </c>
      <c r="H119" s="4">
        <v>83249.31</v>
      </c>
      <c r="I119" s="4">
        <v>83249.31</v>
      </c>
      <c r="J119" s="4">
        <v>83249.31</v>
      </c>
      <c r="K119" s="4">
        <v>83249.31</v>
      </c>
      <c r="L119" s="4">
        <v>83249.31</v>
      </c>
      <c r="M119" s="4">
        <v>83249.31</v>
      </c>
      <c r="N119" s="4">
        <v>83249.31</v>
      </c>
      <c r="O119" s="4">
        <v>83249.31</v>
      </c>
      <c r="P119" s="4">
        <f t="shared" si="1"/>
        <v>83249.310000000012</v>
      </c>
    </row>
    <row r="120" spans="1:19" x14ac:dyDescent="0.3">
      <c r="A120" s="470">
        <v>398.2</v>
      </c>
      <c r="B120" s="8" t="s">
        <v>417</v>
      </c>
      <c r="C120" s="4">
        <v>12812.44</v>
      </c>
      <c r="D120" s="4">
        <v>12812.44</v>
      </c>
      <c r="E120" s="4">
        <v>12812.44</v>
      </c>
      <c r="F120" s="4">
        <v>12812.44</v>
      </c>
      <c r="G120" s="4">
        <v>12812.44</v>
      </c>
      <c r="H120" s="4">
        <v>12812.44</v>
      </c>
      <c r="I120" s="4">
        <v>12812.44</v>
      </c>
      <c r="J120" s="4">
        <v>12812.44</v>
      </c>
      <c r="K120" s="4">
        <v>12812.44</v>
      </c>
      <c r="L120" s="4">
        <v>12812.44</v>
      </c>
      <c r="M120" s="4">
        <v>12812.44</v>
      </c>
      <c r="N120" s="4">
        <v>12812.44</v>
      </c>
      <c r="O120" s="4">
        <v>12812.44</v>
      </c>
      <c r="P120" s="4">
        <f t="shared" si="1"/>
        <v>12812.44</v>
      </c>
    </row>
    <row r="121" spans="1:19" x14ac:dyDescent="0.3">
      <c r="A121" s="470">
        <v>398.3</v>
      </c>
      <c r="B121" s="8" t="s">
        <v>418</v>
      </c>
      <c r="C121" s="4">
        <v>14873</v>
      </c>
      <c r="D121" s="4">
        <v>14873</v>
      </c>
      <c r="E121" s="4">
        <v>14873</v>
      </c>
      <c r="F121" s="4">
        <v>14873</v>
      </c>
      <c r="G121" s="4">
        <v>14873</v>
      </c>
      <c r="H121" s="4">
        <v>14873</v>
      </c>
      <c r="I121" s="4">
        <v>14873</v>
      </c>
      <c r="J121" s="4">
        <v>14873</v>
      </c>
      <c r="K121" s="4">
        <v>14873</v>
      </c>
      <c r="L121" s="4">
        <v>14873</v>
      </c>
      <c r="M121" s="4">
        <v>14873</v>
      </c>
      <c r="N121" s="4">
        <v>14873</v>
      </c>
      <c r="O121" s="4">
        <v>14873</v>
      </c>
      <c r="P121" s="4">
        <f t="shared" si="1"/>
        <v>14873</v>
      </c>
    </row>
    <row r="122" spans="1:19" x14ac:dyDescent="0.3">
      <c r="A122" s="470">
        <v>398.4</v>
      </c>
      <c r="B122" s="8" t="s">
        <v>347</v>
      </c>
      <c r="C122" s="4">
        <v>5393</v>
      </c>
      <c r="D122" s="4">
        <v>5393</v>
      </c>
      <c r="E122" s="4">
        <v>5393</v>
      </c>
      <c r="F122" s="4">
        <v>5393</v>
      </c>
      <c r="G122" s="4">
        <v>5393</v>
      </c>
      <c r="H122" s="4">
        <v>5393</v>
      </c>
      <c r="I122" s="4">
        <v>5393</v>
      </c>
      <c r="J122" s="4">
        <v>5393</v>
      </c>
      <c r="K122" s="4">
        <v>5393</v>
      </c>
      <c r="L122" s="4">
        <v>5393</v>
      </c>
      <c r="M122" s="4">
        <v>5393</v>
      </c>
      <c r="N122" s="4">
        <v>5393</v>
      </c>
      <c r="O122" s="4">
        <v>5393</v>
      </c>
      <c r="P122" s="4">
        <f t="shared" si="1"/>
        <v>5393</v>
      </c>
    </row>
    <row r="123" spans="1:19" x14ac:dyDescent="0.3">
      <c r="A123" s="470">
        <v>398.5</v>
      </c>
      <c r="B123" s="8" t="s">
        <v>419</v>
      </c>
      <c r="C123" s="158">
        <v>66739</v>
      </c>
      <c r="D123" s="158">
        <v>66739</v>
      </c>
      <c r="E123" s="158">
        <v>66739</v>
      </c>
      <c r="F123" s="158">
        <v>66739</v>
      </c>
      <c r="G123" s="158">
        <v>66739</v>
      </c>
      <c r="H123" s="158">
        <v>66739</v>
      </c>
      <c r="I123" s="158">
        <v>66739</v>
      </c>
      <c r="J123" s="158">
        <v>66739</v>
      </c>
      <c r="K123" s="158">
        <v>66739</v>
      </c>
      <c r="L123" s="158">
        <v>66739</v>
      </c>
      <c r="M123" s="158">
        <v>66739</v>
      </c>
      <c r="N123" s="158">
        <v>66739</v>
      </c>
      <c r="O123" s="158">
        <v>66739</v>
      </c>
      <c r="P123" s="158">
        <f t="shared" si="1"/>
        <v>66739</v>
      </c>
    </row>
    <row r="124" spans="1:19" x14ac:dyDescent="0.3">
      <c r="B124" s="8" t="s">
        <v>420</v>
      </c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>
        <f t="shared" si="1"/>
        <v>0</v>
      </c>
    </row>
    <row r="125" spans="1:19" x14ac:dyDescent="0.3">
      <c r="B125" s="8" t="s">
        <v>1915</v>
      </c>
      <c r="C125" s="4">
        <f>SUM(C6:C123)</f>
        <v>2651621958.0099993</v>
      </c>
      <c r="D125" s="4">
        <f t="shared" ref="D125:P125" si="2">SUM(D6:D123)</f>
        <v>2658010851.7399998</v>
      </c>
      <c r="E125" s="4">
        <f t="shared" si="2"/>
        <v>2668712854.4300003</v>
      </c>
      <c r="F125" s="4">
        <f t="shared" si="2"/>
        <v>2680652679.0800004</v>
      </c>
      <c r="G125" s="4">
        <f t="shared" si="2"/>
        <v>2687427780.0899997</v>
      </c>
      <c r="H125" s="4">
        <f t="shared" si="2"/>
        <v>2694911561.6800003</v>
      </c>
      <c r="I125" s="4">
        <f t="shared" si="2"/>
        <v>2705423185.8600001</v>
      </c>
      <c r="J125" s="4">
        <f t="shared" si="2"/>
        <v>2708469406.2699995</v>
      </c>
      <c r="K125" s="4">
        <f t="shared" si="2"/>
        <v>2714944672.7099996</v>
      </c>
      <c r="L125" s="4">
        <f t="shared" si="2"/>
        <v>2729756491.7700005</v>
      </c>
      <c r="M125" s="4">
        <f t="shared" si="2"/>
        <v>2737135767.4800005</v>
      </c>
      <c r="N125" s="4">
        <f t="shared" si="2"/>
        <v>2743142820.650001</v>
      </c>
      <c r="O125" s="4">
        <f t="shared" si="2"/>
        <v>2757323158.9299994</v>
      </c>
      <c r="P125" s="4">
        <f t="shared" si="2"/>
        <v>2702755052.5191679</v>
      </c>
    </row>
    <row r="126" spans="1:19" x14ac:dyDescent="0.3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9" x14ac:dyDescent="0.3">
      <c r="A127" s="470" t="s">
        <v>147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643" t="s">
        <v>1922</v>
      </c>
    </row>
    <row r="128" spans="1:19" x14ac:dyDescent="0.3">
      <c r="A128" s="470">
        <v>301</v>
      </c>
      <c r="B128" s="8" t="s">
        <v>323</v>
      </c>
      <c r="C128" s="4">
        <v>322</v>
      </c>
      <c r="D128" s="4">
        <v>322</v>
      </c>
      <c r="E128" s="4">
        <v>322</v>
      </c>
      <c r="F128" s="4">
        <v>322</v>
      </c>
      <c r="G128" s="4">
        <v>322</v>
      </c>
      <c r="H128" s="4">
        <v>322</v>
      </c>
      <c r="I128" s="4">
        <v>322</v>
      </c>
      <c r="J128" s="4">
        <v>322</v>
      </c>
      <c r="K128" s="4">
        <v>322</v>
      </c>
      <c r="L128" s="4">
        <v>322</v>
      </c>
      <c r="M128" s="4">
        <v>322</v>
      </c>
      <c r="N128" s="4">
        <v>322</v>
      </c>
      <c r="O128" s="4">
        <v>322</v>
      </c>
      <c r="P128" s="4">
        <f t="shared" si="1"/>
        <v>322</v>
      </c>
      <c r="Q128" s="127">
        <f>A128</f>
        <v>301</v>
      </c>
      <c r="R128" s="4">
        <f>+O128</f>
        <v>322</v>
      </c>
      <c r="S128" s="4">
        <f>+P128</f>
        <v>322</v>
      </c>
    </row>
    <row r="129" spans="1:19" x14ac:dyDescent="0.3">
      <c r="A129" s="470">
        <v>302</v>
      </c>
      <c r="B129" s="8" t="s">
        <v>324</v>
      </c>
      <c r="C129" s="4">
        <v>125</v>
      </c>
      <c r="D129" s="4">
        <v>125</v>
      </c>
      <c r="E129" s="4">
        <v>125</v>
      </c>
      <c r="F129" s="4">
        <v>125</v>
      </c>
      <c r="G129" s="4">
        <v>125</v>
      </c>
      <c r="H129" s="4">
        <v>125</v>
      </c>
      <c r="I129" s="4">
        <v>125</v>
      </c>
      <c r="J129" s="4">
        <v>125</v>
      </c>
      <c r="K129" s="4">
        <v>125</v>
      </c>
      <c r="L129" s="4">
        <v>125</v>
      </c>
      <c r="M129" s="4">
        <v>125</v>
      </c>
      <c r="N129" s="4">
        <v>125</v>
      </c>
      <c r="O129" s="4">
        <v>125</v>
      </c>
      <c r="P129" s="4">
        <f t="shared" si="1"/>
        <v>125</v>
      </c>
      <c r="Q129" s="127">
        <f t="shared" ref="Q129:Q190" si="3">A129</f>
        <v>302</v>
      </c>
      <c r="R129" s="4">
        <f>+O129</f>
        <v>125</v>
      </c>
      <c r="S129" s="4">
        <f>+P129</f>
        <v>125</v>
      </c>
    </row>
    <row r="130" spans="1:19" x14ac:dyDescent="0.3">
      <c r="A130" s="470">
        <v>303.10000000000002</v>
      </c>
      <c r="B130" s="8" t="s">
        <v>348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>
        <f t="shared" si="1"/>
        <v>0</v>
      </c>
      <c r="Q130" s="127">
        <f t="shared" si="3"/>
        <v>303.10000000000002</v>
      </c>
      <c r="R130" s="4">
        <v>8229387.1638600035</v>
      </c>
      <c r="S130" s="4">
        <v>7630039.7733855033</v>
      </c>
    </row>
    <row r="131" spans="1:19" x14ac:dyDescent="0.3">
      <c r="A131" s="470">
        <v>303.2</v>
      </c>
      <c r="B131" s="8" t="s">
        <v>325</v>
      </c>
      <c r="C131" s="4">
        <v>1859863</v>
      </c>
      <c r="D131" s="4">
        <v>1859863</v>
      </c>
      <c r="E131" s="4">
        <v>1859863</v>
      </c>
      <c r="F131" s="4">
        <v>1859863</v>
      </c>
      <c r="G131" s="4">
        <v>1859863</v>
      </c>
      <c r="H131" s="4">
        <v>1859863</v>
      </c>
      <c r="I131" s="4">
        <v>1859863</v>
      </c>
      <c r="J131" s="4">
        <v>1859863</v>
      </c>
      <c r="K131" s="4">
        <v>1859863</v>
      </c>
      <c r="L131" s="4">
        <v>1859863</v>
      </c>
      <c r="M131" s="4">
        <v>1859863</v>
      </c>
      <c r="N131" s="4">
        <v>1859863</v>
      </c>
      <c r="O131" s="4">
        <v>1859863</v>
      </c>
      <c r="P131" s="4">
        <f t="shared" si="1"/>
        <v>1859863</v>
      </c>
      <c r="Q131" s="127">
        <f t="shared" si="3"/>
        <v>303.2</v>
      </c>
      <c r="R131" s="4">
        <v>3610055.5186680011</v>
      </c>
      <c r="S131" s="4">
        <v>3610055.5186680015</v>
      </c>
    </row>
    <row r="132" spans="1:19" x14ac:dyDescent="0.3">
      <c r="A132" s="470">
        <v>303.3</v>
      </c>
      <c r="B132" s="8" t="s">
        <v>349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>
        <f t="shared" si="1"/>
        <v>0</v>
      </c>
      <c r="Q132" s="127">
        <f t="shared" si="3"/>
        <v>303.3</v>
      </c>
      <c r="R132" s="4">
        <v>462799.73160000012</v>
      </c>
      <c r="S132" s="4">
        <v>462799.73160000012</v>
      </c>
    </row>
    <row r="133" spans="1:19" x14ac:dyDescent="0.3">
      <c r="A133" s="470">
        <v>303.39999999999998</v>
      </c>
      <c r="B133" s="8" t="s">
        <v>350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>
        <f t="shared" si="1"/>
        <v>0</v>
      </c>
      <c r="Q133" s="127">
        <f t="shared" si="3"/>
        <v>303.39999999999998</v>
      </c>
      <c r="R133" s="4">
        <v>76210.808580000026</v>
      </c>
      <c r="S133" s="4">
        <v>76210.808580000012</v>
      </c>
    </row>
    <row r="134" spans="1:19" x14ac:dyDescent="0.3">
      <c r="A134" s="470">
        <v>303.5</v>
      </c>
      <c r="B134" s="8" t="s">
        <v>351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>
        <f t="shared" ref="P134:P197" si="4">(C134/2+O134/2+SUM(D134:N134))/12</f>
        <v>0</v>
      </c>
      <c r="Q134" s="127">
        <f t="shared" si="3"/>
        <v>303.5</v>
      </c>
    </row>
    <row r="135" spans="1:19" x14ac:dyDescent="0.3">
      <c r="A135" s="470">
        <v>304.10000000000002</v>
      </c>
      <c r="B135" s="8" t="s">
        <v>327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>
        <f t="shared" si="4"/>
        <v>0</v>
      </c>
      <c r="Q135" s="127">
        <f t="shared" si="3"/>
        <v>304.10000000000002</v>
      </c>
    </row>
    <row r="136" spans="1:19" x14ac:dyDescent="0.3">
      <c r="A136" s="470">
        <v>305.2</v>
      </c>
      <c r="B136" s="8" t="s">
        <v>352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>
        <f t="shared" si="4"/>
        <v>0</v>
      </c>
      <c r="Q136" s="127">
        <f t="shared" si="3"/>
        <v>305.2</v>
      </c>
    </row>
    <row r="137" spans="1:19" x14ac:dyDescent="0.3">
      <c r="A137" s="470">
        <v>305.5</v>
      </c>
      <c r="B137" s="8" t="s">
        <v>353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>
        <f t="shared" si="4"/>
        <v>0</v>
      </c>
      <c r="Q137" s="127">
        <f t="shared" si="3"/>
        <v>305.5</v>
      </c>
    </row>
    <row r="138" spans="1:19" x14ac:dyDescent="0.3">
      <c r="A138" s="470">
        <v>312.3</v>
      </c>
      <c r="B138" s="8" t="s">
        <v>354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>
        <f t="shared" si="4"/>
        <v>0</v>
      </c>
      <c r="Q138" s="127">
        <f t="shared" si="3"/>
        <v>312.3</v>
      </c>
    </row>
    <row r="139" spans="1:19" x14ac:dyDescent="0.3">
      <c r="A139" s="470">
        <v>318.3</v>
      </c>
      <c r="B139" s="8" t="s">
        <v>355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>
        <f t="shared" si="4"/>
        <v>0</v>
      </c>
      <c r="Q139" s="127">
        <f t="shared" si="3"/>
        <v>318.3</v>
      </c>
    </row>
    <row r="140" spans="1:19" x14ac:dyDescent="0.3">
      <c r="A140" s="470">
        <v>318.5</v>
      </c>
      <c r="B140" s="8" t="s">
        <v>356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>
        <f t="shared" si="4"/>
        <v>0</v>
      </c>
      <c r="Q140" s="127">
        <f t="shared" si="3"/>
        <v>318.5</v>
      </c>
    </row>
    <row r="141" spans="1:19" x14ac:dyDescent="0.3">
      <c r="A141" s="470">
        <v>325</v>
      </c>
      <c r="B141" s="8" t="s">
        <v>357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>
        <f t="shared" si="4"/>
        <v>0</v>
      </c>
      <c r="Q141" s="127">
        <f t="shared" si="3"/>
        <v>325</v>
      </c>
    </row>
    <row r="142" spans="1:19" x14ac:dyDescent="0.3">
      <c r="A142" s="470">
        <v>327</v>
      </c>
      <c r="B142" s="8" t="s">
        <v>358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>
        <f t="shared" si="4"/>
        <v>0</v>
      </c>
      <c r="Q142" s="127">
        <f t="shared" si="3"/>
        <v>327</v>
      </c>
    </row>
    <row r="143" spans="1:19" x14ac:dyDescent="0.3">
      <c r="A143" s="470">
        <v>328</v>
      </c>
      <c r="B143" s="8" t="s">
        <v>357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>
        <f t="shared" si="4"/>
        <v>0</v>
      </c>
      <c r="Q143" s="127">
        <f t="shared" si="3"/>
        <v>328</v>
      </c>
    </row>
    <row r="144" spans="1:19" x14ac:dyDescent="0.3">
      <c r="A144" s="470">
        <v>331</v>
      </c>
      <c r="B144" s="8" t="s">
        <v>358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>
        <f t="shared" si="4"/>
        <v>0</v>
      </c>
      <c r="Q144" s="127">
        <f t="shared" si="3"/>
        <v>331</v>
      </c>
    </row>
    <row r="145" spans="1:19" x14ac:dyDescent="0.3">
      <c r="A145" s="470">
        <v>332</v>
      </c>
      <c r="B145" s="8" t="s">
        <v>358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>
        <f t="shared" si="4"/>
        <v>0</v>
      </c>
      <c r="Q145" s="127">
        <f t="shared" si="3"/>
        <v>332</v>
      </c>
    </row>
    <row r="146" spans="1:19" x14ac:dyDescent="0.3">
      <c r="A146" s="470">
        <v>333</v>
      </c>
      <c r="B146" s="8" t="s">
        <v>358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>
        <f t="shared" si="4"/>
        <v>0</v>
      </c>
      <c r="Q146" s="127">
        <f t="shared" si="3"/>
        <v>333</v>
      </c>
    </row>
    <row r="147" spans="1:19" x14ac:dyDescent="0.3">
      <c r="A147" s="470">
        <v>334</v>
      </c>
      <c r="B147" s="8" t="s">
        <v>358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>
        <f t="shared" si="4"/>
        <v>0</v>
      </c>
      <c r="Q147" s="127">
        <f t="shared" si="3"/>
        <v>334</v>
      </c>
    </row>
    <row r="148" spans="1:19" x14ac:dyDescent="0.3">
      <c r="A148" s="470">
        <v>305.11</v>
      </c>
      <c r="B148" s="8" t="s">
        <v>359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>
        <f t="shared" si="4"/>
        <v>0</v>
      </c>
      <c r="Q148" s="127">
        <f t="shared" si="3"/>
        <v>305.11</v>
      </c>
    </row>
    <row r="149" spans="1:19" x14ac:dyDescent="0.3">
      <c r="A149" s="470">
        <v>305.17</v>
      </c>
      <c r="B149" s="8" t="s">
        <v>360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>
        <f t="shared" si="4"/>
        <v>0</v>
      </c>
      <c r="Q149" s="127">
        <f t="shared" si="3"/>
        <v>305.17</v>
      </c>
    </row>
    <row r="150" spans="1:19" x14ac:dyDescent="0.3">
      <c r="A150" s="470">
        <v>311</v>
      </c>
      <c r="B150" s="8" t="s">
        <v>361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>
        <f t="shared" si="4"/>
        <v>0</v>
      </c>
      <c r="Q150" s="127">
        <f t="shared" si="3"/>
        <v>311</v>
      </c>
    </row>
    <row r="151" spans="1:19" x14ac:dyDescent="0.3">
      <c r="A151" s="470">
        <v>311.39999999999998</v>
      </c>
      <c r="B151" s="8" t="s">
        <v>362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>
        <f t="shared" si="4"/>
        <v>0</v>
      </c>
      <c r="Q151" s="127">
        <f t="shared" si="3"/>
        <v>311.39999999999998</v>
      </c>
    </row>
    <row r="152" spans="1:19" x14ac:dyDescent="0.3">
      <c r="A152" s="470">
        <v>311.7</v>
      </c>
      <c r="B152" s="8" t="s">
        <v>363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>
        <f t="shared" si="4"/>
        <v>0</v>
      </c>
      <c r="Q152" s="127">
        <f t="shared" si="3"/>
        <v>311.7</v>
      </c>
    </row>
    <row r="153" spans="1:19" x14ac:dyDescent="0.3">
      <c r="A153" s="470">
        <v>311.8</v>
      </c>
      <c r="B153" s="8" t="s">
        <v>364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>
        <f t="shared" si="4"/>
        <v>0</v>
      </c>
      <c r="Q153" s="127">
        <f t="shared" si="3"/>
        <v>311.8</v>
      </c>
    </row>
    <row r="154" spans="1:19" x14ac:dyDescent="0.3">
      <c r="A154" s="470">
        <v>319</v>
      </c>
      <c r="B154" s="8" t="s">
        <v>365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>
        <f t="shared" si="4"/>
        <v>0</v>
      </c>
      <c r="Q154" s="127">
        <f t="shared" si="3"/>
        <v>319</v>
      </c>
    </row>
    <row r="155" spans="1:19" x14ac:dyDescent="0.3">
      <c r="A155" s="470">
        <v>350.1</v>
      </c>
      <c r="B155" s="8" t="s">
        <v>327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>
        <f t="shared" si="4"/>
        <v>0</v>
      </c>
      <c r="Q155" s="127" t="str">
        <f>LEFT(A155,3)</f>
        <v>350</v>
      </c>
      <c r="R155" s="4">
        <v>11102.405799999995</v>
      </c>
      <c r="S155" s="4">
        <v>11102.405799999995</v>
      </c>
    </row>
    <row r="156" spans="1:19" x14ac:dyDescent="0.3">
      <c r="A156" s="470">
        <v>350.2</v>
      </c>
      <c r="B156" s="8" t="s">
        <v>366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>
        <f t="shared" si="4"/>
        <v>0</v>
      </c>
      <c r="Q156" s="127" t="str">
        <f>LEFT(A156,3)</f>
        <v>350</v>
      </c>
      <c r="R156" s="4">
        <v>11422.918747999996</v>
      </c>
      <c r="S156" s="4">
        <v>11422.918747999991</v>
      </c>
    </row>
    <row r="157" spans="1:19" x14ac:dyDescent="0.3">
      <c r="A157" s="470">
        <v>351</v>
      </c>
      <c r="B157" s="8" t="s">
        <v>367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>
        <f t="shared" si="4"/>
        <v>0</v>
      </c>
      <c r="Q157" s="127">
        <f t="shared" si="3"/>
        <v>351</v>
      </c>
      <c r="R157" s="4">
        <v>894318.26321199979</v>
      </c>
      <c r="S157" s="4">
        <v>802929.98725983314</v>
      </c>
    </row>
    <row r="158" spans="1:19" x14ac:dyDescent="0.3">
      <c r="A158" s="470">
        <v>352</v>
      </c>
      <c r="B158" s="8" t="s">
        <v>368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>
        <f t="shared" si="4"/>
        <v>0</v>
      </c>
      <c r="Q158" s="127" t="str">
        <f>LEFT(A158,3)</f>
        <v>352</v>
      </c>
      <c r="R158" s="4">
        <v>2420639.7277519987</v>
      </c>
      <c r="S158" s="4">
        <v>2293926.7693560822</v>
      </c>
    </row>
    <row r="159" spans="1:19" x14ac:dyDescent="0.3">
      <c r="A159" s="470">
        <v>352.1</v>
      </c>
      <c r="B159" s="8" t="s">
        <v>369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>
        <f t="shared" si="4"/>
        <v>0</v>
      </c>
      <c r="Q159" s="127" t="str">
        <f>LEFT(A159,3)</f>
        <v>352</v>
      </c>
      <c r="R159" s="4">
        <v>410390.79554399982</v>
      </c>
      <c r="S159" s="4">
        <v>410390.79554399982</v>
      </c>
    </row>
    <row r="160" spans="1:19" x14ac:dyDescent="0.3">
      <c r="A160" s="470">
        <v>352.2</v>
      </c>
      <c r="B160" s="8" t="s">
        <v>370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>
        <f t="shared" si="4"/>
        <v>0</v>
      </c>
      <c r="Q160" s="127" t="str">
        <f>LEFT(A160,3)</f>
        <v>352</v>
      </c>
      <c r="R160" s="4">
        <v>757800.03197799972</v>
      </c>
      <c r="S160" s="4">
        <v>757800.03197799996</v>
      </c>
    </row>
    <row r="161" spans="1:19" x14ac:dyDescent="0.3">
      <c r="A161" s="470">
        <v>352.3</v>
      </c>
      <c r="B161" s="8" t="s">
        <v>371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f t="shared" si="4"/>
        <v>0</v>
      </c>
      <c r="Q161" s="127" t="str">
        <f>LEFT(A161,3)</f>
        <v>352</v>
      </c>
      <c r="R161" s="4">
        <v>671140.7192439998</v>
      </c>
      <c r="S161" s="4">
        <v>671140.7192439998</v>
      </c>
    </row>
    <row r="162" spans="1:19" x14ac:dyDescent="0.3">
      <c r="A162" s="470">
        <v>353</v>
      </c>
      <c r="B162" s="8" t="s">
        <v>372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>
        <f t="shared" si="4"/>
        <v>0</v>
      </c>
      <c r="Q162" s="127">
        <f t="shared" si="3"/>
        <v>353</v>
      </c>
      <c r="R162" s="4">
        <v>720928.07318399975</v>
      </c>
      <c r="S162" s="4">
        <v>684332.47050399985</v>
      </c>
    </row>
    <row r="163" spans="1:19" x14ac:dyDescent="0.3">
      <c r="A163" s="470">
        <v>354</v>
      </c>
      <c r="B163" s="8" t="s">
        <v>373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>
        <f t="shared" si="4"/>
        <v>0</v>
      </c>
      <c r="Q163" s="127" t="str">
        <f t="shared" ref="Q163:Q168" si="5">LEFT(A163,3)</f>
        <v>354</v>
      </c>
      <c r="R163" s="4">
        <v>0</v>
      </c>
      <c r="S163" s="4">
        <v>0</v>
      </c>
    </row>
    <row r="164" spans="1:19" x14ac:dyDescent="0.3">
      <c r="A164" s="470">
        <v>354.1</v>
      </c>
      <c r="B164" s="8" t="s">
        <v>1909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>
        <f t="shared" si="4"/>
        <v>0</v>
      </c>
      <c r="Q164" s="127" t="str">
        <f t="shared" si="5"/>
        <v>354</v>
      </c>
      <c r="R164" s="4">
        <v>432919.70457199984</v>
      </c>
      <c r="S164" s="4">
        <v>432919.70457199973</v>
      </c>
    </row>
    <row r="165" spans="1:19" x14ac:dyDescent="0.3">
      <c r="A165" s="470">
        <v>354.2</v>
      </c>
      <c r="B165" s="8" t="s">
        <v>1910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>
        <f t="shared" si="4"/>
        <v>0</v>
      </c>
      <c r="Q165" s="127" t="str">
        <f t="shared" si="5"/>
        <v>354</v>
      </c>
      <c r="R165" s="4">
        <v>432919.63579999981</v>
      </c>
      <c r="S165" s="4">
        <v>432919.63579999981</v>
      </c>
    </row>
    <row r="166" spans="1:19" x14ac:dyDescent="0.3">
      <c r="A166" s="470">
        <v>354.3</v>
      </c>
      <c r="B166" s="8" t="s">
        <v>1911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>
        <f t="shared" si="4"/>
        <v>0</v>
      </c>
      <c r="Q166" s="127" t="str">
        <f t="shared" si="5"/>
        <v>354</v>
      </c>
      <c r="R166" s="4">
        <v>2046541.5963119993</v>
      </c>
      <c r="S166" s="4">
        <v>2046541.5963119995</v>
      </c>
    </row>
    <row r="167" spans="1:19" x14ac:dyDescent="0.3">
      <c r="A167" s="470">
        <v>354.4</v>
      </c>
      <c r="B167" s="8" t="s">
        <v>1912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>
        <f t="shared" si="4"/>
        <v>0</v>
      </c>
      <c r="Q167" s="127" t="str">
        <f t="shared" si="5"/>
        <v>354</v>
      </c>
      <c r="R167" s="4">
        <v>345545.03591399983</v>
      </c>
      <c r="S167" s="4">
        <v>345545.03591399989</v>
      </c>
    </row>
    <row r="168" spans="1:19" x14ac:dyDescent="0.3">
      <c r="A168" s="470">
        <v>354.6</v>
      </c>
      <c r="B168" s="8" t="s">
        <v>1913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>
        <f t="shared" si="4"/>
        <v>0</v>
      </c>
      <c r="Q168" s="127" t="str">
        <f t="shared" si="5"/>
        <v>354</v>
      </c>
      <c r="R168" s="4">
        <v>9026.9877119999965</v>
      </c>
      <c r="S168" s="4">
        <v>9007.3633786666614</v>
      </c>
    </row>
    <row r="169" spans="1:19" x14ac:dyDescent="0.3">
      <c r="A169" s="470">
        <v>355</v>
      </c>
      <c r="B169" s="8" t="s">
        <v>374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>
        <f t="shared" si="4"/>
        <v>0</v>
      </c>
      <c r="Q169" s="127">
        <f t="shared" si="3"/>
        <v>355</v>
      </c>
      <c r="R169" s="4">
        <v>771926.85215599963</v>
      </c>
      <c r="S169" s="4">
        <v>771909.72840558318</v>
      </c>
    </row>
    <row r="170" spans="1:19" x14ac:dyDescent="0.3">
      <c r="A170" s="470">
        <v>356</v>
      </c>
      <c r="B170" s="8" t="s">
        <v>375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>
        <f t="shared" si="4"/>
        <v>0</v>
      </c>
      <c r="Q170" s="127">
        <f t="shared" si="3"/>
        <v>356</v>
      </c>
      <c r="R170" s="4">
        <v>37869.437259999984</v>
      </c>
      <c r="S170" s="4">
        <v>32994.554532666647</v>
      </c>
    </row>
    <row r="171" spans="1:19" x14ac:dyDescent="0.3">
      <c r="A171" s="470">
        <v>357</v>
      </c>
      <c r="B171" s="8" t="s">
        <v>376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>
        <f t="shared" si="4"/>
        <v>0</v>
      </c>
      <c r="Q171" s="127">
        <f t="shared" si="3"/>
        <v>357</v>
      </c>
      <c r="R171" s="4">
        <v>245671.75439599989</v>
      </c>
      <c r="S171" s="4">
        <v>169969.0910692499</v>
      </c>
    </row>
    <row r="172" spans="1:19" x14ac:dyDescent="0.3">
      <c r="A172" s="470">
        <v>360.11</v>
      </c>
      <c r="B172" s="8" t="s">
        <v>377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>
        <f t="shared" si="4"/>
        <v>0</v>
      </c>
      <c r="Q172" s="127" t="str">
        <f t="shared" ref="Q172:Q180" si="6">LEFT(A172,3)</f>
        <v>360</v>
      </c>
      <c r="R172" s="4">
        <v>8710.9115999999958</v>
      </c>
      <c r="S172" s="4">
        <v>8710.9115999999958</v>
      </c>
    </row>
    <row r="173" spans="1:19" x14ac:dyDescent="0.3">
      <c r="A173" s="470">
        <v>360.12</v>
      </c>
      <c r="B173" s="8" t="s">
        <v>378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>
        <f t="shared" si="4"/>
        <v>0</v>
      </c>
      <c r="Q173" s="127" t="str">
        <f t="shared" si="6"/>
        <v>360</v>
      </c>
      <c r="R173" s="4">
        <v>55921.516243999969</v>
      </c>
      <c r="S173" s="4">
        <v>55921.516243999984</v>
      </c>
    </row>
    <row r="174" spans="1:19" x14ac:dyDescent="0.3">
      <c r="A174" s="470">
        <v>360.2</v>
      </c>
      <c r="B174" s="8" t="s">
        <v>379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>
        <f t="shared" si="4"/>
        <v>0</v>
      </c>
      <c r="Q174" s="127" t="str">
        <f t="shared" si="6"/>
        <v>360</v>
      </c>
      <c r="R174" s="4">
        <v>11103.271701999995</v>
      </c>
      <c r="S174" s="4">
        <v>11103.271702</v>
      </c>
    </row>
    <row r="175" spans="1:19" x14ac:dyDescent="0.3">
      <c r="A175" s="470">
        <v>361.11</v>
      </c>
      <c r="B175" s="8" t="s">
        <v>329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>
        <f t="shared" si="4"/>
        <v>0</v>
      </c>
      <c r="Q175" s="127" t="str">
        <f t="shared" si="6"/>
        <v>361</v>
      </c>
      <c r="R175" s="4">
        <v>563605.52523999987</v>
      </c>
      <c r="S175" s="4">
        <v>550774.18775641662</v>
      </c>
    </row>
    <row r="176" spans="1:19" x14ac:dyDescent="0.3">
      <c r="A176" s="470">
        <v>361.12</v>
      </c>
      <c r="B176" s="8" t="s">
        <v>329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>
        <f t="shared" si="4"/>
        <v>0</v>
      </c>
      <c r="Q176" s="127" t="str">
        <f t="shared" si="6"/>
        <v>361</v>
      </c>
      <c r="R176" s="4">
        <v>1045284.3141859995</v>
      </c>
      <c r="S176" s="4">
        <v>1052487.1781307494</v>
      </c>
    </row>
    <row r="177" spans="1:19" x14ac:dyDescent="0.3">
      <c r="A177" s="470">
        <v>361.2</v>
      </c>
      <c r="B177" s="8" t="s">
        <v>380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>
        <f t="shared" si="4"/>
        <v>0</v>
      </c>
      <c r="Q177" s="127" t="str">
        <f t="shared" si="6"/>
        <v>361</v>
      </c>
      <c r="R177" s="4">
        <v>2788.0793999999987</v>
      </c>
      <c r="S177" s="4">
        <v>2788.0793999999987</v>
      </c>
    </row>
    <row r="178" spans="1:19" x14ac:dyDescent="0.3">
      <c r="A178" s="470">
        <v>362.11</v>
      </c>
      <c r="B178" s="8" t="s">
        <v>381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>
        <f t="shared" si="4"/>
        <v>0</v>
      </c>
      <c r="Q178" s="127" t="str">
        <f t="shared" si="6"/>
        <v>362</v>
      </c>
      <c r="R178" s="4">
        <v>474741.90526999976</v>
      </c>
      <c r="S178" s="4">
        <v>471857.04425874981</v>
      </c>
    </row>
    <row r="179" spans="1:19" x14ac:dyDescent="0.3">
      <c r="A179" s="470">
        <v>362.12</v>
      </c>
      <c r="B179" s="8" t="s">
        <v>382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>
        <f t="shared" si="4"/>
        <v>0</v>
      </c>
      <c r="Q179" s="127" t="str">
        <f t="shared" si="6"/>
        <v>362</v>
      </c>
      <c r="R179" s="4">
        <v>617604.21804399975</v>
      </c>
      <c r="S179" s="4">
        <v>615608.78205249982</v>
      </c>
    </row>
    <row r="180" spans="1:19" x14ac:dyDescent="0.3">
      <c r="A180" s="470">
        <v>362.2</v>
      </c>
      <c r="B180" s="8" t="s">
        <v>383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>
        <f t="shared" si="4"/>
        <v>0</v>
      </c>
      <c r="Q180" s="127" t="str">
        <f t="shared" si="6"/>
        <v>362</v>
      </c>
      <c r="R180" s="4">
        <v>166.73458799999995</v>
      </c>
      <c r="S180" s="4">
        <v>166.73458799999989</v>
      </c>
    </row>
    <row r="181" spans="1:19" x14ac:dyDescent="0.3">
      <c r="A181" s="470">
        <v>363.11</v>
      </c>
      <c r="B181" s="8" t="s">
        <v>384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>
        <f t="shared" si="4"/>
        <v>0</v>
      </c>
      <c r="Q181" s="127" t="str">
        <f>LEFT(A181,5)</f>
        <v>363.1</v>
      </c>
      <c r="R181" s="4">
        <v>345882.66266999987</v>
      </c>
      <c r="S181" s="4">
        <v>346487.98712783318</v>
      </c>
    </row>
    <row r="182" spans="1:19" x14ac:dyDescent="0.3">
      <c r="A182" s="470">
        <v>363.12</v>
      </c>
      <c r="B182" s="8" t="s">
        <v>385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>
        <f t="shared" si="4"/>
        <v>0</v>
      </c>
      <c r="Q182" s="127" t="str">
        <f t="shared" ref="Q182:Q188" si="7">LEFT(A182,5)</f>
        <v>363.1</v>
      </c>
      <c r="R182" s="4">
        <v>1117563.8643679996</v>
      </c>
      <c r="S182" s="4">
        <v>1119188.0390591663</v>
      </c>
    </row>
    <row r="183" spans="1:19" x14ac:dyDescent="0.3">
      <c r="A183" s="470">
        <v>363.21</v>
      </c>
      <c r="B183" s="8" t="s">
        <v>386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>
        <f t="shared" si="4"/>
        <v>0</v>
      </c>
      <c r="Q183" s="127" t="str">
        <f t="shared" si="7"/>
        <v>363.2</v>
      </c>
      <c r="R183" s="4">
        <v>464587.99559999979</v>
      </c>
      <c r="S183" s="4">
        <v>491309.72259324987</v>
      </c>
    </row>
    <row r="184" spans="1:19" x14ac:dyDescent="0.3">
      <c r="A184" s="470">
        <v>363.22</v>
      </c>
      <c r="B184" s="8" t="s">
        <v>387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>
        <f t="shared" si="4"/>
        <v>0</v>
      </c>
      <c r="Q184" s="127" t="str">
        <f t="shared" si="7"/>
        <v>363.2</v>
      </c>
      <c r="R184" s="4">
        <v>389688.48750799987</v>
      </c>
      <c r="S184" s="4">
        <v>447970.11668924993</v>
      </c>
    </row>
    <row r="185" spans="1:19" x14ac:dyDescent="0.3">
      <c r="A185" s="470">
        <v>363.31</v>
      </c>
      <c r="B185" s="8" t="s">
        <v>388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>
        <f t="shared" si="4"/>
        <v>0</v>
      </c>
      <c r="Q185" s="127" t="str">
        <f t="shared" si="7"/>
        <v>363.3</v>
      </c>
      <c r="R185" s="4">
        <v>18850.116565999993</v>
      </c>
      <c r="S185" s="4">
        <v>18850.116565999993</v>
      </c>
    </row>
    <row r="186" spans="1:19" x14ac:dyDescent="0.3">
      <c r="A186" s="470">
        <v>363.32</v>
      </c>
      <c r="B186" s="8" t="s">
        <v>389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>
        <f t="shared" si="4"/>
        <v>0</v>
      </c>
      <c r="Q186" s="127" t="str">
        <f t="shared" si="7"/>
        <v>363.3</v>
      </c>
      <c r="R186" s="4">
        <v>481725.04749400006</v>
      </c>
      <c r="S186" s="4">
        <v>455955.34931466676</v>
      </c>
    </row>
    <row r="187" spans="1:19" x14ac:dyDescent="0.3">
      <c r="A187" s="470">
        <v>363.41</v>
      </c>
      <c r="B187" s="8" t="s">
        <v>390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>
        <f t="shared" si="4"/>
        <v>0</v>
      </c>
      <c r="Q187" s="127" t="str">
        <f t="shared" si="7"/>
        <v>363.4</v>
      </c>
      <c r="R187" s="4">
        <v>293081.37374599988</v>
      </c>
      <c r="S187" s="4">
        <v>254023.56392391649</v>
      </c>
    </row>
    <row r="188" spans="1:19" x14ac:dyDescent="0.3">
      <c r="A188" s="470">
        <v>363.42</v>
      </c>
      <c r="B188" s="8" t="s">
        <v>390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>
        <f t="shared" si="4"/>
        <v>0</v>
      </c>
      <c r="Q188" s="127" t="str">
        <f t="shared" si="7"/>
        <v>363.4</v>
      </c>
      <c r="R188" s="4">
        <v>1072284.6754959994</v>
      </c>
      <c r="S188" s="4">
        <v>1043108.8224614161</v>
      </c>
    </row>
    <row r="189" spans="1:19" x14ac:dyDescent="0.3">
      <c r="A189" s="470">
        <v>363.5</v>
      </c>
      <c r="B189" s="8" t="s">
        <v>391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>
        <f t="shared" si="4"/>
        <v>0</v>
      </c>
      <c r="Q189" s="127">
        <f t="shared" si="3"/>
        <v>363.5</v>
      </c>
      <c r="R189" s="4">
        <v>342050.22442899994</v>
      </c>
      <c r="S189" s="4">
        <v>342050.22442899999</v>
      </c>
    </row>
    <row r="190" spans="1:19" x14ac:dyDescent="0.3">
      <c r="A190" s="470">
        <v>363.6</v>
      </c>
      <c r="B190" s="8" t="s">
        <v>392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>
        <f t="shared" si="4"/>
        <v>0</v>
      </c>
      <c r="Q190" s="127">
        <f t="shared" si="3"/>
        <v>363.6</v>
      </c>
      <c r="R190" s="4">
        <v>82894.92329999998</v>
      </c>
      <c r="S190" s="4">
        <v>82894.92329999998</v>
      </c>
    </row>
    <row r="191" spans="1:19" x14ac:dyDescent="0.3">
      <c r="A191" s="470">
        <v>365.1</v>
      </c>
      <c r="B191" s="8" t="s">
        <v>327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>
        <f t="shared" si="4"/>
        <v>0</v>
      </c>
      <c r="Q191" s="127" t="str">
        <f>LEFT(A191,3)</f>
        <v>365</v>
      </c>
    </row>
    <row r="192" spans="1:19" x14ac:dyDescent="0.3">
      <c r="A192" s="470">
        <v>365.2</v>
      </c>
      <c r="B192" s="8" t="s">
        <v>328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>
        <f t="shared" si="4"/>
        <v>0</v>
      </c>
      <c r="Q192" s="127" t="str">
        <f>LEFT(A192,3)</f>
        <v>365</v>
      </c>
    </row>
    <row r="193" spans="1:19" x14ac:dyDescent="0.3">
      <c r="A193" s="470">
        <v>366.3</v>
      </c>
      <c r="B193" s="8" t="s">
        <v>380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>
        <f t="shared" si="4"/>
        <v>0</v>
      </c>
      <c r="Q193" s="127" t="str">
        <f>LEFT(A193,3)</f>
        <v>366</v>
      </c>
    </row>
    <row r="194" spans="1:19" x14ac:dyDescent="0.3">
      <c r="A194" s="470">
        <v>367</v>
      </c>
      <c r="B194" s="8" t="s">
        <v>326</v>
      </c>
      <c r="C194" s="4">
        <v>1114673.6699999997</v>
      </c>
      <c r="D194" s="4">
        <v>1114673.6699999997</v>
      </c>
      <c r="E194" s="4">
        <v>1114673.6699999997</v>
      </c>
      <c r="F194" s="4">
        <v>1114673.6699999997</v>
      </c>
      <c r="G194" s="4">
        <v>1115001.0699999996</v>
      </c>
      <c r="H194" s="4">
        <v>1115001.0699999996</v>
      </c>
      <c r="I194" s="4">
        <v>1115001.0699999996</v>
      </c>
      <c r="J194" s="4">
        <v>1115001.0699999996</v>
      </c>
      <c r="K194" s="4">
        <v>1115001.0699999996</v>
      </c>
      <c r="L194" s="4">
        <v>1115001.0699999996</v>
      </c>
      <c r="M194" s="4">
        <v>1115001.0699999996</v>
      </c>
      <c r="N194" s="4">
        <v>1115001.0699999996</v>
      </c>
      <c r="O194" s="4">
        <v>1115001.0699999996</v>
      </c>
      <c r="P194" s="4">
        <f t="shared" si="4"/>
        <v>1114905.5783333329</v>
      </c>
      <c r="Q194" s="127">
        <f t="shared" ref="Q194:Q246" si="8">A194</f>
        <v>367</v>
      </c>
      <c r="R194" s="4">
        <f>+O194</f>
        <v>1115001.0699999996</v>
      </c>
      <c r="S194" s="4">
        <f>+P194</f>
        <v>1114905.5783333329</v>
      </c>
    </row>
    <row r="195" spans="1:19" x14ac:dyDescent="0.3">
      <c r="A195" s="470">
        <v>367.21</v>
      </c>
      <c r="B195" s="8" t="s">
        <v>393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>
        <f t="shared" si="4"/>
        <v>0</v>
      </c>
      <c r="Q195" s="127" t="str">
        <f t="shared" ref="Q195:Q200" si="9">LEFT(A195,5)</f>
        <v>367.2</v>
      </c>
      <c r="R195" s="4">
        <v>207835.4850379999</v>
      </c>
      <c r="S195" s="4">
        <v>207835.48503799996</v>
      </c>
    </row>
    <row r="196" spans="1:19" x14ac:dyDescent="0.3">
      <c r="A196" s="470">
        <v>367.22</v>
      </c>
      <c r="B196" s="8" t="s">
        <v>394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>
        <f t="shared" si="4"/>
        <v>0</v>
      </c>
      <c r="Q196" s="127" t="str">
        <f t="shared" si="9"/>
        <v>367.2</v>
      </c>
      <c r="R196" s="4">
        <v>1557713.3087999993</v>
      </c>
      <c r="S196" s="4">
        <v>1557713.3087999993</v>
      </c>
    </row>
    <row r="197" spans="1:19" x14ac:dyDescent="0.3">
      <c r="A197" s="470">
        <v>367.23</v>
      </c>
      <c r="B197" s="8" t="s">
        <v>394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>
        <f t="shared" si="4"/>
        <v>0</v>
      </c>
      <c r="Q197" s="127" t="str">
        <f t="shared" si="9"/>
        <v>367.2</v>
      </c>
      <c r="R197" s="4">
        <v>3634635.7697119983</v>
      </c>
      <c r="S197" s="4">
        <v>3634635.7697119992</v>
      </c>
    </row>
    <row r="198" spans="1:19" x14ac:dyDescent="0.3">
      <c r="A198" s="470">
        <v>367.24</v>
      </c>
      <c r="B198" s="8" t="s">
        <v>395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>
        <f t="shared" ref="P198:P261" si="10">(C198/2+O198/2+SUM(D198:N198))/12</f>
        <v>0</v>
      </c>
      <c r="Q198" s="127" t="str">
        <f t="shared" si="9"/>
        <v>367.2</v>
      </c>
      <c r="R198" s="4">
        <v>1819976.1529379995</v>
      </c>
      <c r="S198" s="4">
        <v>1819976.152937999</v>
      </c>
    </row>
    <row r="199" spans="1:19" x14ac:dyDescent="0.3">
      <c r="A199" s="470">
        <v>367.25</v>
      </c>
      <c r="B199" s="8" t="s">
        <v>396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>
        <f t="shared" si="10"/>
        <v>0</v>
      </c>
      <c r="Q199" s="127" t="str">
        <f t="shared" si="9"/>
        <v>367.2</v>
      </c>
      <c r="R199" s="4">
        <v>1939542.4498299991</v>
      </c>
      <c r="S199" s="4">
        <v>1939542.4498299996</v>
      </c>
    </row>
    <row r="200" spans="1:19" x14ac:dyDescent="0.3">
      <c r="A200" s="470">
        <v>367.26</v>
      </c>
      <c r="B200" s="8" t="s">
        <v>397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>
        <f t="shared" si="10"/>
        <v>0</v>
      </c>
      <c r="Q200" s="127" t="str">
        <f t="shared" si="9"/>
        <v>367.2</v>
      </c>
      <c r="R200" s="4">
        <v>3671244.7954359986</v>
      </c>
      <c r="S200" s="4">
        <v>3671244.795436</v>
      </c>
    </row>
    <row r="201" spans="1:19" x14ac:dyDescent="0.3">
      <c r="A201" s="470">
        <v>368</v>
      </c>
      <c r="B201" s="8" t="s">
        <v>398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>
        <f t="shared" si="10"/>
        <v>0</v>
      </c>
      <c r="Q201" s="127">
        <f t="shared" si="8"/>
        <v>368</v>
      </c>
    </row>
    <row r="202" spans="1:19" x14ac:dyDescent="0.3">
      <c r="A202" s="470">
        <v>369</v>
      </c>
      <c r="B202" s="8" t="s">
        <v>399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>
        <f t="shared" si="10"/>
        <v>0</v>
      </c>
      <c r="Q202" s="127">
        <f t="shared" si="8"/>
        <v>369</v>
      </c>
    </row>
    <row r="203" spans="1:19" x14ac:dyDescent="0.3">
      <c r="A203" s="470">
        <v>374.1</v>
      </c>
      <c r="B203" s="8" t="s">
        <v>327</v>
      </c>
      <c r="C203" s="4">
        <v>10389</v>
      </c>
      <c r="D203" s="4">
        <v>10389</v>
      </c>
      <c r="E203" s="4">
        <v>10389</v>
      </c>
      <c r="F203" s="4">
        <v>10389</v>
      </c>
      <c r="G203" s="4">
        <v>10389</v>
      </c>
      <c r="H203" s="4">
        <v>10389</v>
      </c>
      <c r="I203" s="4">
        <v>10389</v>
      </c>
      <c r="J203" s="4">
        <v>10389</v>
      </c>
      <c r="K203" s="4">
        <v>10389</v>
      </c>
      <c r="L203" s="4">
        <v>10389</v>
      </c>
      <c r="M203" s="4">
        <v>10389</v>
      </c>
      <c r="N203" s="4">
        <v>10389</v>
      </c>
      <c r="O203" s="4">
        <v>10389</v>
      </c>
      <c r="P203" s="4">
        <f t="shared" si="10"/>
        <v>10389</v>
      </c>
      <c r="Q203" s="127">
        <f t="shared" si="8"/>
        <v>374.1</v>
      </c>
      <c r="R203" s="4">
        <f t="shared" ref="R203:S223" si="11">+O203</f>
        <v>10389</v>
      </c>
      <c r="S203" s="4">
        <f t="shared" si="11"/>
        <v>10389</v>
      </c>
    </row>
    <row r="204" spans="1:19" x14ac:dyDescent="0.3">
      <c r="A204" s="470">
        <v>374.2</v>
      </c>
      <c r="B204" s="8" t="s">
        <v>328</v>
      </c>
      <c r="C204" s="4">
        <v>27679</v>
      </c>
      <c r="D204" s="4">
        <v>27679</v>
      </c>
      <c r="E204" s="4">
        <v>27679</v>
      </c>
      <c r="F204" s="4">
        <v>27679</v>
      </c>
      <c r="G204" s="4">
        <v>27679</v>
      </c>
      <c r="H204" s="4">
        <v>27679</v>
      </c>
      <c r="I204" s="4">
        <v>27679</v>
      </c>
      <c r="J204" s="4">
        <v>27679</v>
      </c>
      <c r="K204" s="4">
        <v>27679</v>
      </c>
      <c r="L204" s="4">
        <v>27679</v>
      </c>
      <c r="M204" s="4">
        <v>27679</v>
      </c>
      <c r="N204" s="4">
        <v>27679</v>
      </c>
      <c r="O204" s="4">
        <v>27679</v>
      </c>
      <c r="P204" s="4">
        <f t="shared" si="10"/>
        <v>27679</v>
      </c>
      <c r="Q204" s="127">
        <f t="shared" si="8"/>
        <v>374.2</v>
      </c>
      <c r="R204" s="4">
        <f t="shared" si="11"/>
        <v>27679</v>
      </c>
      <c r="S204" s="4">
        <f t="shared" si="11"/>
        <v>27679</v>
      </c>
    </row>
    <row r="205" spans="1:19" x14ac:dyDescent="0.3">
      <c r="A205" s="470">
        <v>375</v>
      </c>
      <c r="B205" s="8" t="s">
        <v>329</v>
      </c>
      <c r="C205" s="4">
        <v>1315574.47</v>
      </c>
      <c r="D205" s="4">
        <v>1367682.67</v>
      </c>
      <c r="E205" s="4">
        <v>1367754.25</v>
      </c>
      <c r="F205" s="4">
        <v>1368400.57</v>
      </c>
      <c r="G205" s="4">
        <v>1368400.57</v>
      </c>
      <c r="H205" s="4">
        <v>1368400.57</v>
      </c>
      <c r="I205" s="4">
        <v>1368400.57</v>
      </c>
      <c r="J205" s="4">
        <v>1368400.57</v>
      </c>
      <c r="K205" s="4">
        <v>1368400.57</v>
      </c>
      <c r="L205" s="4">
        <v>1368400.57</v>
      </c>
      <c r="M205" s="4">
        <v>1368400.57</v>
      </c>
      <c r="N205" s="4">
        <v>1368400.57</v>
      </c>
      <c r="O205" s="4">
        <v>1368400.57</v>
      </c>
      <c r="P205" s="4">
        <f t="shared" si="10"/>
        <v>1366085.7975000001</v>
      </c>
      <c r="Q205" s="127">
        <f t="shared" si="8"/>
        <v>375</v>
      </c>
      <c r="R205" s="4">
        <f t="shared" si="11"/>
        <v>1368400.57</v>
      </c>
      <c r="S205" s="4">
        <f t="shared" si="11"/>
        <v>1366085.7975000001</v>
      </c>
    </row>
    <row r="206" spans="1:19" x14ac:dyDescent="0.3">
      <c r="A206" s="470">
        <v>376.11</v>
      </c>
      <c r="B206" s="8" t="s">
        <v>330</v>
      </c>
      <c r="C206" s="4">
        <v>77944833.870000035</v>
      </c>
      <c r="D206" s="4">
        <v>78526566.230000034</v>
      </c>
      <c r="E206" s="4">
        <v>79177898.460000023</v>
      </c>
      <c r="F206" s="4">
        <v>79990366.75000003</v>
      </c>
      <c r="G206" s="4">
        <v>80474219.080000028</v>
      </c>
      <c r="H206" s="4">
        <v>80554718.030000031</v>
      </c>
      <c r="I206" s="4">
        <v>81270449.550000027</v>
      </c>
      <c r="J206" s="4">
        <v>81534620.400000021</v>
      </c>
      <c r="K206" s="4">
        <v>82752802.300000027</v>
      </c>
      <c r="L206" s="4">
        <v>83193884.040000021</v>
      </c>
      <c r="M206" s="4">
        <v>83338336.210000023</v>
      </c>
      <c r="N206" s="4">
        <v>84033947.240000024</v>
      </c>
      <c r="O206" s="4">
        <v>84359720.410000026</v>
      </c>
      <c r="P206" s="4">
        <f t="shared" si="10"/>
        <v>81333340.452500015</v>
      </c>
      <c r="Q206" s="127">
        <f t="shared" si="8"/>
        <v>376.11</v>
      </c>
      <c r="R206" s="4">
        <f t="shared" si="11"/>
        <v>84359720.410000026</v>
      </c>
      <c r="S206" s="4">
        <f t="shared" si="11"/>
        <v>81333340.452500015</v>
      </c>
    </row>
    <row r="207" spans="1:19" x14ac:dyDescent="0.3">
      <c r="A207" s="470">
        <v>376.12</v>
      </c>
      <c r="B207" s="8" t="s">
        <v>331</v>
      </c>
      <c r="C207" s="4">
        <v>83750040.650000006</v>
      </c>
      <c r="D207" s="4">
        <v>84018181.810000002</v>
      </c>
      <c r="E207" s="4">
        <v>85700268.25</v>
      </c>
      <c r="F207" s="4">
        <v>87318970.519999996</v>
      </c>
      <c r="G207" s="4">
        <v>87423747.179999992</v>
      </c>
      <c r="H207" s="4">
        <v>87458856.419999987</v>
      </c>
      <c r="I207" s="4">
        <v>87916701.459999993</v>
      </c>
      <c r="J207" s="4">
        <v>88433930.629999995</v>
      </c>
      <c r="K207" s="4">
        <v>88590981.049999997</v>
      </c>
      <c r="L207" s="4">
        <v>91117381.420000002</v>
      </c>
      <c r="M207" s="4">
        <v>90656983.659999996</v>
      </c>
      <c r="N207" s="4">
        <v>91091829.280000001</v>
      </c>
      <c r="O207" s="4">
        <v>91434719.099999994</v>
      </c>
      <c r="P207" s="4">
        <f t="shared" si="10"/>
        <v>88110017.629583314</v>
      </c>
      <c r="Q207" s="127">
        <f t="shared" si="8"/>
        <v>376.12</v>
      </c>
      <c r="R207" s="4">
        <f t="shared" si="11"/>
        <v>91434719.099999994</v>
      </c>
      <c r="S207" s="4">
        <f t="shared" si="11"/>
        <v>88110017.629583314</v>
      </c>
    </row>
    <row r="208" spans="1:19" x14ac:dyDescent="0.3">
      <c r="A208" s="470">
        <v>377</v>
      </c>
      <c r="B208" s="8" t="s">
        <v>373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>
        <f t="shared" si="10"/>
        <v>0</v>
      </c>
      <c r="Q208" s="127">
        <f t="shared" si="8"/>
        <v>377</v>
      </c>
      <c r="R208" s="4">
        <f t="shared" si="11"/>
        <v>0</v>
      </c>
      <c r="S208" s="4">
        <f t="shared" si="11"/>
        <v>0</v>
      </c>
    </row>
    <row r="209" spans="1:19" x14ac:dyDescent="0.3">
      <c r="A209" s="470">
        <v>378</v>
      </c>
      <c r="B209" s="8" t="s">
        <v>332</v>
      </c>
      <c r="C209" s="4">
        <v>2230882.1200000006</v>
      </c>
      <c r="D209" s="4">
        <v>2230882.1200000006</v>
      </c>
      <c r="E209" s="4">
        <v>2232425.5400000005</v>
      </c>
      <c r="F209" s="4">
        <v>2232754.5200000005</v>
      </c>
      <c r="G209" s="4">
        <v>2240631.2700000005</v>
      </c>
      <c r="H209" s="4">
        <v>2240631.2700000005</v>
      </c>
      <c r="I209" s="4">
        <v>2993408.8600000003</v>
      </c>
      <c r="J209" s="4">
        <v>3018849.5700000003</v>
      </c>
      <c r="K209" s="4">
        <v>3056215.7100000004</v>
      </c>
      <c r="L209" s="4">
        <v>3073355.4600000004</v>
      </c>
      <c r="M209" s="4">
        <v>3075693.9200000004</v>
      </c>
      <c r="N209" s="4">
        <v>3093889.6300000004</v>
      </c>
      <c r="O209" s="4">
        <v>3100651.5400000005</v>
      </c>
      <c r="P209" s="4">
        <f t="shared" si="10"/>
        <v>2679542.058333334</v>
      </c>
      <c r="Q209" s="127">
        <f t="shared" si="8"/>
        <v>378</v>
      </c>
      <c r="R209" s="4">
        <f t="shared" si="11"/>
        <v>3100651.5400000005</v>
      </c>
      <c r="S209" s="4">
        <f t="shared" si="11"/>
        <v>2679542.058333334</v>
      </c>
    </row>
    <row r="210" spans="1:19" x14ac:dyDescent="0.3">
      <c r="A210" s="470">
        <v>379</v>
      </c>
      <c r="B210" s="8" t="s">
        <v>333</v>
      </c>
      <c r="C210" s="4">
        <v>1237449.3900000001</v>
      </c>
      <c r="D210" s="4">
        <v>1237116.8600000001</v>
      </c>
      <c r="E210" s="4">
        <v>1251154.8600000001</v>
      </c>
      <c r="F210" s="4">
        <v>1252373.58</v>
      </c>
      <c r="G210" s="4">
        <v>1252483.8600000001</v>
      </c>
      <c r="H210" s="4">
        <v>1252483.8600000001</v>
      </c>
      <c r="I210" s="4">
        <v>1252483.8600000001</v>
      </c>
      <c r="J210" s="4">
        <v>1270470.33</v>
      </c>
      <c r="K210" s="4">
        <v>1270470.33</v>
      </c>
      <c r="L210" s="4">
        <v>1270470.33</v>
      </c>
      <c r="M210" s="4">
        <v>1310031.6100000001</v>
      </c>
      <c r="N210" s="4">
        <v>1310322.52</v>
      </c>
      <c r="O210" s="4">
        <v>1425376.1300000001</v>
      </c>
      <c r="P210" s="4">
        <f t="shared" si="10"/>
        <v>1271772.8966666667</v>
      </c>
      <c r="Q210" s="127">
        <f t="shared" si="8"/>
        <v>379</v>
      </c>
      <c r="R210" s="4">
        <f t="shared" si="11"/>
        <v>1425376.1300000001</v>
      </c>
      <c r="S210" s="4">
        <f t="shared" si="11"/>
        <v>1271772.8966666667</v>
      </c>
    </row>
    <row r="211" spans="1:19" x14ac:dyDescent="0.3">
      <c r="A211" s="470">
        <v>380</v>
      </c>
      <c r="B211" s="8" t="s">
        <v>334</v>
      </c>
      <c r="C211" s="4">
        <v>69430243.859999985</v>
      </c>
      <c r="D211" s="4">
        <v>69916238.729999989</v>
      </c>
      <c r="E211" s="4">
        <v>70195994.00999999</v>
      </c>
      <c r="F211" s="4">
        <v>70855854.979999989</v>
      </c>
      <c r="G211" s="4">
        <v>71102356.819999978</v>
      </c>
      <c r="H211" s="4">
        <v>71360011.069999978</v>
      </c>
      <c r="I211" s="4">
        <v>71730879.809999973</v>
      </c>
      <c r="J211" s="4">
        <v>71980146.869999975</v>
      </c>
      <c r="K211" s="4">
        <v>72302303.99999997</v>
      </c>
      <c r="L211" s="4">
        <v>72644223.029999971</v>
      </c>
      <c r="M211" s="4">
        <v>72847454.629999965</v>
      </c>
      <c r="N211" s="4">
        <v>73554019.409999967</v>
      </c>
      <c r="O211" s="4">
        <v>74054446.969999969</v>
      </c>
      <c r="P211" s="4">
        <f t="shared" si="10"/>
        <v>71685985.731249988</v>
      </c>
      <c r="Q211" s="127">
        <f t="shared" si="8"/>
        <v>380</v>
      </c>
      <c r="R211" s="4">
        <f t="shared" si="11"/>
        <v>74054446.969999969</v>
      </c>
      <c r="S211" s="4">
        <f t="shared" si="11"/>
        <v>71685985.731249988</v>
      </c>
    </row>
    <row r="212" spans="1:19" x14ac:dyDescent="0.3">
      <c r="A212" s="470">
        <v>381</v>
      </c>
      <c r="B212" s="8" t="s">
        <v>335</v>
      </c>
      <c r="C212" s="4">
        <v>10596526.980000004</v>
      </c>
      <c r="D212" s="4">
        <v>10655588.170000006</v>
      </c>
      <c r="E212" s="4">
        <v>10691299.770000005</v>
      </c>
      <c r="F212" s="4">
        <v>10556247.290000003</v>
      </c>
      <c r="G212" s="4">
        <v>10671032.020000001</v>
      </c>
      <c r="H212" s="4">
        <v>10675914.870000001</v>
      </c>
      <c r="I212" s="4">
        <v>10887876.000000002</v>
      </c>
      <c r="J212" s="4">
        <v>10883246.400000002</v>
      </c>
      <c r="K212" s="4">
        <v>11016706.190000003</v>
      </c>
      <c r="L212" s="4">
        <v>10999382.790000003</v>
      </c>
      <c r="M212" s="4">
        <v>11015773.750000004</v>
      </c>
      <c r="N212" s="4">
        <v>11054321.550000004</v>
      </c>
      <c r="O212" s="4">
        <v>11057971.850000005</v>
      </c>
      <c r="P212" s="4">
        <f t="shared" si="10"/>
        <v>10827886.51791667</v>
      </c>
      <c r="Q212" s="127">
        <f t="shared" si="8"/>
        <v>381</v>
      </c>
      <c r="R212" s="4">
        <f t="shared" si="11"/>
        <v>11057971.850000005</v>
      </c>
      <c r="S212" s="4">
        <f t="shared" si="11"/>
        <v>10827886.51791667</v>
      </c>
    </row>
    <row r="213" spans="1:19" x14ac:dyDescent="0.3">
      <c r="A213" s="470">
        <v>381.1</v>
      </c>
      <c r="B213" s="8" t="s">
        <v>401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>
        <f t="shared" si="10"/>
        <v>0</v>
      </c>
      <c r="Q213" s="127">
        <f t="shared" si="8"/>
        <v>381.1</v>
      </c>
      <c r="R213" s="4">
        <f t="shared" si="11"/>
        <v>0</v>
      </c>
      <c r="S213" s="4">
        <f t="shared" si="11"/>
        <v>0</v>
      </c>
    </row>
    <row r="214" spans="1:19" x14ac:dyDescent="0.3">
      <c r="A214" s="470">
        <v>381.2</v>
      </c>
      <c r="B214" s="8" t="s">
        <v>336</v>
      </c>
      <c r="C214" s="4">
        <v>6602036.2999999989</v>
      </c>
      <c r="D214" s="4">
        <v>6598983.669999999</v>
      </c>
      <c r="E214" s="4">
        <v>6676599.3999999994</v>
      </c>
      <c r="F214" s="4">
        <v>6816621.6499999994</v>
      </c>
      <c r="G214" s="4">
        <v>6802879.2599999988</v>
      </c>
      <c r="H214" s="4">
        <v>6808526.6999999993</v>
      </c>
      <c r="I214" s="4">
        <v>6886167.3699999992</v>
      </c>
      <c r="J214" s="4">
        <v>6867878.2799999993</v>
      </c>
      <c r="K214" s="4">
        <v>6863634.0099999998</v>
      </c>
      <c r="L214" s="4">
        <v>6885471.1400000006</v>
      </c>
      <c r="M214" s="4">
        <v>6984904.8100000015</v>
      </c>
      <c r="N214" s="4">
        <v>6998143.0000000019</v>
      </c>
      <c r="O214" s="4">
        <v>7028460.2500000019</v>
      </c>
      <c r="P214" s="4">
        <f t="shared" si="10"/>
        <v>6833754.7970833331</v>
      </c>
      <c r="Q214" s="127">
        <f t="shared" si="8"/>
        <v>381.2</v>
      </c>
      <c r="R214" s="4">
        <f t="shared" si="11"/>
        <v>7028460.2500000019</v>
      </c>
      <c r="S214" s="4">
        <f t="shared" si="11"/>
        <v>6833754.7970833331</v>
      </c>
    </row>
    <row r="215" spans="1:19" x14ac:dyDescent="0.3">
      <c r="A215" s="470">
        <v>382</v>
      </c>
      <c r="B215" s="8" t="s">
        <v>337</v>
      </c>
      <c r="C215" s="4">
        <v>6172323.9800000004</v>
      </c>
      <c r="D215" s="4">
        <v>6165444.3000000007</v>
      </c>
      <c r="E215" s="4">
        <v>6158226.0600000005</v>
      </c>
      <c r="F215" s="4">
        <v>6220768.3200000003</v>
      </c>
      <c r="G215" s="4">
        <v>6213631.9500000002</v>
      </c>
      <c r="H215" s="4">
        <v>6189400.5300000003</v>
      </c>
      <c r="I215" s="4">
        <v>6261891.8099999996</v>
      </c>
      <c r="J215" s="4">
        <v>6239070.6799999997</v>
      </c>
      <c r="K215" s="4">
        <v>6206812.7299999995</v>
      </c>
      <c r="L215" s="4">
        <v>6272312.9699999997</v>
      </c>
      <c r="M215" s="4">
        <v>6258443.6699999999</v>
      </c>
      <c r="N215" s="4">
        <v>6235293.6200000001</v>
      </c>
      <c r="O215" s="4">
        <v>6325224.7300000004</v>
      </c>
      <c r="P215" s="4">
        <f t="shared" si="10"/>
        <v>6222505.9162500007</v>
      </c>
      <c r="Q215" s="127">
        <f t="shared" si="8"/>
        <v>382</v>
      </c>
      <c r="R215" s="4">
        <f t="shared" si="11"/>
        <v>6325224.7300000004</v>
      </c>
      <c r="S215" s="4">
        <f t="shared" si="11"/>
        <v>6222505.9162500007</v>
      </c>
    </row>
    <row r="216" spans="1:19" x14ac:dyDescent="0.3">
      <c r="A216" s="470">
        <v>382.1</v>
      </c>
      <c r="B216" s="8" t="s">
        <v>402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>
        <f t="shared" si="10"/>
        <v>0</v>
      </c>
      <c r="Q216" s="127">
        <f t="shared" si="8"/>
        <v>382.1</v>
      </c>
      <c r="R216" s="4">
        <f t="shared" si="11"/>
        <v>0</v>
      </c>
      <c r="S216" s="4">
        <f t="shared" si="11"/>
        <v>0</v>
      </c>
    </row>
    <row r="217" spans="1:19" x14ac:dyDescent="0.3">
      <c r="A217" s="470">
        <v>382.2</v>
      </c>
      <c r="B217" s="8" t="s">
        <v>338</v>
      </c>
      <c r="C217" s="4">
        <v>935066.50000000023</v>
      </c>
      <c r="D217" s="4">
        <v>934710.64000000025</v>
      </c>
      <c r="E217" s="4">
        <v>934422.89000000025</v>
      </c>
      <c r="F217" s="4">
        <v>934103.2200000002</v>
      </c>
      <c r="G217" s="4">
        <v>933767.2200000002</v>
      </c>
      <c r="H217" s="4">
        <v>933177.12000000023</v>
      </c>
      <c r="I217" s="4">
        <v>932705.89000000025</v>
      </c>
      <c r="J217" s="4">
        <v>931551.58000000019</v>
      </c>
      <c r="K217" s="4">
        <v>930698.8400000002</v>
      </c>
      <c r="L217" s="4">
        <v>929517.12000000023</v>
      </c>
      <c r="M217" s="4">
        <v>928982.06000000017</v>
      </c>
      <c r="N217" s="4">
        <v>928355.77000000014</v>
      </c>
      <c r="O217" s="4">
        <v>928126.58000000019</v>
      </c>
      <c r="P217" s="4">
        <f t="shared" si="10"/>
        <v>931965.74083333369</v>
      </c>
      <c r="Q217" s="127">
        <f t="shared" si="8"/>
        <v>382.2</v>
      </c>
      <c r="R217" s="4">
        <f t="shared" si="11"/>
        <v>928126.58000000019</v>
      </c>
      <c r="S217" s="4">
        <f t="shared" si="11"/>
        <v>931965.74083333369</v>
      </c>
    </row>
    <row r="218" spans="1:19" x14ac:dyDescent="0.3">
      <c r="A218" s="470">
        <v>383</v>
      </c>
      <c r="B218" s="8" t="s">
        <v>339</v>
      </c>
      <c r="C218" s="4">
        <v>51040.810000000005</v>
      </c>
      <c r="D218" s="4">
        <v>62773.97</v>
      </c>
      <c r="E218" s="4">
        <v>62736.67</v>
      </c>
      <c r="F218" s="4">
        <v>74224</v>
      </c>
      <c r="G218" s="4">
        <v>98650.18</v>
      </c>
      <c r="H218" s="4">
        <v>98650.18</v>
      </c>
      <c r="I218" s="4">
        <v>99010.37</v>
      </c>
      <c r="J218" s="4">
        <v>111035.37</v>
      </c>
      <c r="K218" s="4">
        <v>111035.37</v>
      </c>
      <c r="L218" s="4">
        <v>111035.37</v>
      </c>
      <c r="M218" s="4">
        <v>111035.37</v>
      </c>
      <c r="N218" s="4">
        <v>143938.94</v>
      </c>
      <c r="O218" s="4">
        <v>150152.43</v>
      </c>
      <c r="P218" s="4">
        <f t="shared" si="10"/>
        <v>98726.867500000008</v>
      </c>
      <c r="Q218" s="127">
        <f t="shared" si="8"/>
        <v>383</v>
      </c>
      <c r="R218" s="4">
        <f t="shared" si="11"/>
        <v>150152.43</v>
      </c>
      <c r="S218" s="4">
        <f t="shared" si="11"/>
        <v>98726.867500000008</v>
      </c>
    </row>
    <row r="219" spans="1:19" x14ac:dyDescent="0.3">
      <c r="A219" s="470">
        <v>386</v>
      </c>
      <c r="B219" s="8" t="s">
        <v>403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>
        <f t="shared" si="10"/>
        <v>0</v>
      </c>
      <c r="Q219" s="127">
        <f t="shared" si="8"/>
        <v>386</v>
      </c>
      <c r="R219" s="4">
        <f t="shared" si="11"/>
        <v>0</v>
      </c>
      <c r="S219" s="4">
        <f t="shared" si="11"/>
        <v>0</v>
      </c>
    </row>
    <row r="220" spans="1:19" x14ac:dyDescent="0.3">
      <c r="A220" s="470">
        <v>386.1</v>
      </c>
      <c r="B220" s="8" t="s">
        <v>1914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>
        <f t="shared" si="10"/>
        <v>0</v>
      </c>
      <c r="Q220" s="127">
        <f t="shared" si="8"/>
        <v>386.1</v>
      </c>
      <c r="R220" s="4">
        <f t="shared" si="11"/>
        <v>0</v>
      </c>
      <c r="S220" s="4">
        <f t="shared" si="11"/>
        <v>0</v>
      </c>
    </row>
    <row r="221" spans="1:19" x14ac:dyDescent="0.3">
      <c r="A221" s="470">
        <v>387.1</v>
      </c>
      <c r="B221" s="8" t="s">
        <v>404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>
        <f t="shared" si="10"/>
        <v>0</v>
      </c>
      <c r="Q221" s="127">
        <f t="shared" si="8"/>
        <v>387.1</v>
      </c>
      <c r="R221" s="4">
        <f t="shared" si="11"/>
        <v>0</v>
      </c>
      <c r="S221" s="4">
        <f t="shared" si="11"/>
        <v>0</v>
      </c>
    </row>
    <row r="222" spans="1:19" x14ac:dyDescent="0.3">
      <c r="A222" s="470">
        <v>387.2</v>
      </c>
      <c r="B222" s="8" t="s">
        <v>340</v>
      </c>
      <c r="C222" s="4">
        <v>26630</v>
      </c>
      <c r="D222" s="4">
        <v>26630</v>
      </c>
      <c r="E222" s="4">
        <v>26630</v>
      </c>
      <c r="F222" s="4">
        <v>26630</v>
      </c>
      <c r="G222" s="4">
        <v>26630</v>
      </c>
      <c r="H222" s="4">
        <v>26630</v>
      </c>
      <c r="I222" s="4">
        <v>26630</v>
      </c>
      <c r="J222" s="4">
        <v>26630</v>
      </c>
      <c r="K222" s="4">
        <v>26630</v>
      </c>
      <c r="L222" s="4">
        <v>26630</v>
      </c>
      <c r="M222" s="4">
        <v>26630</v>
      </c>
      <c r="N222" s="4">
        <v>26630</v>
      </c>
      <c r="O222" s="4">
        <v>26630</v>
      </c>
      <c r="P222" s="4">
        <f t="shared" si="10"/>
        <v>26630</v>
      </c>
      <c r="Q222" s="127">
        <f t="shared" si="8"/>
        <v>387.2</v>
      </c>
      <c r="R222" s="4">
        <f t="shared" si="11"/>
        <v>26630</v>
      </c>
      <c r="S222" s="4">
        <f t="shared" si="11"/>
        <v>26630</v>
      </c>
    </row>
    <row r="223" spans="1:19" x14ac:dyDescent="0.3">
      <c r="A223" s="470">
        <v>387.3</v>
      </c>
      <c r="B223" s="8" t="s">
        <v>405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>
        <f t="shared" si="10"/>
        <v>0</v>
      </c>
      <c r="Q223" s="127">
        <f t="shared" si="8"/>
        <v>387.3</v>
      </c>
      <c r="R223" s="4">
        <f t="shared" si="11"/>
        <v>0</v>
      </c>
      <c r="S223" s="4">
        <f t="shared" si="11"/>
        <v>0</v>
      </c>
    </row>
    <row r="224" spans="1:19" x14ac:dyDescent="0.3">
      <c r="A224" s="470">
        <v>389</v>
      </c>
      <c r="B224" s="8" t="s">
        <v>327</v>
      </c>
      <c r="C224" s="4">
        <v>1158649.52</v>
      </c>
      <c r="D224" s="4">
        <v>1158649.52</v>
      </c>
      <c r="E224" s="4">
        <v>1158649.52</v>
      </c>
      <c r="F224" s="4">
        <v>1158649.52</v>
      </c>
      <c r="G224" s="4">
        <v>1158649.52</v>
      </c>
      <c r="H224" s="4">
        <v>1158649.52</v>
      </c>
      <c r="I224" s="4">
        <v>1158649.52</v>
      </c>
      <c r="J224" s="4">
        <v>1158649.52</v>
      </c>
      <c r="K224" s="4">
        <v>1158649.52</v>
      </c>
      <c r="L224" s="4">
        <v>1158649.52</v>
      </c>
      <c r="M224" s="4">
        <v>1158649.52</v>
      </c>
      <c r="N224" s="4">
        <v>1158649.52</v>
      </c>
      <c r="O224" s="4">
        <v>1158649.52</v>
      </c>
      <c r="P224" s="4">
        <f t="shared" si="10"/>
        <v>1158649.5199999998</v>
      </c>
      <c r="Q224" s="127">
        <f t="shared" si="8"/>
        <v>389</v>
      </c>
      <c r="R224" s="4">
        <v>1971164.4959887217</v>
      </c>
      <c r="S224" s="4">
        <v>1971164.4959887213</v>
      </c>
    </row>
    <row r="225" spans="1:19" x14ac:dyDescent="0.3">
      <c r="A225" s="470">
        <v>390</v>
      </c>
      <c r="B225" s="8" t="s">
        <v>329</v>
      </c>
      <c r="C225" s="4">
        <v>1575582.1800000002</v>
      </c>
      <c r="D225" s="4">
        <v>1575582.1800000002</v>
      </c>
      <c r="E225" s="4">
        <v>1575582.1800000002</v>
      </c>
      <c r="F225" s="4">
        <v>1582254.3800000001</v>
      </c>
      <c r="G225" s="4">
        <v>1582254.3800000001</v>
      </c>
      <c r="H225" s="4">
        <v>1582254.3800000001</v>
      </c>
      <c r="I225" s="4">
        <v>1582254.3800000001</v>
      </c>
      <c r="J225" s="4">
        <v>1582254.3800000001</v>
      </c>
      <c r="K225" s="4">
        <v>1582254.3800000001</v>
      </c>
      <c r="L225" s="4">
        <v>1582254.3800000001</v>
      </c>
      <c r="M225" s="4">
        <v>1582254.3800000001</v>
      </c>
      <c r="N225" s="4">
        <v>1582254.3800000001</v>
      </c>
      <c r="O225" s="4">
        <v>1582254.3800000001</v>
      </c>
      <c r="P225" s="4">
        <f t="shared" si="10"/>
        <v>1580864.3383333338</v>
      </c>
      <c r="Q225" s="127">
        <f t="shared" si="8"/>
        <v>390</v>
      </c>
      <c r="R225" s="4">
        <v>5507609.9406934511</v>
      </c>
      <c r="S225" s="4">
        <v>5493291.2845561504</v>
      </c>
    </row>
    <row r="226" spans="1:19" x14ac:dyDescent="0.3">
      <c r="A226" s="470">
        <v>390.1</v>
      </c>
      <c r="B226" s="8" t="s">
        <v>341</v>
      </c>
      <c r="C226" s="4">
        <v>682539.07</v>
      </c>
      <c r="D226" s="4">
        <v>682539.07</v>
      </c>
      <c r="E226" s="4">
        <v>690233.54999999993</v>
      </c>
      <c r="F226" s="4">
        <v>690547.86999999988</v>
      </c>
      <c r="G226" s="4">
        <v>690673.05999999982</v>
      </c>
      <c r="H226" s="4">
        <v>690669.87999999977</v>
      </c>
      <c r="I226" s="4">
        <v>690669.87999999977</v>
      </c>
      <c r="J226" s="4">
        <v>690669.87999999977</v>
      </c>
      <c r="K226" s="4">
        <v>690669.87999999977</v>
      </c>
      <c r="L226" s="4">
        <v>690669.87999999977</v>
      </c>
      <c r="M226" s="4">
        <v>690669.87999999977</v>
      </c>
      <c r="N226" s="4">
        <v>690669.87999999977</v>
      </c>
      <c r="O226" s="4">
        <v>690669.87999999977</v>
      </c>
      <c r="P226" s="4">
        <f t="shared" si="10"/>
        <v>689607.26541666652</v>
      </c>
      <c r="Q226" s="127">
        <f t="shared" si="8"/>
        <v>390.1</v>
      </c>
      <c r="R226" s="4">
        <v>2163677.6087959995</v>
      </c>
      <c r="S226" s="4">
        <v>2160089.6756152906</v>
      </c>
    </row>
    <row r="227" spans="1:19" x14ac:dyDescent="0.3">
      <c r="A227" s="470">
        <v>391.1</v>
      </c>
      <c r="B227" s="8" t="s">
        <v>342</v>
      </c>
      <c r="C227" s="4">
        <v>16521.82</v>
      </c>
      <c r="D227" s="4">
        <v>16521.82</v>
      </c>
      <c r="E227" s="4">
        <v>16521.82</v>
      </c>
      <c r="F227" s="4">
        <v>16521.82</v>
      </c>
      <c r="G227" s="4">
        <v>16521.82</v>
      </c>
      <c r="H227" s="4">
        <v>16521.82</v>
      </c>
      <c r="I227" s="4">
        <v>16521.82</v>
      </c>
      <c r="J227" s="4">
        <v>16521.82</v>
      </c>
      <c r="K227" s="4">
        <v>16521.82</v>
      </c>
      <c r="L227" s="4">
        <v>16521.82</v>
      </c>
      <c r="M227" s="4">
        <v>16521.82</v>
      </c>
      <c r="N227" s="4">
        <v>16521.82</v>
      </c>
      <c r="O227" s="4">
        <v>16521.82</v>
      </c>
      <c r="P227" s="4">
        <f t="shared" si="10"/>
        <v>16521.820000000003</v>
      </c>
      <c r="Q227" s="127">
        <f t="shared" si="8"/>
        <v>391.1</v>
      </c>
      <c r="R227" s="4">
        <v>1293234.6381450002</v>
      </c>
      <c r="S227" s="4">
        <v>1282339.785248667</v>
      </c>
    </row>
    <row r="228" spans="1:19" x14ac:dyDescent="0.3">
      <c r="A228" s="470">
        <v>391.2</v>
      </c>
      <c r="B228" s="8" t="s">
        <v>406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>
        <f t="shared" si="10"/>
        <v>0</v>
      </c>
      <c r="Q228" s="127">
        <f t="shared" si="8"/>
        <v>391.2</v>
      </c>
      <c r="R228" s="4">
        <v>3669385.1004950008</v>
      </c>
      <c r="S228" s="4">
        <v>3166736.4392250846</v>
      </c>
    </row>
    <row r="229" spans="1:19" x14ac:dyDescent="0.3">
      <c r="A229" s="470">
        <v>392</v>
      </c>
      <c r="B229" s="8" t="s">
        <v>343</v>
      </c>
      <c r="C229" s="4">
        <v>574843.04</v>
      </c>
      <c r="D229" s="4">
        <v>574843.04</v>
      </c>
      <c r="E229" s="4">
        <v>574843.04</v>
      </c>
      <c r="F229" s="4">
        <v>574843.04</v>
      </c>
      <c r="G229" s="4">
        <v>574843.04</v>
      </c>
      <c r="H229" s="4">
        <v>574843.04</v>
      </c>
      <c r="I229" s="4">
        <v>574843.04</v>
      </c>
      <c r="J229" s="4">
        <v>574843.04</v>
      </c>
      <c r="K229" s="4">
        <v>574843.04</v>
      </c>
      <c r="L229" s="4">
        <v>574843.04</v>
      </c>
      <c r="M229" s="4">
        <v>574843.04</v>
      </c>
      <c r="N229" s="4">
        <v>574843.04</v>
      </c>
      <c r="O229" s="4">
        <v>574843.04</v>
      </c>
      <c r="P229" s="4">
        <f t="shared" si="10"/>
        <v>574843.04</v>
      </c>
      <c r="Q229" s="127">
        <f t="shared" si="8"/>
        <v>392</v>
      </c>
      <c r="R229" s="4">
        <v>4930739.4548530001</v>
      </c>
      <c r="S229" s="4">
        <v>4794966.0063208742</v>
      </c>
    </row>
    <row r="230" spans="1:19" x14ac:dyDescent="0.3">
      <c r="A230" s="470">
        <v>393</v>
      </c>
      <c r="B230" s="8" t="s">
        <v>408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>
        <f t="shared" si="10"/>
        <v>0</v>
      </c>
      <c r="Q230" s="127">
        <f t="shared" si="8"/>
        <v>393</v>
      </c>
      <c r="R230" s="4">
        <v>13385.412599999998</v>
      </c>
      <c r="S230" s="4">
        <v>13385.412599999998</v>
      </c>
    </row>
    <row r="231" spans="1:19" x14ac:dyDescent="0.3">
      <c r="A231" s="470">
        <v>394</v>
      </c>
      <c r="B231" s="8" t="s">
        <v>344</v>
      </c>
      <c r="C231" s="4">
        <v>88278.19</v>
      </c>
      <c r="D231" s="4">
        <v>88278.19</v>
      </c>
      <c r="E231" s="4">
        <v>88278.19</v>
      </c>
      <c r="F231" s="4">
        <v>88278.19</v>
      </c>
      <c r="G231" s="4">
        <v>88278.19</v>
      </c>
      <c r="H231" s="4">
        <v>88278.19</v>
      </c>
      <c r="I231" s="4">
        <v>88278.19</v>
      </c>
      <c r="J231" s="4">
        <v>88278.19</v>
      </c>
      <c r="K231" s="4">
        <v>88278.19</v>
      </c>
      <c r="L231" s="4">
        <v>88278.19</v>
      </c>
      <c r="M231" s="4">
        <v>88278.19</v>
      </c>
      <c r="N231" s="4">
        <v>88278.19</v>
      </c>
      <c r="O231" s="4">
        <v>88278.19</v>
      </c>
      <c r="P231" s="4">
        <f t="shared" si="10"/>
        <v>88278.189999999988</v>
      </c>
      <c r="Q231" s="127">
        <f t="shared" si="8"/>
        <v>394</v>
      </c>
      <c r="R231" s="4">
        <v>1435930.0709669988</v>
      </c>
      <c r="S231" s="4">
        <v>1362359.4938093738</v>
      </c>
    </row>
    <row r="232" spans="1:19" x14ac:dyDescent="0.3">
      <c r="A232" s="470">
        <v>395</v>
      </c>
      <c r="B232" s="8" t="s">
        <v>409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>
        <f t="shared" si="10"/>
        <v>0</v>
      </c>
      <c r="Q232" s="127">
        <f t="shared" si="8"/>
        <v>395</v>
      </c>
      <c r="R232" s="4">
        <v>7655.6452999999983</v>
      </c>
      <c r="S232" s="4">
        <v>7655.6452999999983</v>
      </c>
    </row>
    <row r="233" spans="1:19" x14ac:dyDescent="0.3">
      <c r="A233" s="470">
        <v>396</v>
      </c>
      <c r="B233" s="8" t="s">
        <v>345</v>
      </c>
      <c r="C233" s="4">
        <v>228757.27000000002</v>
      </c>
      <c r="D233" s="4">
        <v>228757.27000000002</v>
      </c>
      <c r="E233" s="4">
        <v>228757.27000000002</v>
      </c>
      <c r="F233" s="4">
        <v>228757.27000000002</v>
      </c>
      <c r="G233" s="4">
        <v>228757.27000000002</v>
      </c>
      <c r="H233" s="4">
        <v>228757.27000000002</v>
      </c>
      <c r="I233" s="4">
        <v>228757.27000000002</v>
      </c>
      <c r="J233" s="4">
        <v>228757.27000000002</v>
      </c>
      <c r="K233" s="4">
        <v>216654.44000000003</v>
      </c>
      <c r="L233" s="4">
        <v>216654.44000000003</v>
      </c>
      <c r="M233" s="4">
        <v>216654.44000000003</v>
      </c>
      <c r="N233" s="4">
        <v>216654.44000000003</v>
      </c>
      <c r="O233" s="4">
        <v>216654.44000000003</v>
      </c>
      <c r="P233" s="4">
        <f t="shared" si="10"/>
        <v>224218.70874999999</v>
      </c>
      <c r="Q233" s="127">
        <f t="shared" si="8"/>
        <v>396</v>
      </c>
      <c r="R233" s="4">
        <v>1246492.2921770001</v>
      </c>
      <c r="S233" s="4">
        <v>1173342.5692468749</v>
      </c>
    </row>
    <row r="234" spans="1:19" x14ac:dyDescent="0.3">
      <c r="A234" s="470">
        <v>397</v>
      </c>
      <c r="B234" s="8" t="s">
        <v>410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>
        <f t="shared" si="10"/>
        <v>0</v>
      </c>
      <c r="Q234" s="127" t="str">
        <f t="shared" ref="Q234:Q245" si="12">LEFT(A234,3)</f>
        <v>397</v>
      </c>
      <c r="R234" s="4">
        <v>9900.9219829999984</v>
      </c>
      <c r="S234" s="4">
        <v>9900.9219829999984</v>
      </c>
    </row>
    <row r="235" spans="1:19" x14ac:dyDescent="0.3">
      <c r="A235" s="470">
        <v>397.1</v>
      </c>
      <c r="B235" s="8" t="s">
        <v>411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>
        <f t="shared" si="10"/>
        <v>0</v>
      </c>
      <c r="Q235" s="127" t="str">
        <f t="shared" si="12"/>
        <v>397</v>
      </c>
      <c r="R235" s="4">
        <v>59411.96755899999</v>
      </c>
      <c r="S235" s="4">
        <v>57625.488150999998</v>
      </c>
    </row>
    <row r="236" spans="1:19" x14ac:dyDescent="0.3">
      <c r="A236" s="470">
        <v>397.2</v>
      </c>
      <c r="B236" s="8" t="s">
        <v>412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>
        <f t="shared" si="10"/>
        <v>0</v>
      </c>
      <c r="Q236" s="127" t="str">
        <f t="shared" si="12"/>
        <v>397</v>
      </c>
      <c r="R236" s="4">
        <v>189544.69416499996</v>
      </c>
      <c r="S236" s="4">
        <v>189544.69416499994</v>
      </c>
    </row>
    <row r="237" spans="1:19" x14ac:dyDescent="0.3">
      <c r="A237" s="470">
        <v>397.3</v>
      </c>
      <c r="B237" s="8" t="s">
        <v>346</v>
      </c>
      <c r="C237" s="4">
        <v>101081.48</v>
      </c>
      <c r="D237" s="4">
        <v>101081.48</v>
      </c>
      <c r="E237" s="4">
        <v>101081.48</v>
      </c>
      <c r="F237" s="4">
        <v>101081.48</v>
      </c>
      <c r="G237" s="4">
        <v>101081.48</v>
      </c>
      <c r="H237" s="4">
        <v>101081.48</v>
      </c>
      <c r="I237" s="4">
        <v>101081.48</v>
      </c>
      <c r="J237" s="4">
        <v>101081.48</v>
      </c>
      <c r="K237" s="4">
        <v>101081.48</v>
      </c>
      <c r="L237" s="4">
        <v>101081.48</v>
      </c>
      <c r="M237" s="4">
        <v>194485.12</v>
      </c>
      <c r="N237" s="4">
        <v>194485.12</v>
      </c>
      <c r="O237" s="4">
        <v>195398.32</v>
      </c>
      <c r="P237" s="4">
        <f t="shared" si="10"/>
        <v>120578.62166666666</v>
      </c>
      <c r="Q237" s="127">
        <f t="shared" si="8"/>
        <v>397.3</v>
      </c>
      <c r="R237" s="4">
        <v>538821.47872399981</v>
      </c>
      <c r="S237" s="4">
        <v>530434.19054083328</v>
      </c>
    </row>
    <row r="238" spans="1:19" x14ac:dyDescent="0.3">
      <c r="A238" s="470">
        <v>397.4</v>
      </c>
      <c r="B238" s="8" t="s">
        <v>413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>
        <f t="shared" si="10"/>
        <v>0</v>
      </c>
      <c r="Q238" s="127" t="str">
        <f t="shared" si="12"/>
        <v>397</v>
      </c>
      <c r="R238" s="4">
        <v>319798.58966099995</v>
      </c>
      <c r="S238" s="4">
        <v>319755.1168139166</v>
      </c>
    </row>
    <row r="239" spans="1:19" x14ac:dyDescent="0.3">
      <c r="A239" s="470">
        <v>397.5</v>
      </c>
      <c r="B239" s="8" t="s">
        <v>414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>
        <f t="shared" si="10"/>
        <v>0</v>
      </c>
      <c r="Q239" s="127" t="str">
        <f t="shared" si="12"/>
        <v>397</v>
      </c>
      <c r="R239" s="4">
        <v>55014.924650000001</v>
      </c>
      <c r="S239" s="4">
        <v>55014.924649999994</v>
      </c>
    </row>
    <row r="240" spans="1:19" x14ac:dyDescent="0.3">
      <c r="A240" s="470">
        <v>398</v>
      </c>
      <c r="B240" s="8" t="s">
        <v>415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>
        <f t="shared" si="10"/>
        <v>0</v>
      </c>
      <c r="Q240" s="127" t="str">
        <f t="shared" si="12"/>
        <v>398</v>
      </c>
      <c r="R240" s="4">
        <v>0</v>
      </c>
      <c r="S240" s="4">
        <v>0</v>
      </c>
    </row>
    <row r="241" spans="1:19" x14ac:dyDescent="0.3">
      <c r="A241" s="470">
        <v>398.1</v>
      </c>
      <c r="B241" s="8" t="s">
        <v>416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>
        <f t="shared" si="10"/>
        <v>0</v>
      </c>
      <c r="Q241" s="127" t="str">
        <f t="shared" si="12"/>
        <v>398</v>
      </c>
      <c r="R241" s="4">
        <v>9332.2476509999979</v>
      </c>
      <c r="S241" s="4">
        <v>9332.2476509999997</v>
      </c>
    </row>
    <row r="242" spans="1:19" x14ac:dyDescent="0.3">
      <c r="A242" s="470">
        <v>398.2</v>
      </c>
      <c r="B242" s="8" t="s">
        <v>417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>
        <f t="shared" si="10"/>
        <v>0</v>
      </c>
      <c r="Q242" s="127" t="str">
        <f t="shared" si="12"/>
        <v>398</v>
      </c>
      <c r="R242" s="4">
        <v>1436.2745239999997</v>
      </c>
      <c r="S242" s="4">
        <v>1436.2745239999997</v>
      </c>
    </row>
    <row r="243" spans="1:19" x14ac:dyDescent="0.3">
      <c r="A243" s="470">
        <v>398.3</v>
      </c>
      <c r="B243" s="8" t="s">
        <v>418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>
        <f t="shared" si="10"/>
        <v>0</v>
      </c>
      <c r="Q243" s="127" t="str">
        <f t="shared" si="12"/>
        <v>398</v>
      </c>
      <c r="R243" s="4">
        <v>1667.2632999999996</v>
      </c>
      <c r="S243" s="4">
        <v>1667.2632999999996</v>
      </c>
    </row>
    <row r="244" spans="1:19" x14ac:dyDescent="0.3">
      <c r="A244" s="470">
        <v>398.4</v>
      </c>
      <c r="B244" s="8" t="s">
        <v>347</v>
      </c>
      <c r="C244" s="4">
        <v>4727</v>
      </c>
      <c r="D244" s="4">
        <v>4727</v>
      </c>
      <c r="E244" s="4">
        <v>4727</v>
      </c>
      <c r="F244" s="4">
        <v>4727</v>
      </c>
      <c r="G244" s="4">
        <v>4727</v>
      </c>
      <c r="H244" s="4">
        <v>4727</v>
      </c>
      <c r="I244" s="4">
        <v>4727</v>
      </c>
      <c r="J244" s="4">
        <v>4727</v>
      </c>
      <c r="K244" s="4">
        <v>4727</v>
      </c>
      <c r="L244" s="4">
        <v>4727</v>
      </c>
      <c r="M244" s="4">
        <v>4727</v>
      </c>
      <c r="N244" s="4">
        <v>4727</v>
      </c>
      <c r="O244" s="4">
        <v>4727</v>
      </c>
      <c r="P244" s="4">
        <f t="shared" si="10"/>
        <v>4727</v>
      </c>
      <c r="Q244" s="127" t="str">
        <f t="shared" si="12"/>
        <v>398</v>
      </c>
      <c r="R244" s="4">
        <v>1134.4519999999998</v>
      </c>
      <c r="S244" s="4">
        <v>1134.4519999999998</v>
      </c>
    </row>
    <row r="245" spans="1:19" x14ac:dyDescent="0.3">
      <c r="A245" s="470">
        <v>398.5</v>
      </c>
      <c r="B245" s="8" t="s">
        <v>419</v>
      </c>
      <c r="C245" s="158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>
        <f t="shared" si="10"/>
        <v>0</v>
      </c>
      <c r="Q245" s="127" t="str">
        <f t="shared" si="12"/>
        <v>398</v>
      </c>
      <c r="R245" s="4">
        <v>7481.4418999999989</v>
      </c>
      <c r="S245" s="4">
        <v>7481.4418999999989</v>
      </c>
    </row>
    <row r="246" spans="1:19" x14ac:dyDescent="0.3">
      <c r="B246" s="8" t="s">
        <v>420</v>
      </c>
      <c r="C246" s="122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>
        <f t="shared" si="10"/>
        <v>0</v>
      </c>
      <c r="Q246" s="127">
        <f t="shared" si="8"/>
        <v>0</v>
      </c>
      <c r="R246" s="4">
        <v>0</v>
      </c>
      <c r="S246" s="4">
        <v>0</v>
      </c>
    </row>
    <row r="247" spans="1:19" x14ac:dyDescent="0.3">
      <c r="B247" s="8" t="s">
        <v>1915</v>
      </c>
      <c r="C247" s="4">
        <f>SUM(C128:C245)</f>
        <v>267736680.16999999</v>
      </c>
      <c r="D247" s="4">
        <f t="shared" ref="D247:S247" si="13">SUM(D128:D245)</f>
        <v>269184830.41000009</v>
      </c>
      <c r="E247" s="4">
        <f t="shared" si="13"/>
        <v>271927135.88000005</v>
      </c>
      <c r="F247" s="4">
        <f t="shared" si="13"/>
        <v>275106027.64000005</v>
      </c>
      <c r="G247" s="4">
        <f t="shared" si="13"/>
        <v>276067594.24000007</v>
      </c>
      <c r="H247" s="4">
        <f t="shared" si="13"/>
        <v>276426562.26999998</v>
      </c>
      <c r="I247" s="4">
        <f t="shared" si="13"/>
        <v>279085767.19999999</v>
      </c>
      <c r="J247" s="4">
        <f t="shared" si="13"/>
        <v>280124992.32999998</v>
      </c>
      <c r="K247" s="4">
        <f t="shared" si="13"/>
        <v>281943749.92000002</v>
      </c>
      <c r="L247" s="4">
        <f t="shared" si="13"/>
        <v>285339123.06000006</v>
      </c>
      <c r="M247" s="4">
        <f t="shared" si="13"/>
        <v>285463132.71999997</v>
      </c>
      <c r="N247" s="4">
        <f t="shared" si="13"/>
        <v>287379553.98999995</v>
      </c>
      <c r="O247" s="4">
        <f t="shared" si="13"/>
        <v>288801256.21999997</v>
      </c>
      <c r="P247" s="4">
        <f t="shared" si="13"/>
        <v>278859786.48791671</v>
      </c>
      <c r="R247" s="4">
        <f t="shared" si="13"/>
        <v>348664316.51762915</v>
      </c>
      <c r="S247" s="4">
        <f t="shared" si="13"/>
        <v>337016455.98094237</v>
      </c>
    </row>
    <row r="248" spans="1:19" x14ac:dyDescent="0.3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9" x14ac:dyDescent="0.3">
      <c r="A249" s="470" t="s">
        <v>146</v>
      </c>
    </row>
    <row r="250" spans="1:19" x14ac:dyDescent="0.3">
      <c r="A250" s="470">
        <v>301</v>
      </c>
      <c r="B250" s="8" t="s">
        <v>323</v>
      </c>
      <c r="C250" s="11">
        <f t="shared" ref="C250:O265" si="14">+C6+C128</f>
        <v>1174</v>
      </c>
      <c r="D250" s="11">
        <f t="shared" si="14"/>
        <v>1174</v>
      </c>
      <c r="E250" s="11">
        <f t="shared" si="14"/>
        <v>1174</v>
      </c>
      <c r="F250" s="11">
        <f t="shared" si="14"/>
        <v>1174</v>
      </c>
      <c r="G250" s="11">
        <f t="shared" si="14"/>
        <v>1174</v>
      </c>
      <c r="H250" s="11">
        <f t="shared" si="14"/>
        <v>1174</v>
      </c>
      <c r="I250" s="11">
        <f t="shared" si="14"/>
        <v>1174</v>
      </c>
      <c r="J250" s="11">
        <f t="shared" si="14"/>
        <v>1174</v>
      </c>
      <c r="K250" s="11">
        <f t="shared" si="14"/>
        <v>1174</v>
      </c>
      <c r="L250" s="11">
        <f t="shared" si="14"/>
        <v>1174</v>
      </c>
      <c r="M250" s="11">
        <f t="shared" si="14"/>
        <v>1174</v>
      </c>
      <c r="N250" s="11">
        <f t="shared" si="14"/>
        <v>1174</v>
      </c>
      <c r="O250" s="11">
        <f t="shared" si="14"/>
        <v>1174</v>
      </c>
      <c r="P250" s="11">
        <f t="shared" si="10"/>
        <v>1174</v>
      </c>
    </row>
    <row r="251" spans="1:19" x14ac:dyDescent="0.3">
      <c r="A251" s="470">
        <v>302</v>
      </c>
      <c r="B251" s="8" t="s">
        <v>324</v>
      </c>
      <c r="C251" s="11">
        <f t="shared" si="14"/>
        <v>83621.27</v>
      </c>
      <c r="D251" s="11">
        <f t="shared" si="14"/>
        <v>83621.27</v>
      </c>
      <c r="E251" s="11">
        <f t="shared" si="14"/>
        <v>83621.27</v>
      </c>
      <c r="F251" s="11">
        <f t="shared" si="14"/>
        <v>83621.27</v>
      </c>
      <c r="G251" s="11">
        <f t="shared" si="14"/>
        <v>83621.27</v>
      </c>
      <c r="H251" s="11">
        <f t="shared" si="14"/>
        <v>83621.27</v>
      </c>
      <c r="I251" s="11">
        <f t="shared" si="14"/>
        <v>83621.27</v>
      </c>
      <c r="J251" s="11">
        <f t="shared" si="14"/>
        <v>83621.27</v>
      </c>
      <c r="K251" s="11">
        <f t="shared" si="14"/>
        <v>83621.27</v>
      </c>
      <c r="L251" s="11">
        <f t="shared" si="14"/>
        <v>83621.27</v>
      </c>
      <c r="M251" s="11">
        <f t="shared" si="14"/>
        <v>83621.27</v>
      </c>
      <c r="N251" s="11">
        <f t="shared" si="14"/>
        <v>83621.27</v>
      </c>
      <c r="O251" s="11">
        <f t="shared" si="14"/>
        <v>83621.27</v>
      </c>
      <c r="P251" s="11">
        <f t="shared" si="10"/>
        <v>83621.27</v>
      </c>
    </row>
    <row r="252" spans="1:19" x14ac:dyDescent="0.3">
      <c r="A252" s="470">
        <v>303.10000000000002</v>
      </c>
      <c r="B252" s="8" t="s">
        <v>348</v>
      </c>
      <c r="C252" s="11">
        <f t="shared" si="14"/>
        <v>65165764.760000005</v>
      </c>
      <c r="D252" s="11">
        <f t="shared" si="14"/>
        <v>65617427.670000002</v>
      </c>
      <c r="E252" s="11">
        <f t="shared" si="14"/>
        <v>66722984.450000003</v>
      </c>
      <c r="F252" s="11">
        <f t="shared" si="14"/>
        <v>67997562.340000004</v>
      </c>
      <c r="G252" s="11">
        <f t="shared" si="14"/>
        <v>68033275.63000001</v>
      </c>
      <c r="H252" s="11">
        <f t="shared" si="14"/>
        <v>68798720.750000015</v>
      </c>
      <c r="I252" s="11">
        <f t="shared" si="14"/>
        <v>68756949.910000011</v>
      </c>
      <c r="J252" s="11">
        <f t="shared" si="14"/>
        <v>68781166.24000001</v>
      </c>
      <c r="K252" s="11">
        <f t="shared" si="14"/>
        <v>68780895.890000015</v>
      </c>
      <c r="L252" s="11">
        <f t="shared" si="14"/>
        <v>69161607.270000011</v>
      </c>
      <c r="M252" s="11">
        <f t="shared" si="14"/>
        <v>69171571.160000011</v>
      </c>
      <c r="N252" s="11">
        <f t="shared" si="14"/>
        <v>69159326.370000005</v>
      </c>
      <c r="O252" s="11">
        <f t="shared" si="14"/>
        <v>73740028.350000009</v>
      </c>
      <c r="P252" s="11">
        <f t="shared" si="10"/>
        <v>68369532.019583344</v>
      </c>
    </row>
    <row r="253" spans="1:19" x14ac:dyDescent="0.3">
      <c r="A253" s="470">
        <v>303.2</v>
      </c>
      <c r="B253" s="8" t="s">
        <v>325</v>
      </c>
      <c r="C253" s="11">
        <f t="shared" si="14"/>
        <v>32348167.73</v>
      </c>
      <c r="D253" s="11">
        <f t="shared" si="14"/>
        <v>32348167.73</v>
      </c>
      <c r="E253" s="11">
        <f t="shared" si="14"/>
        <v>32348167.73</v>
      </c>
      <c r="F253" s="11">
        <f t="shared" si="14"/>
        <v>32348167.73</v>
      </c>
      <c r="G253" s="11">
        <f t="shared" si="14"/>
        <v>32348167.73</v>
      </c>
      <c r="H253" s="11">
        <f t="shared" si="14"/>
        <v>32348167.73</v>
      </c>
      <c r="I253" s="11">
        <f t="shared" si="14"/>
        <v>32348167.73</v>
      </c>
      <c r="J253" s="11">
        <f t="shared" si="14"/>
        <v>32348167.73</v>
      </c>
      <c r="K253" s="11">
        <f t="shared" si="14"/>
        <v>32348167.73</v>
      </c>
      <c r="L253" s="11">
        <f t="shared" si="14"/>
        <v>32348167.73</v>
      </c>
      <c r="M253" s="11">
        <f t="shared" si="14"/>
        <v>32348167.73</v>
      </c>
      <c r="N253" s="11">
        <f t="shared" si="14"/>
        <v>32348167.73</v>
      </c>
      <c r="O253" s="11">
        <f t="shared" si="14"/>
        <v>32348167.73</v>
      </c>
      <c r="P253" s="11">
        <f t="shared" si="10"/>
        <v>32348167.730000004</v>
      </c>
    </row>
    <row r="254" spans="1:19" x14ac:dyDescent="0.3">
      <c r="A254" s="470">
        <v>303.3</v>
      </c>
      <c r="B254" s="8" t="s">
        <v>349</v>
      </c>
      <c r="C254" s="11">
        <f t="shared" si="14"/>
        <v>4146951</v>
      </c>
      <c r="D254" s="11">
        <f t="shared" si="14"/>
        <v>4146951</v>
      </c>
      <c r="E254" s="11">
        <f t="shared" si="14"/>
        <v>4146951</v>
      </c>
      <c r="F254" s="11">
        <f t="shared" si="14"/>
        <v>4146951</v>
      </c>
      <c r="G254" s="11">
        <f t="shared" si="14"/>
        <v>4146951</v>
      </c>
      <c r="H254" s="11">
        <f t="shared" si="14"/>
        <v>4146951</v>
      </c>
      <c r="I254" s="11">
        <f t="shared" si="14"/>
        <v>4146951</v>
      </c>
      <c r="J254" s="11">
        <f t="shared" si="14"/>
        <v>4146951</v>
      </c>
      <c r="K254" s="11">
        <f t="shared" si="14"/>
        <v>4146951</v>
      </c>
      <c r="L254" s="11">
        <f t="shared" si="14"/>
        <v>4146951</v>
      </c>
      <c r="M254" s="11">
        <f t="shared" si="14"/>
        <v>4146951</v>
      </c>
      <c r="N254" s="11">
        <f t="shared" si="14"/>
        <v>4146951</v>
      </c>
      <c r="O254" s="11">
        <f t="shared" si="14"/>
        <v>4146951</v>
      </c>
      <c r="P254" s="11">
        <f t="shared" si="10"/>
        <v>4146951</v>
      </c>
    </row>
    <row r="255" spans="1:19" x14ac:dyDescent="0.3">
      <c r="A255" s="470">
        <v>303.39999999999998</v>
      </c>
      <c r="B255" s="8" t="s">
        <v>350</v>
      </c>
      <c r="C255" s="11">
        <f t="shared" si="14"/>
        <v>682892.55</v>
      </c>
      <c r="D255" s="11">
        <f t="shared" si="14"/>
        <v>682892.55</v>
      </c>
      <c r="E255" s="11">
        <f t="shared" si="14"/>
        <v>682892.55</v>
      </c>
      <c r="F255" s="11">
        <f t="shared" si="14"/>
        <v>682892.55</v>
      </c>
      <c r="G255" s="11">
        <f t="shared" si="14"/>
        <v>682892.55</v>
      </c>
      <c r="H255" s="11">
        <f t="shared" si="14"/>
        <v>682892.55</v>
      </c>
      <c r="I255" s="11">
        <f t="shared" si="14"/>
        <v>682892.55</v>
      </c>
      <c r="J255" s="11">
        <f t="shared" si="14"/>
        <v>682892.55</v>
      </c>
      <c r="K255" s="11">
        <f t="shared" si="14"/>
        <v>682892.55</v>
      </c>
      <c r="L255" s="11">
        <f t="shared" si="14"/>
        <v>682892.55</v>
      </c>
      <c r="M255" s="11">
        <f t="shared" si="14"/>
        <v>682892.55</v>
      </c>
      <c r="N255" s="11">
        <f t="shared" si="14"/>
        <v>682892.55</v>
      </c>
      <c r="O255" s="11">
        <f t="shared" si="14"/>
        <v>682892.55</v>
      </c>
      <c r="P255" s="11">
        <f t="shared" si="10"/>
        <v>682892.54999999993</v>
      </c>
    </row>
    <row r="256" spans="1:19" x14ac:dyDescent="0.3">
      <c r="A256" s="470">
        <v>303.5</v>
      </c>
      <c r="B256" s="8" t="s">
        <v>351</v>
      </c>
      <c r="C256" s="11">
        <f t="shared" si="14"/>
        <v>0</v>
      </c>
      <c r="D256" s="11">
        <f t="shared" si="14"/>
        <v>0</v>
      </c>
      <c r="E256" s="11">
        <f t="shared" si="14"/>
        <v>0</v>
      </c>
      <c r="F256" s="11">
        <f t="shared" si="14"/>
        <v>0</v>
      </c>
      <c r="G256" s="11">
        <f t="shared" si="14"/>
        <v>0</v>
      </c>
      <c r="H256" s="11">
        <f t="shared" si="14"/>
        <v>0</v>
      </c>
      <c r="I256" s="11">
        <f t="shared" si="14"/>
        <v>0</v>
      </c>
      <c r="J256" s="11">
        <f t="shared" si="14"/>
        <v>0</v>
      </c>
      <c r="K256" s="11">
        <f t="shared" si="14"/>
        <v>0</v>
      </c>
      <c r="L256" s="11">
        <f t="shared" si="14"/>
        <v>0</v>
      </c>
      <c r="M256" s="11">
        <f t="shared" si="14"/>
        <v>0</v>
      </c>
      <c r="N256" s="11">
        <f t="shared" si="14"/>
        <v>0</v>
      </c>
      <c r="O256" s="11">
        <f t="shared" si="14"/>
        <v>0</v>
      </c>
      <c r="P256" s="11">
        <f t="shared" si="10"/>
        <v>0</v>
      </c>
    </row>
    <row r="257" spans="1:16" x14ac:dyDescent="0.3">
      <c r="A257" s="470">
        <v>304.10000000000002</v>
      </c>
      <c r="B257" s="8" t="s">
        <v>327</v>
      </c>
      <c r="C257" s="11">
        <f t="shared" si="14"/>
        <v>24998</v>
      </c>
      <c r="D257" s="11">
        <f t="shared" si="14"/>
        <v>24998</v>
      </c>
      <c r="E257" s="11">
        <f t="shared" si="14"/>
        <v>24998</v>
      </c>
      <c r="F257" s="11">
        <f t="shared" si="14"/>
        <v>24998</v>
      </c>
      <c r="G257" s="11">
        <f t="shared" si="14"/>
        <v>24998</v>
      </c>
      <c r="H257" s="11">
        <f t="shared" si="14"/>
        <v>24998</v>
      </c>
      <c r="I257" s="11">
        <f t="shared" si="14"/>
        <v>24998</v>
      </c>
      <c r="J257" s="11">
        <f t="shared" si="14"/>
        <v>24998</v>
      </c>
      <c r="K257" s="11">
        <f t="shared" si="14"/>
        <v>24998</v>
      </c>
      <c r="L257" s="11">
        <f t="shared" si="14"/>
        <v>24998</v>
      </c>
      <c r="M257" s="11">
        <f t="shared" si="14"/>
        <v>24998</v>
      </c>
      <c r="N257" s="11">
        <f t="shared" si="14"/>
        <v>24998</v>
      </c>
      <c r="O257" s="11">
        <f t="shared" si="14"/>
        <v>24998</v>
      </c>
      <c r="P257" s="11">
        <f t="shared" si="10"/>
        <v>24998</v>
      </c>
    </row>
    <row r="258" spans="1:16" x14ac:dyDescent="0.3">
      <c r="A258" s="470">
        <v>305.2</v>
      </c>
      <c r="B258" s="8" t="s">
        <v>352</v>
      </c>
      <c r="C258" s="11">
        <f t="shared" si="14"/>
        <v>0</v>
      </c>
      <c r="D258" s="11">
        <f t="shared" si="14"/>
        <v>0</v>
      </c>
      <c r="E258" s="11">
        <f t="shared" si="14"/>
        <v>0</v>
      </c>
      <c r="F258" s="11">
        <f t="shared" si="14"/>
        <v>0</v>
      </c>
      <c r="G258" s="11">
        <f t="shared" si="14"/>
        <v>0</v>
      </c>
      <c r="H258" s="11">
        <f t="shared" si="14"/>
        <v>0</v>
      </c>
      <c r="I258" s="11">
        <f t="shared" si="14"/>
        <v>0</v>
      </c>
      <c r="J258" s="11">
        <f t="shared" si="14"/>
        <v>0</v>
      </c>
      <c r="K258" s="11">
        <f t="shared" si="14"/>
        <v>0</v>
      </c>
      <c r="L258" s="11">
        <f t="shared" si="14"/>
        <v>0</v>
      </c>
      <c r="M258" s="11">
        <f t="shared" si="14"/>
        <v>0</v>
      </c>
      <c r="N258" s="11">
        <f t="shared" si="14"/>
        <v>0</v>
      </c>
      <c r="O258" s="11">
        <f t="shared" si="14"/>
        <v>0</v>
      </c>
      <c r="P258" s="11">
        <f t="shared" si="10"/>
        <v>0</v>
      </c>
    </row>
    <row r="259" spans="1:16" x14ac:dyDescent="0.3">
      <c r="A259" s="470">
        <v>305.5</v>
      </c>
      <c r="B259" s="8" t="s">
        <v>353</v>
      </c>
      <c r="C259" s="11">
        <f t="shared" si="14"/>
        <v>13156</v>
      </c>
      <c r="D259" s="11">
        <f t="shared" si="14"/>
        <v>13156</v>
      </c>
      <c r="E259" s="11">
        <f t="shared" si="14"/>
        <v>13156</v>
      </c>
      <c r="F259" s="11">
        <f t="shared" si="14"/>
        <v>13156</v>
      </c>
      <c r="G259" s="11">
        <f t="shared" si="14"/>
        <v>13156</v>
      </c>
      <c r="H259" s="11">
        <f t="shared" si="14"/>
        <v>13156</v>
      </c>
      <c r="I259" s="11">
        <f t="shared" si="14"/>
        <v>13156</v>
      </c>
      <c r="J259" s="11">
        <f t="shared" si="14"/>
        <v>13156</v>
      </c>
      <c r="K259" s="11">
        <f t="shared" si="14"/>
        <v>13156</v>
      </c>
      <c r="L259" s="11">
        <f t="shared" si="14"/>
        <v>13156</v>
      </c>
      <c r="M259" s="11">
        <f t="shared" si="14"/>
        <v>13156</v>
      </c>
      <c r="N259" s="11">
        <f t="shared" si="14"/>
        <v>13156</v>
      </c>
      <c r="O259" s="11">
        <f t="shared" si="14"/>
        <v>13156</v>
      </c>
      <c r="P259" s="11">
        <f t="shared" si="10"/>
        <v>13156</v>
      </c>
    </row>
    <row r="260" spans="1:16" x14ac:dyDescent="0.3">
      <c r="A260" s="470">
        <v>312.3</v>
      </c>
      <c r="B260" s="8" t="s">
        <v>354</v>
      </c>
      <c r="C260" s="11">
        <f t="shared" si="14"/>
        <v>0</v>
      </c>
      <c r="D260" s="11">
        <f t="shared" si="14"/>
        <v>0</v>
      </c>
      <c r="E260" s="11">
        <f t="shared" si="14"/>
        <v>0</v>
      </c>
      <c r="F260" s="11">
        <f t="shared" si="14"/>
        <v>0</v>
      </c>
      <c r="G260" s="11">
        <f t="shared" si="14"/>
        <v>0</v>
      </c>
      <c r="H260" s="11">
        <f t="shared" si="14"/>
        <v>0</v>
      </c>
      <c r="I260" s="11">
        <f t="shared" si="14"/>
        <v>0</v>
      </c>
      <c r="J260" s="11">
        <f t="shared" si="14"/>
        <v>0</v>
      </c>
      <c r="K260" s="11">
        <f t="shared" si="14"/>
        <v>0</v>
      </c>
      <c r="L260" s="11">
        <f t="shared" si="14"/>
        <v>0</v>
      </c>
      <c r="M260" s="11">
        <f t="shared" si="14"/>
        <v>0</v>
      </c>
      <c r="N260" s="11">
        <f t="shared" si="14"/>
        <v>0</v>
      </c>
      <c r="O260" s="11">
        <f t="shared" si="14"/>
        <v>0</v>
      </c>
      <c r="P260" s="11">
        <f t="shared" si="10"/>
        <v>0</v>
      </c>
    </row>
    <row r="261" spans="1:16" x14ac:dyDescent="0.3">
      <c r="A261" s="470">
        <v>318.3</v>
      </c>
      <c r="B261" s="8" t="s">
        <v>355</v>
      </c>
      <c r="C261" s="11">
        <f t="shared" si="14"/>
        <v>144896</v>
      </c>
      <c r="D261" s="11">
        <f t="shared" si="14"/>
        <v>144896</v>
      </c>
      <c r="E261" s="11">
        <f t="shared" si="14"/>
        <v>144896</v>
      </c>
      <c r="F261" s="11">
        <f t="shared" si="14"/>
        <v>144896</v>
      </c>
      <c r="G261" s="11">
        <f t="shared" si="14"/>
        <v>144896</v>
      </c>
      <c r="H261" s="11">
        <f t="shared" si="14"/>
        <v>144896</v>
      </c>
      <c r="I261" s="11">
        <f t="shared" si="14"/>
        <v>144896</v>
      </c>
      <c r="J261" s="11">
        <f t="shared" si="14"/>
        <v>144896</v>
      </c>
      <c r="K261" s="11">
        <f t="shared" si="14"/>
        <v>144896</v>
      </c>
      <c r="L261" s="11">
        <f t="shared" si="14"/>
        <v>144896</v>
      </c>
      <c r="M261" s="11">
        <f t="shared" si="14"/>
        <v>144896</v>
      </c>
      <c r="N261" s="11">
        <f t="shared" si="14"/>
        <v>144896</v>
      </c>
      <c r="O261" s="11">
        <f t="shared" si="14"/>
        <v>144896</v>
      </c>
      <c r="P261" s="11">
        <f t="shared" si="10"/>
        <v>144896</v>
      </c>
    </row>
    <row r="262" spans="1:16" x14ac:dyDescent="0.3">
      <c r="A262" s="470">
        <v>318.5</v>
      </c>
      <c r="B262" s="8" t="s">
        <v>356</v>
      </c>
      <c r="C262" s="11">
        <f t="shared" si="14"/>
        <v>243551</v>
      </c>
      <c r="D262" s="11">
        <f t="shared" si="14"/>
        <v>243551</v>
      </c>
      <c r="E262" s="11">
        <f t="shared" si="14"/>
        <v>243551</v>
      </c>
      <c r="F262" s="11">
        <f t="shared" si="14"/>
        <v>243551</v>
      </c>
      <c r="G262" s="11">
        <f t="shared" si="14"/>
        <v>243551</v>
      </c>
      <c r="H262" s="11">
        <f t="shared" si="14"/>
        <v>243551</v>
      </c>
      <c r="I262" s="11">
        <f t="shared" si="14"/>
        <v>243551</v>
      </c>
      <c r="J262" s="11">
        <f t="shared" si="14"/>
        <v>243551</v>
      </c>
      <c r="K262" s="11">
        <f t="shared" si="14"/>
        <v>243551</v>
      </c>
      <c r="L262" s="11">
        <f t="shared" si="14"/>
        <v>243551</v>
      </c>
      <c r="M262" s="11">
        <f t="shared" si="14"/>
        <v>243551</v>
      </c>
      <c r="N262" s="11">
        <f t="shared" si="14"/>
        <v>243551</v>
      </c>
      <c r="O262" s="11">
        <f t="shared" si="14"/>
        <v>243551</v>
      </c>
      <c r="P262" s="11">
        <f t="shared" ref="P262:P325" si="15">(C262/2+O262/2+SUM(D262:N262))/12</f>
        <v>243551</v>
      </c>
    </row>
    <row r="263" spans="1:16" x14ac:dyDescent="0.3">
      <c r="A263" s="470">
        <v>325</v>
      </c>
      <c r="B263" s="8" t="s">
        <v>357</v>
      </c>
      <c r="C263" s="11">
        <f t="shared" si="14"/>
        <v>0</v>
      </c>
      <c r="D263" s="11">
        <f t="shared" si="14"/>
        <v>0</v>
      </c>
      <c r="E263" s="11">
        <f t="shared" si="14"/>
        <v>0</v>
      </c>
      <c r="F263" s="11">
        <f t="shared" si="14"/>
        <v>0</v>
      </c>
      <c r="G263" s="11">
        <f t="shared" si="14"/>
        <v>0</v>
      </c>
      <c r="H263" s="11">
        <f t="shared" si="14"/>
        <v>0</v>
      </c>
      <c r="I263" s="11">
        <f t="shared" si="14"/>
        <v>0</v>
      </c>
      <c r="J263" s="11">
        <f t="shared" si="14"/>
        <v>0</v>
      </c>
      <c r="K263" s="11">
        <f t="shared" si="14"/>
        <v>0</v>
      </c>
      <c r="L263" s="11">
        <f t="shared" si="14"/>
        <v>0</v>
      </c>
      <c r="M263" s="11">
        <f t="shared" si="14"/>
        <v>0</v>
      </c>
      <c r="N263" s="11">
        <f t="shared" si="14"/>
        <v>0</v>
      </c>
      <c r="O263" s="11">
        <f t="shared" si="14"/>
        <v>0</v>
      </c>
      <c r="P263" s="11">
        <f t="shared" si="15"/>
        <v>0</v>
      </c>
    </row>
    <row r="264" spans="1:16" x14ac:dyDescent="0.3">
      <c r="A264" s="470">
        <v>327</v>
      </c>
      <c r="B264" s="8" t="s">
        <v>358</v>
      </c>
      <c r="C264" s="11">
        <f t="shared" si="14"/>
        <v>0</v>
      </c>
      <c r="D264" s="11">
        <f t="shared" si="14"/>
        <v>0</v>
      </c>
      <c r="E264" s="11">
        <f t="shared" si="14"/>
        <v>0</v>
      </c>
      <c r="F264" s="11">
        <f t="shared" si="14"/>
        <v>0</v>
      </c>
      <c r="G264" s="11">
        <f t="shared" si="14"/>
        <v>0</v>
      </c>
      <c r="H264" s="11">
        <f t="shared" si="14"/>
        <v>0</v>
      </c>
      <c r="I264" s="11">
        <f t="shared" si="14"/>
        <v>0</v>
      </c>
      <c r="J264" s="11">
        <f t="shared" si="14"/>
        <v>0</v>
      </c>
      <c r="K264" s="11">
        <f t="shared" si="14"/>
        <v>0</v>
      </c>
      <c r="L264" s="11">
        <f t="shared" si="14"/>
        <v>0</v>
      </c>
      <c r="M264" s="11">
        <f t="shared" si="14"/>
        <v>0</v>
      </c>
      <c r="N264" s="11">
        <f t="shared" si="14"/>
        <v>0</v>
      </c>
      <c r="O264" s="11">
        <f t="shared" si="14"/>
        <v>0</v>
      </c>
      <c r="P264" s="11">
        <f t="shared" si="15"/>
        <v>0</v>
      </c>
    </row>
    <row r="265" spans="1:16" x14ac:dyDescent="0.3">
      <c r="A265" s="470">
        <v>328</v>
      </c>
      <c r="B265" s="8" t="s">
        <v>357</v>
      </c>
      <c r="C265" s="11">
        <f t="shared" si="14"/>
        <v>0</v>
      </c>
      <c r="D265" s="11">
        <f t="shared" si="14"/>
        <v>0</v>
      </c>
      <c r="E265" s="11">
        <f t="shared" si="14"/>
        <v>0</v>
      </c>
      <c r="F265" s="11">
        <f t="shared" si="14"/>
        <v>0</v>
      </c>
      <c r="G265" s="11">
        <f t="shared" si="14"/>
        <v>0</v>
      </c>
      <c r="H265" s="11">
        <f t="shared" si="14"/>
        <v>0</v>
      </c>
      <c r="I265" s="11">
        <f t="shared" si="14"/>
        <v>0</v>
      </c>
      <c r="J265" s="11">
        <f t="shared" si="14"/>
        <v>0</v>
      </c>
      <c r="K265" s="11">
        <f t="shared" si="14"/>
        <v>0</v>
      </c>
      <c r="L265" s="11">
        <f t="shared" si="14"/>
        <v>0</v>
      </c>
      <c r="M265" s="11">
        <f t="shared" si="14"/>
        <v>0</v>
      </c>
      <c r="N265" s="11">
        <f t="shared" si="14"/>
        <v>0</v>
      </c>
      <c r="O265" s="11">
        <f t="shared" si="14"/>
        <v>0</v>
      </c>
      <c r="P265" s="11">
        <f t="shared" si="15"/>
        <v>0</v>
      </c>
    </row>
    <row r="266" spans="1:16" x14ac:dyDescent="0.3">
      <c r="A266" s="470">
        <v>331</v>
      </c>
      <c r="B266" s="8" t="s">
        <v>358</v>
      </c>
      <c r="C266" s="11">
        <f t="shared" ref="C266:O281" si="16">+C22+C144</f>
        <v>0</v>
      </c>
      <c r="D266" s="11">
        <f t="shared" si="16"/>
        <v>0</v>
      </c>
      <c r="E266" s="11">
        <f t="shared" si="16"/>
        <v>0</v>
      </c>
      <c r="F266" s="11">
        <f t="shared" si="16"/>
        <v>0</v>
      </c>
      <c r="G266" s="11">
        <f t="shared" si="16"/>
        <v>0</v>
      </c>
      <c r="H266" s="11">
        <f t="shared" si="16"/>
        <v>0</v>
      </c>
      <c r="I266" s="11">
        <f t="shared" si="16"/>
        <v>0</v>
      </c>
      <c r="J266" s="11">
        <f t="shared" si="16"/>
        <v>0</v>
      </c>
      <c r="K266" s="11">
        <f t="shared" si="16"/>
        <v>0</v>
      </c>
      <c r="L266" s="11">
        <f t="shared" si="16"/>
        <v>0</v>
      </c>
      <c r="M266" s="11">
        <f t="shared" si="16"/>
        <v>0</v>
      </c>
      <c r="N266" s="11">
        <f t="shared" si="16"/>
        <v>0</v>
      </c>
      <c r="O266" s="11">
        <f t="shared" si="16"/>
        <v>0</v>
      </c>
      <c r="P266" s="11">
        <f t="shared" si="15"/>
        <v>0</v>
      </c>
    </row>
    <row r="267" spans="1:16" x14ac:dyDescent="0.3">
      <c r="A267" s="470">
        <v>332</v>
      </c>
      <c r="B267" s="8" t="s">
        <v>358</v>
      </c>
      <c r="C267" s="11">
        <f t="shared" si="16"/>
        <v>0</v>
      </c>
      <c r="D267" s="11">
        <f t="shared" si="16"/>
        <v>0</v>
      </c>
      <c r="E267" s="11">
        <f t="shared" si="16"/>
        <v>0</v>
      </c>
      <c r="F267" s="11">
        <f t="shared" si="16"/>
        <v>0</v>
      </c>
      <c r="G267" s="11">
        <f t="shared" si="16"/>
        <v>0</v>
      </c>
      <c r="H267" s="11">
        <f t="shared" si="16"/>
        <v>0</v>
      </c>
      <c r="I267" s="11">
        <f t="shared" si="16"/>
        <v>0</v>
      </c>
      <c r="J267" s="11">
        <f t="shared" si="16"/>
        <v>0</v>
      </c>
      <c r="K267" s="11">
        <f t="shared" si="16"/>
        <v>0</v>
      </c>
      <c r="L267" s="11">
        <f t="shared" si="16"/>
        <v>0</v>
      </c>
      <c r="M267" s="11">
        <f t="shared" si="16"/>
        <v>0</v>
      </c>
      <c r="N267" s="11">
        <f t="shared" si="16"/>
        <v>0</v>
      </c>
      <c r="O267" s="11">
        <f t="shared" si="16"/>
        <v>0</v>
      </c>
      <c r="P267" s="11">
        <f t="shared" si="15"/>
        <v>0</v>
      </c>
    </row>
    <row r="268" spans="1:16" x14ac:dyDescent="0.3">
      <c r="A268" s="470">
        <v>333</v>
      </c>
      <c r="B268" s="8" t="s">
        <v>358</v>
      </c>
      <c r="C268" s="11">
        <f t="shared" si="16"/>
        <v>0</v>
      </c>
      <c r="D268" s="11">
        <f t="shared" si="16"/>
        <v>0</v>
      </c>
      <c r="E268" s="11">
        <f t="shared" si="16"/>
        <v>0</v>
      </c>
      <c r="F268" s="11">
        <f t="shared" si="16"/>
        <v>0</v>
      </c>
      <c r="G268" s="11">
        <f t="shared" si="16"/>
        <v>0</v>
      </c>
      <c r="H268" s="11">
        <f t="shared" si="16"/>
        <v>0</v>
      </c>
      <c r="I268" s="11">
        <f t="shared" si="16"/>
        <v>0</v>
      </c>
      <c r="J268" s="11">
        <f t="shared" si="16"/>
        <v>0</v>
      </c>
      <c r="K268" s="11">
        <f t="shared" si="16"/>
        <v>0</v>
      </c>
      <c r="L268" s="11">
        <f t="shared" si="16"/>
        <v>0</v>
      </c>
      <c r="M268" s="11">
        <f t="shared" si="16"/>
        <v>0</v>
      </c>
      <c r="N268" s="11">
        <f t="shared" si="16"/>
        <v>0</v>
      </c>
      <c r="O268" s="11">
        <f t="shared" si="16"/>
        <v>0</v>
      </c>
      <c r="P268" s="11">
        <f t="shared" si="15"/>
        <v>0</v>
      </c>
    </row>
    <row r="269" spans="1:16" x14ac:dyDescent="0.3">
      <c r="A269" s="470">
        <v>334</v>
      </c>
      <c r="B269" s="8" t="s">
        <v>358</v>
      </c>
      <c r="C269" s="11">
        <f t="shared" si="16"/>
        <v>0</v>
      </c>
      <c r="D269" s="11">
        <f t="shared" si="16"/>
        <v>0</v>
      </c>
      <c r="E269" s="11">
        <f t="shared" si="16"/>
        <v>0</v>
      </c>
      <c r="F269" s="11">
        <f t="shared" si="16"/>
        <v>0</v>
      </c>
      <c r="G269" s="11">
        <f t="shared" si="16"/>
        <v>0</v>
      </c>
      <c r="H269" s="11">
        <f t="shared" si="16"/>
        <v>0</v>
      </c>
      <c r="I269" s="11">
        <f t="shared" si="16"/>
        <v>0</v>
      </c>
      <c r="J269" s="11">
        <f t="shared" si="16"/>
        <v>0</v>
      </c>
      <c r="K269" s="11">
        <f t="shared" si="16"/>
        <v>0</v>
      </c>
      <c r="L269" s="11">
        <f t="shared" si="16"/>
        <v>0</v>
      </c>
      <c r="M269" s="11">
        <f t="shared" si="16"/>
        <v>0</v>
      </c>
      <c r="N269" s="11">
        <f t="shared" si="16"/>
        <v>0</v>
      </c>
      <c r="O269" s="11">
        <f t="shared" si="16"/>
        <v>0</v>
      </c>
      <c r="P269" s="11">
        <f t="shared" si="15"/>
        <v>0</v>
      </c>
    </row>
    <row r="270" spans="1:16" x14ac:dyDescent="0.3">
      <c r="A270" s="470">
        <v>305.11</v>
      </c>
      <c r="B270" s="8" t="s">
        <v>359</v>
      </c>
      <c r="C270" s="11">
        <f t="shared" si="16"/>
        <v>8320</v>
      </c>
      <c r="D270" s="11">
        <f t="shared" si="16"/>
        <v>8320</v>
      </c>
      <c r="E270" s="11">
        <f t="shared" si="16"/>
        <v>8320</v>
      </c>
      <c r="F270" s="11">
        <f t="shared" si="16"/>
        <v>8320</v>
      </c>
      <c r="G270" s="11">
        <f t="shared" si="16"/>
        <v>8320</v>
      </c>
      <c r="H270" s="11">
        <f t="shared" si="16"/>
        <v>8320</v>
      </c>
      <c r="I270" s="11">
        <f t="shared" si="16"/>
        <v>8320</v>
      </c>
      <c r="J270" s="11">
        <f t="shared" si="16"/>
        <v>8320</v>
      </c>
      <c r="K270" s="11">
        <f t="shared" si="16"/>
        <v>8320</v>
      </c>
      <c r="L270" s="11">
        <f t="shared" si="16"/>
        <v>8320</v>
      </c>
      <c r="M270" s="11">
        <f t="shared" si="16"/>
        <v>8320</v>
      </c>
      <c r="N270" s="11">
        <f t="shared" si="16"/>
        <v>8320</v>
      </c>
      <c r="O270" s="11">
        <f t="shared" si="16"/>
        <v>8320</v>
      </c>
      <c r="P270" s="11">
        <f t="shared" si="15"/>
        <v>8320</v>
      </c>
    </row>
    <row r="271" spans="1:16" x14ac:dyDescent="0.3">
      <c r="A271" s="470">
        <v>305.17</v>
      </c>
      <c r="B271" s="8" t="s">
        <v>360</v>
      </c>
      <c r="C271" s="11">
        <f t="shared" si="16"/>
        <v>46587</v>
      </c>
      <c r="D271" s="11">
        <f t="shared" si="16"/>
        <v>46587</v>
      </c>
      <c r="E271" s="11">
        <f t="shared" si="16"/>
        <v>46587</v>
      </c>
      <c r="F271" s="11">
        <f t="shared" si="16"/>
        <v>46587</v>
      </c>
      <c r="G271" s="11">
        <f t="shared" si="16"/>
        <v>46587</v>
      </c>
      <c r="H271" s="11">
        <f t="shared" si="16"/>
        <v>46587</v>
      </c>
      <c r="I271" s="11">
        <f t="shared" si="16"/>
        <v>46587</v>
      </c>
      <c r="J271" s="11">
        <f t="shared" si="16"/>
        <v>46587</v>
      </c>
      <c r="K271" s="11">
        <f t="shared" si="16"/>
        <v>46587</v>
      </c>
      <c r="L271" s="11">
        <f t="shared" si="16"/>
        <v>46587</v>
      </c>
      <c r="M271" s="11">
        <f t="shared" si="16"/>
        <v>46587</v>
      </c>
      <c r="N271" s="11">
        <f t="shared" si="16"/>
        <v>46587</v>
      </c>
      <c r="O271" s="11">
        <f t="shared" si="16"/>
        <v>46587</v>
      </c>
      <c r="P271" s="11">
        <f t="shared" si="15"/>
        <v>46587</v>
      </c>
    </row>
    <row r="272" spans="1:16" x14ac:dyDescent="0.3">
      <c r="A272" s="470">
        <v>311</v>
      </c>
      <c r="B272" s="8" t="s">
        <v>361</v>
      </c>
      <c r="C272" s="11">
        <f t="shared" si="16"/>
        <v>0</v>
      </c>
      <c r="D272" s="11">
        <f t="shared" si="16"/>
        <v>0</v>
      </c>
      <c r="E272" s="11">
        <f t="shared" si="16"/>
        <v>0</v>
      </c>
      <c r="F272" s="11">
        <f t="shared" si="16"/>
        <v>0</v>
      </c>
      <c r="G272" s="11">
        <f t="shared" si="16"/>
        <v>0</v>
      </c>
      <c r="H272" s="11">
        <f t="shared" si="16"/>
        <v>0</v>
      </c>
      <c r="I272" s="11">
        <f t="shared" si="16"/>
        <v>0</v>
      </c>
      <c r="J272" s="11">
        <f t="shared" si="16"/>
        <v>0</v>
      </c>
      <c r="K272" s="11">
        <f t="shared" si="16"/>
        <v>0</v>
      </c>
      <c r="L272" s="11">
        <f t="shared" si="16"/>
        <v>0</v>
      </c>
      <c r="M272" s="11">
        <f t="shared" si="16"/>
        <v>0</v>
      </c>
      <c r="N272" s="11">
        <f t="shared" si="16"/>
        <v>0</v>
      </c>
      <c r="O272" s="11">
        <f t="shared" si="16"/>
        <v>0</v>
      </c>
      <c r="P272" s="11">
        <f t="shared" si="15"/>
        <v>0</v>
      </c>
    </row>
    <row r="273" spans="1:16" x14ac:dyDescent="0.3">
      <c r="A273" s="470">
        <v>311.39999999999998</v>
      </c>
      <c r="B273" s="8" t="s">
        <v>362</v>
      </c>
      <c r="C273" s="11">
        <f t="shared" si="16"/>
        <v>0</v>
      </c>
      <c r="D273" s="11">
        <f t="shared" si="16"/>
        <v>0</v>
      </c>
      <c r="E273" s="11">
        <f t="shared" si="16"/>
        <v>0</v>
      </c>
      <c r="F273" s="11">
        <f t="shared" si="16"/>
        <v>0</v>
      </c>
      <c r="G273" s="11">
        <f t="shared" si="16"/>
        <v>0</v>
      </c>
      <c r="H273" s="11">
        <f t="shared" si="16"/>
        <v>0</v>
      </c>
      <c r="I273" s="11">
        <f t="shared" si="16"/>
        <v>0</v>
      </c>
      <c r="J273" s="11">
        <f t="shared" si="16"/>
        <v>0</v>
      </c>
      <c r="K273" s="11">
        <f t="shared" si="16"/>
        <v>0</v>
      </c>
      <c r="L273" s="11">
        <f t="shared" si="16"/>
        <v>0</v>
      </c>
      <c r="M273" s="11">
        <f t="shared" si="16"/>
        <v>0</v>
      </c>
      <c r="N273" s="11">
        <f t="shared" si="16"/>
        <v>0</v>
      </c>
      <c r="O273" s="11">
        <f t="shared" si="16"/>
        <v>0</v>
      </c>
      <c r="P273" s="11">
        <f t="shared" si="15"/>
        <v>0</v>
      </c>
    </row>
    <row r="274" spans="1:16" x14ac:dyDescent="0.3">
      <c r="A274" s="470">
        <v>311.7</v>
      </c>
      <c r="B274" s="8" t="s">
        <v>363</v>
      </c>
      <c r="C274" s="11">
        <f t="shared" si="16"/>
        <v>4033</v>
      </c>
      <c r="D274" s="11">
        <f t="shared" si="16"/>
        <v>4033</v>
      </c>
      <c r="E274" s="11">
        <f t="shared" si="16"/>
        <v>4033</v>
      </c>
      <c r="F274" s="11">
        <f t="shared" si="16"/>
        <v>4033</v>
      </c>
      <c r="G274" s="11">
        <f t="shared" si="16"/>
        <v>4033</v>
      </c>
      <c r="H274" s="11">
        <f t="shared" si="16"/>
        <v>4033</v>
      </c>
      <c r="I274" s="11">
        <f t="shared" si="16"/>
        <v>4033</v>
      </c>
      <c r="J274" s="11">
        <f t="shared" si="16"/>
        <v>4033</v>
      </c>
      <c r="K274" s="11">
        <f t="shared" si="16"/>
        <v>4033</v>
      </c>
      <c r="L274" s="11">
        <f t="shared" si="16"/>
        <v>4033</v>
      </c>
      <c r="M274" s="11">
        <f t="shared" si="16"/>
        <v>4033</v>
      </c>
      <c r="N274" s="11">
        <f t="shared" si="16"/>
        <v>4033</v>
      </c>
      <c r="O274" s="11">
        <f t="shared" si="16"/>
        <v>4033</v>
      </c>
      <c r="P274" s="11">
        <f t="shared" si="15"/>
        <v>4033</v>
      </c>
    </row>
    <row r="275" spans="1:16" x14ac:dyDescent="0.3">
      <c r="A275" s="470">
        <v>311.8</v>
      </c>
      <c r="B275" s="8" t="s">
        <v>364</v>
      </c>
      <c r="C275" s="11">
        <f t="shared" si="16"/>
        <v>4209</v>
      </c>
      <c r="D275" s="11">
        <f t="shared" si="16"/>
        <v>4209</v>
      </c>
      <c r="E275" s="11">
        <f t="shared" si="16"/>
        <v>4209</v>
      </c>
      <c r="F275" s="11">
        <f t="shared" si="16"/>
        <v>4209</v>
      </c>
      <c r="G275" s="11">
        <f t="shared" si="16"/>
        <v>4209</v>
      </c>
      <c r="H275" s="11">
        <f t="shared" si="16"/>
        <v>4209</v>
      </c>
      <c r="I275" s="11">
        <f t="shared" si="16"/>
        <v>4209</v>
      </c>
      <c r="J275" s="11">
        <f t="shared" si="16"/>
        <v>4209</v>
      </c>
      <c r="K275" s="11">
        <f t="shared" si="16"/>
        <v>4209</v>
      </c>
      <c r="L275" s="11">
        <f t="shared" si="16"/>
        <v>4209</v>
      </c>
      <c r="M275" s="11">
        <f t="shared" si="16"/>
        <v>4209</v>
      </c>
      <c r="N275" s="11">
        <f t="shared" si="16"/>
        <v>4209</v>
      </c>
      <c r="O275" s="11">
        <f t="shared" si="16"/>
        <v>4209</v>
      </c>
      <c r="P275" s="11">
        <f t="shared" si="15"/>
        <v>4209</v>
      </c>
    </row>
    <row r="276" spans="1:16" x14ac:dyDescent="0.3">
      <c r="A276" s="470">
        <v>319</v>
      </c>
      <c r="B276" s="8" t="s">
        <v>365</v>
      </c>
      <c r="C276" s="11">
        <f t="shared" si="16"/>
        <v>185448</v>
      </c>
      <c r="D276" s="11">
        <f t="shared" si="16"/>
        <v>185448</v>
      </c>
      <c r="E276" s="11">
        <f t="shared" si="16"/>
        <v>185448</v>
      </c>
      <c r="F276" s="11">
        <f t="shared" si="16"/>
        <v>185448</v>
      </c>
      <c r="G276" s="11">
        <f t="shared" si="16"/>
        <v>185448</v>
      </c>
      <c r="H276" s="11">
        <f t="shared" si="16"/>
        <v>185448</v>
      </c>
      <c r="I276" s="11">
        <f t="shared" si="16"/>
        <v>185448</v>
      </c>
      <c r="J276" s="11">
        <f t="shared" si="16"/>
        <v>185448</v>
      </c>
      <c r="K276" s="11">
        <f t="shared" si="16"/>
        <v>185448</v>
      </c>
      <c r="L276" s="11">
        <f t="shared" si="16"/>
        <v>185448</v>
      </c>
      <c r="M276" s="11">
        <f t="shared" si="16"/>
        <v>185448</v>
      </c>
      <c r="N276" s="11">
        <f t="shared" si="16"/>
        <v>185448</v>
      </c>
      <c r="O276" s="11">
        <f t="shared" si="16"/>
        <v>185448</v>
      </c>
      <c r="P276" s="11">
        <f t="shared" si="15"/>
        <v>185448</v>
      </c>
    </row>
    <row r="277" spans="1:16" x14ac:dyDescent="0.3">
      <c r="A277" s="470">
        <v>350.1</v>
      </c>
      <c r="B277" s="8" t="s">
        <v>327</v>
      </c>
      <c r="C277" s="11">
        <f t="shared" si="16"/>
        <v>106549</v>
      </c>
      <c r="D277" s="11">
        <f t="shared" si="16"/>
        <v>106549</v>
      </c>
      <c r="E277" s="11">
        <f t="shared" si="16"/>
        <v>106549</v>
      </c>
      <c r="F277" s="11">
        <f t="shared" si="16"/>
        <v>106549</v>
      </c>
      <c r="G277" s="11">
        <f t="shared" si="16"/>
        <v>106549</v>
      </c>
      <c r="H277" s="11">
        <f t="shared" si="16"/>
        <v>106549</v>
      </c>
      <c r="I277" s="11">
        <f t="shared" si="16"/>
        <v>106549</v>
      </c>
      <c r="J277" s="11">
        <f t="shared" si="16"/>
        <v>106549</v>
      </c>
      <c r="K277" s="11">
        <f t="shared" si="16"/>
        <v>106549</v>
      </c>
      <c r="L277" s="11">
        <f t="shared" si="16"/>
        <v>106549</v>
      </c>
      <c r="M277" s="11">
        <f t="shared" si="16"/>
        <v>106549</v>
      </c>
      <c r="N277" s="11">
        <f t="shared" si="16"/>
        <v>106549</v>
      </c>
      <c r="O277" s="11">
        <f t="shared" si="16"/>
        <v>106549</v>
      </c>
      <c r="P277" s="11">
        <f t="shared" si="15"/>
        <v>106549</v>
      </c>
    </row>
    <row r="278" spans="1:16" x14ac:dyDescent="0.3">
      <c r="A278" s="470">
        <v>350.2</v>
      </c>
      <c r="B278" s="8" t="s">
        <v>366</v>
      </c>
      <c r="C278" s="11">
        <f t="shared" si="16"/>
        <v>109624.94</v>
      </c>
      <c r="D278" s="11">
        <f t="shared" si="16"/>
        <v>109624.94</v>
      </c>
      <c r="E278" s="11">
        <f t="shared" si="16"/>
        <v>109624.94</v>
      </c>
      <c r="F278" s="11">
        <f t="shared" si="16"/>
        <v>109624.94</v>
      </c>
      <c r="G278" s="11">
        <f t="shared" si="16"/>
        <v>109624.94</v>
      </c>
      <c r="H278" s="11">
        <f t="shared" si="16"/>
        <v>109624.94</v>
      </c>
      <c r="I278" s="11">
        <f t="shared" si="16"/>
        <v>109624.94</v>
      </c>
      <c r="J278" s="11">
        <f t="shared" si="16"/>
        <v>109624.94</v>
      </c>
      <c r="K278" s="11">
        <f t="shared" si="16"/>
        <v>109624.94</v>
      </c>
      <c r="L278" s="11">
        <f t="shared" si="16"/>
        <v>109624.94</v>
      </c>
      <c r="M278" s="11">
        <f t="shared" si="16"/>
        <v>109624.94</v>
      </c>
      <c r="N278" s="11">
        <f t="shared" si="16"/>
        <v>109624.94</v>
      </c>
      <c r="O278" s="11">
        <f t="shared" si="16"/>
        <v>109624.94</v>
      </c>
      <c r="P278" s="11">
        <f t="shared" si="15"/>
        <v>109624.93999999996</v>
      </c>
    </row>
    <row r="279" spans="1:16" x14ac:dyDescent="0.3">
      <c r="A279" s="470">
        <v>351</v>
      </c>
      <c r="B279" s="8" t="s">
        <v>367</v>
      </c>
      <c r="C279" s="11">
        <f t="shared" si="16"/>
        <v>7254419.3600000013</v>
      </c>
      <c r="D279" s="11">
        <f t="shared" si="16"/>
        <v>7254419.3600000013</v>
      </c>
      <c r="E279" s="11">
        <f t="shared" si="16"/>
        <v>7254419.3600000013</v>
      </c>
      <c r="F279" s="11">
        <f t="shared" si="16"/>
        <v>7382069.2300000014</v>
      </c>
      <c r="G279" s="11">
        <f t="shared" si="16"/>
        <v>7382069.2300000014</v>
      </c>
      <c r="H279" s="11">
        <f t="shared" si="16"/>
        <v>7382069.2300000014</v>
      </c>
      <c r="I279" s="11">
        <f t="shared" si="16"/>
        <v>7382069.2300000014</v>
      </c>
      <c r="J279" s="11">
        <f t="shared" si="16"/>
        <v>7382069.2300000014</v>
      </c>
      <c r="K279" s="11">
        <f t="shared" si="16"/>
        <v>7382069.2300000014</v>
      </c>
      <c r="L279" s="11">
        <f t="shared" si="16"/>
        <v>8582708.8600000013</v>
      </c>
      <c r="M279" s="11">
        <f t="shared" si="16"/>
        <v>8582708.8600000013</v>
      </c>
      <c r="N279" s="11">
        <f t="shared" si="16"/>
        <v>8582708.8600000013</v>
      </c>
      <c r="O279" s="11">
        <f t="shared" si="16"/>
        <v>8582708.8600000013</v>
      </c>
      <c r="P279" s="11">
        <f t="shared" si="15"/>
        <v>7705662.0658333348</v>
      </c>
    </row>
    <row r="280" spans="1:16" x14ac:dyDescent="0.3">
      <c r="A280" s="470">
        <v>352</v>
      </c>
      <c r="B280" s="8" t="s">
        <v>368</v>
      </c>
      <c r="C280" s="11">
        <f t="shared" si="16"/>
        <v>20047076.030000001</v>
      </c>
      <c r="D280" s="11">
        <f t="shared" si="16"/>
        <v>20047076.030000001</v>
      </c>
      <c r="E280" s="11">
        <f t="shared" si="16"/>
        <v>20047076.030000001</v>
      </c>
      <c r="F280" s="11">
        <f t="shared" si="16"/>
        <v>20047076.030000001</v>
      </c>
      <c r="G280" s="11">
        <f t="shared" si="16"/>
        <v>20047076.030000001</v>
      </c>
      <c r="H280" s="11">
        <f t="shared" si="16"/>
        <v>23165836.07</v>
      </c>
      <c r="I280" s="11">
        <f t="shared" si="16"/>
        <v>23178402.699999999</v>
      </c>
      <c r="J280" s="11">
        <f t="shared" si="16"/>
        <v>23183101.849999998</v>
      </c>
      <c r="K280" s="11">
        <f t="shared" si="16"/>
        <v>23191779.599999998</v>
      </c>
      <c r="L280" s="11">
        <f t="shared" si="16"/>
        <v>23199946.879999999</v>
      </c>
      <c r="M280" s="11">
        <f t="shared" si="16"/>
        <v>23208624.619999997</v>
      </c>
      <c r="N280" s="11">
        <f t="shared" si="16"/>
        <v>23220939.929999996</v>
      </c>
      <c r="O280" s="11">
        <f t="shared" si="16"/>
        <v>23230707.559999995</v>
      </c>
      <c r="P280" s="11">
        <f t="shared" si="15"/>
        <v>22014652.297083333</v>
      </c>
    </row>
    <row r="281" spans="1:16" x14ac:dyDescent="0.3">
      <c r="A281" s="470">
        <v>352.1</v>
      </c>
      <c r="B281" s="8" t="s">
        <v>369</v>
      </c>
      <c r="C281" s="11">
        <f t="shared" si="16"/>
        <v>3938491.32</v>
      </c>
      <c r="D281" s="11">
        <f t="shared" si="16"/>
        <v>3938491.32</v>
      </c>
      <c r="E281" s="11">
        <f t="shared" si="16"/>
        <v>3938491.32</v>
      </c>
      <c r="F281" s="11">
        <f t="shared" si="16"/>
        <v>3938491.32</v>
      </c>
      <c r="G281" s="11">
        <f t="shared" si="16"/>
        <v>3938491.32</v>
      </c>
      <c r="H281" s="11">
        <f t="shared" si="16"/>
        <v>3938491.32</v>
      </c>
      <c r="I281" s="11">
        <f t="shared" si="16"/>
        <v>3938491.32</v>
      </c>
      <c r="J281" s="11">
        <f t="shared" si="16"/>
        <v>3938491.32</v>
      </c>
      <c r="K281" s="11">
        <f t="shared" si="16"/>
        <v>3938491.32</v>
      </c>
      <c r="L281" s="11">
        <f t="shared" si="16"/>
        <v>3938491.32</v>
      </c>
      <c r="M281" s="11">
        <f t="shared" si="16"/>
        <v>3938491.32</v>
      </c>
      <c r="N281" s="11">
        <f t="shared" si="16"/>
        <v>3938491.32</v>
      </c>
      <c r="O281" s="11">
        <f t="shared" si="16"/>
        <v>3938491.32</v>
      </c>
      <c r="P281" s="11">
        <f t="shared" si="15"/>
        <v>3938491.32</v>
      </c>
    </row>
    <row r="282" spans="1:16" x14ac:dyDescent="0.3">
      <c r="A282" s="470">
        <v>352.2</v>
      </c>
      <c r="B282" s="8" t="s">
        <v>370</v>
      </c>
      <c r="C282" s="11">
        <f t="shared" ref="C282:O297" si="17">+C38+C160</f>
        <v>7272553.0899999999</v>
      </c>
      <c r="D282" s="11">
        <f t="shared" si="17"/>
        <v>7272553.0899999999</v>
      </c>
      <c r="E282" s="11">
        <f t="shared" si="17"/>
        <v>7272553.0899999999</v>
      </c>
      <c r="F282" s="11">
        <f t="shared" si="17"/>
        <v>7272553.0899999999</v>
      </c>
      <c r="G282" s="11">
        <f t="shared" si="17"/>
        <v>7272553.0899999999</v>
      </c>
      <c r="H282" s="11">
        <f t="shared" si="17"/>
        <v>7272553.0899999999</v>
      </c>
      <c r="I282" s="11">
        <f t="shared" si="17"/>
        <v>7272553.0899999999</v>
      </c>
      <c r="J282" s="11">
        <f t="shared" si="17"/>
        <v>7272553.0899999999</v>
      </c>
      <c r="K282" s="11">
        <f t="shared" si="17"/>
        <v>7272553.0899999999</v>
      </c>
      <c r="L282" s="11">
        <f t="shared" si="17"/>
        <v>7272553.0899999999</v>
      </c>
      <c r="M282" s="11">
        <f t="shared" si="17"/>
        <v>7272553.0899999999</v>
      </c>
      <c r="N282" s="11">
        <f t="shared" si="17"/>
        <v>7272553.0899999999</v>
      </c>
      <c r="O282" s="11">
        <f t="shared" si="17"/>
        <v>7272553.0899999999</v>
      </c>
      <c r="P282" s="11">
        <f t="shared" si="15"/>
        <v>7272553.0900000026</v>
      </c>
    </row>
    <row r="283" spans="1:16" x14ac:dyDescent="0.3">
      <c r="A283" s="470">
        <v>352.3</v>
      </c>
      <c r="B283" s="8" t="s">
        <v>371</v>
      </c>
      <c r="C283" s="11">
        <f t="shared" si="17"/>
        <v>6440889.8200000003</v>
      </c>
      <c r="D283" s="11">
        <f t="shared" si="17"/>
        <v>6440889.8200000003</v>
      </c>
      <c r="E283" s="11">
        <f t="shared" si="17"/>
        <v>6440889.8200000003</v>
      </c>
      <c r="F283" s="11">
        <f t="shared" si="17"/>
        <v>6440889.8200000003</v>
      </c>
      <c r="G283" s="11">
        <f t="shared" si="17"/>
        <v>6440889.8200000003</v>
      </c>
      <c r="H283" s="11">
        <f t="shared" si="17"/>
        <v>6440889.8200000003</v>
      </c>
      <c r="I283" s="11">
        <f t="shared" si="17"/>
        <v>6440889.8200000003</v>
      </c>
      <c r="J283" s="11">
        <f t="shared" si="17"/>
        <v>6440889.8200000003</v>
      </c>
      <c r="K283" s="11">
        <f t="shared" si="17"/>
        <v>6440889.8200000003</v>
      </c>
      <c r="L283" s="11">
        <f t="shared" si="17"/>
        <v>6440889.8200000003</v>
      </c>
      <c r="M283" s="11">
        <f t="shared" si="17"/>
        <v>6440889.8200000003</v>
      </c>
      <c r="N283" s="11">
        <f t="shared" si="17"/>
        <v>6440889.8200000003</v>
      </c>
      <c r="O283" s="11">
        <f t="shared" si="17"/>
        <v>6440889.8200000003</v>
      </c>
      <c r="P283" s="11">
        <f t="shared" si="15"/>
        <v>6440889.8200000003</v>
      </c>
    </row>
    <row r="284" spans="1:16" x14ac:dyDescent="0.3">
      <c r="A284" s="470">
        <v>353</v>
      </c>
      <c r="B284" s="8" t="s">
        <v>372</v>
      </c>
      <c r="C284" s="11">
        <f t="shared" si="17"/>
        <v>6552220.3200000003</v>
      </c>
      <c r="D284" s="11">
        <f t="shared" si="17"/>
        <v>6552220.3200000003</v>
      </c>
      <c r="E284" s="11">
        <f t="shared" si="17"/>
        <v>6552220.3200000003</v>
      </c>
      <c r="F284" s="11">
        <f t="shared" si="17"/>
        <v>6552220.3200000003</v>
      </c>
      <c r="G284" s="11">
        <f t="shared" si="17"/>
        <v>6552220.3200000003</v>
      </c>
      <c r="H284" s="11">
        <f t="shared" si="17"/>
        <v>6552220.3200000003</v>
      </c>
      <c r="I284" s="11">
        <f t="shared" si="17"/>
        <v>6552220.3200000003</v>
      </c>
      <c r="J284" s="11">
        <f t="shared" si="17"/>
        <v>6552220.3200000003</v>
      </c>
      <c r="K284" s="11">
        <f t="shared" si="17"/>
        <v>6552220.3200000003</v>
      </c>
      <c r="L284" s="11">
        <f t="shared" si="17"/>
        <v>6552220.3200000003</v>
      </c>
      <c r="M284" s="11">
        <f t="shared" si="17"/>
        <v>6552220.3200000003</v>
      </c>
      <c r="N284" s="11">
        <f t="shared" si="17"/>
        <v>6552220.3200000003</v>
      </c>
      <c r="O284" s="11">
        <f t="shared" si="17"/>
        <v>6918695.5200000005</v>
      </c>
      <c r="P284" s="11">
        <f t="shared" si="15"/>
        <v>6567490.120000001</v>
      </c>
    </row>
    <row r="285" spans="1:16" x14ac:dyDescent="0.3">
      <c r="A285" s="470">
        <v>354</v>
      </c>
      <c r="B285" s="8" t="s">
        <v>373</v>
      </c>
      <c r="C285" s="11">
        <f t="shared" si="17"/>
        <v>0</v>
      </c>
      <c r="D285" s="11">
        <f t="shared" si="17"/>
        <v>0</v>
      </c>
      <c r="E285" s="11">
        <f t="shared" si="17"/>
        <v>0</v>
      </c>
      <c r="F285" s="11">
        <f t="shared" si="17"/>
        <v>0</v>
      </c>
      <c r="G285" s="11">
        <f t="shared" si="17"/>
        <v>0</v>
      </c>
      <c r="H285" s="11">
        <f t="shared" si="17"/>
        <v>0</v>
      </c>
      <c r="I285" s="11">
        <f t="shared" si="17"/>
        <v>0</v>
      </c>
      <c r="J285" s="11">
        <f t="shared" si="17"/>
        <v>0</v>
      </c>
      <c r="K285" s="11">
        <f t="shared" si="17"/>
        <v>0</v>
      </c>
      <c r="L285" s="11">
        <f t="shared" si="17"/>
        <v>0</v>
      </c>
      <c r="M285" s="11">
        <f t="shared" si="17"/>
        <v>0</v>
      </c>
      <c r="N285" s="11">
        <f t="shared" si="17"/>
        <v>0</v>
      </c>
      <c r="O285" s="11">
        <f t="shared" si="17"/>
        <v>0</v>
      </c>
      <c r="P285" s="11">
        <f t="shared" si="15"/>
        <v>0</v>
      </c>
    </row>
    <row r="286" spans="1:16" x14ac:dyDescent="0.3">
      <c r="A286" s="470">
        <v>354.1</v>
      </c>
      <c r="B286" s="8" t="s">
        <v>1909</v>
      </c>
      <c r="C286" s="11">
        <f t="shared" si="17"/>
        <v>4154699.66</v>
      </c>
      <c r="D286" s="11">
        <f t="shared" si="17"/>
        <v>4154699.66</v>
      </c>
      <c r="E286" s="11">
        <f t="shared" si="17"/>
        <v>4154699.66</v>
      </c>
      <c r="F286" s="11">
        <f t="shared" si="17"/>
        <v>4154699.66</v>
      </c>
      <c r="G286" s="11">
        <f t="shared" si="17"/>
        <v>4154699.66</v>
      </c>
      <c r="H286" s="11">
        <f t="shared" si="17"/>
        <v>4154699.66</v>
      </c>
      <c r="I286" s="11">
        <f t="shared" si="17"/>
        <v>4154699.66</v>
      </c>
      <c r="J286" s="11">
        <f t="shared" si="17"/>
        <v>4154699.66</v>
      </c>
      <c r="K286" s="11">
        <f t="shared" si="17"/>
        <v>4154699.66</v>
      </c>
      <c r="L286" s="11">
        <f t="shared" si="17"/>
        <v>4154699.66</v>
      </c>
      <c r="M286" s="11">
        <f t="shared" si="17"/>
        <v>4154699.66</v>
      </c>
      <c r="N286" s="11">
        <f t="shared" si="17"/>
        <v>4154699.66</v>
      </c>
      <c r="O286" s="11">
        <f t="shared" si="17"/>
        <v>4154699.66</v>
      </c>
      <c r="P286" s="11">
        <f t="shared" si="15"/>
        <v>4154699.6599999988</v>
      </c>
    </row>
    <row r="287" spans="1:16" x14ac:dyDescent="0.3">
      <c r="A287" s="470">
        <v>354.2</v>
      </c>
      <c r="B287" s="8" t="s">
        <v>1910</v>
      </c>
      <c r="C287" s="11">
        <f t="shared" si="17"/>
        <v>4154699</v>
      </c>
      <c r="D287" s="11">
        <f t="shared" si="17"/>
        <v>4154699</v>
      </c>
      <c r="E287" s="11">
        <f t="shared" si="17"/>
        <v>4154699</v>
      </c>
      <c r="F287" s="11">
        <f t="shared" si="17"/>
        <v>4154699</v>
      </c>
      <c r="G287" s="11">
        <f t="shared" si="17"/>
        <v>4154699</v>
      </c>
      <c r="H287" s="11">
        <f t="shared" si="17"/>
        <v>4154699</v>
      </c>
      <c r="I287" s="11">
        <f t="shared" si="17"/>
        <v>4154699</v>
      </c>
      <c r="J287" s="11">
        <f t="shared" si="17"/>
        <v>4154699</v>
      </c>
      <c r="K287" s="11">
        <f t="shared" si="17"/>
        <v>4154699</v>
      </c>
      <c r="L287" s="11">
        <f t="shared" si="17"/>
        <v>4154699</v>
      </c>
      <c r="M287" s="11">
        <f t="shared" si="17"/>
        <v>4154699</v>
      </c>
      <c r="N287" s="11">
        <f t="shared" si="17"/>
        <v>4154699</v>
      </c>
      <c r="O287" s="11">
        <f t="shared" si="17"/>
        <v>4154699</v>
      </c>
      <c r="P287" s="11">
        <f t="shared" si="15"/>
        <v>4154699</v>
      </c>
    </row>
    <row r="288" spans="1:16" x14ac:dyDescent="0.3">
      <c r="A288" s="470">
        <v>354.3</v>
      </c>
      <c r="B288" s="8" t="s">
        <v>1911</v>
      </c>
      <c r="C288" s="11">
        <f t="shared" si="17"/>
        <v>19640514.359999999</v>
      </c>
      <c r="D288" s="11">
        <f t="shared" si="17"/>
        <v>19640514.359999999</v>
      </c>
      <c r="E288" s="11">
        <f t="shared" si="17"/>
        <v>19640514.359999999</v>
      </c>
      <c r="F288" s="11">
        <f t="shared" si="17"/>
        <v>19640514.359999999</v>
      </c>
      <c r="G288" s="11">
        <f t="shared" si="17"/>
        <v>19640514.359999999</v>
      </c>
      <c r="H288" s="11">
        <f t="shared" si="17"/>
        <v>19640514.359999999</v>
      </c>
      <c r="I288" s="11">
        <f t="shared" si="17"/>
        <v>19640514.359999999</v>
      </c>
      <c r="J288" s="11">
        <f t="shared" si="17"/>
        <v>19640514.359999999</v>
      </c>
      <c r="K288" s="11">
        <f t="shared" si="17"/>
        <v>19640514.359999999</v>
      </c>
      <c r="L288" s="11">
        <f t="shared" si="17"/>
        <v>19640514.359999999</v>
      </c>
      <c r="M288" s="11">
        <f t="shared" si="17"/>
        <v>19640514.359999999</v>
      </c>
      <c r="N288" s="11">
        <f t="shared" si="17"/>
        <v>19640514.359999999</v>
      </c>
      <c r="O288" s="11">
        <f t="shared" si="17"/>
        <v>19640514.359999999</v>
      </c>
      <c r="P288" s="11">
        <f t="shared" si="15"/>
        <v>19640514.360000003</v>
      </c>
    </row>
    <row r="289" spans="1:16" x14ac:dyDescent="0.3">
      <c r="A289" s="470">
        <v>354.4</v>
      </c>
      <c r="B289" s="8" t="s">
        <v>1912</v>
      </c>
      <c r="C289" s="11">
        <f t="shared" si="17"/>
        <v>3316171.17</v>
      </c>
      <c r="D289" s="11">
        <f t="shared" si="17"/>
        <v>3316171.17</v>
      </c>
      <c r="E289" s="11">
        <f t="shared" si="17"/>
        <v>3316171.17</v>
      </c>
      <c r="F289" s="11">
        <f t="shared" si="17"/>
        <v>3316171.17</v>
      </c>
      <c r="G289" s="11">
        <f t="shared" si="17"/>
        <v>3316171.17</v>
      </c>
      <c r="H289" s="11">
        <f t="shared" si="17"/>
        <v>3316171.17</v>
      </c>
      <c r="I289" s="11">
        <f t="shared" si="17"/>
        <v>3316171.17</v>
      </c>
      <c r="J289" s="11">
        <f t="shared" si="17"/>
        <v>3316171.17</v>
      </c>
      <c r="K289" s="11">
        <f t="shared" si="17"/>
        <v>3316171.17</v>
      </c>
      <c r="L289" s="11">
        <f t="shared" si="17"/>
        <v>3316171.17</v>
      </c>
      <c r="M289" s="11">
        <f t="shared" si="17"/>
        <v>3316171.17</v>
      </c>
      <c r="N289" s="11">
        <f t="shared" si="17"/>
        <v>3316171.17</v>
      </c>
      <c r="O289" s="11">
        <f t="shared" si="17"/>
        <v>3316171.17</v>
      </c>
      <c r="P289" s="11">
        <f t="shared" si="15"/>
        <v>3316171.1700000004</v>
      </c>
    </row>
    <row r="290" spans="1:16" x14ac:dyDescent="0.3">
      <c r="A290" s="470">
        <v>354.6</v>
      </c>
      <c r="B290" s="8" t="s">
        <v>1913</v>
      </c>
      <c r="C290" s="11">
        <f t="shared" si="17"/>
        <v>85727.360000000001</v>
      </c>
      <c r="D290" s="11">
        <f t="shared" si="17"/>
        <v>85727.360000000001</v>
      </c>
      <c r="E290" s="11">
        <f t="shared" si="17"/>
        <v>85727.360000000001</v>
      </c>
      <c r="F290" s="11">
        <f t="shared" si="17"/>
        <v>86631.360000000001</v>
      </c>
      <c r="G290" s="11">
        <f t="shared" si="17"/>
        <v>86631.360000000001</v>
      </c>
      <c r="H290" s="11">
        <f t="shared" si="17"/>
        <v>86631.360000000001</v>
      </c>
      <c r="I290" s="11">
        <f t="shared" si="17"/>
        <v>86631.360000000001</v>
      </c>
      <c r="J290" s="11">
        <f t="shared" si="17"/>
        <v>86631.360000000001</v>
      </c>
      <c r="K290" s="11">
        <f t="shared" si="17"/>
        <v>86631.360000000001</v>
      </c>
      <c r="L290" s="11">
        <f t="shared" si="17"/>
        <v>86631.360000000001</v>
      </c>
      <c r="M290" s="11">
        <f t="shared" si="17"/>
        <v>86631.360000000001</v>
      </c>
      <c r="N290" s="11">
        <f t="shared" si="17"/>
        <v>86631.360000000001</v>
      </c>
      <c r="O290" s="11">
        <f t="shared" si="17"/>
        <v>86631.360000000001</v>
      </c>
      <c r="P290" s="11">
        <f t="shared" si="15"/>
        <v>86443.026666666658</v>
      </c>
    </row>
    <row r="291" spans="1:16" x14ac:dyDescent="0.3">
      <c r="A291" s="470">
        <v>355</v>
      </c>
      <c r="B291" s="8" t="s">
        <v>374</v>
      </c>
      <c r="C291" s="11">
        <f t="shared" si="17"/>
        <v>7407338.3700000001</v>
      </c>
      <c r="D291" s="11">
        <f t="shared" si="17"/>
        <v>7407338.3700000001</v>
      </c>
      <c r="E291" s="11">
        <f t="shared" si="17"/>
        <v>7407338.3700000001</v>
      </c>
      <c r="F291" s="11">
        <f t="shared" si="17"/>
        <v>7408127.1799999997</v>
      </c>
      <c r="G291" s="11">
        <f t="shared" si="17"/>
        <v>7408127.1799999997</v>
      </c>
      <c r="H291" s="11">
        <f t="shared" si="17"/>
        <v>7408127.1799999997</v>
      </c>
      <c r="I291" s="11">
        <f t="shared" si="17"/>
        <v>7408127.1799999997</v>
      </c>
      <c r="J291" s="11">
        <f t="shared" si="17"/>
        <v>7408127.1799999997</v>
      </c>
      <c r="K291" s="11">
        <f t="shared" si="17"/>
        <v>7408127.1799999997</v>
      </c>
      <c r="L291" s="11">
        <f t="shared" si="17"/>
        <v>7408127.1799999997</v>
      </c>
      <c r="M291" s="11">
        <f t="shared" si="17"/>
        <v>7408127.1799999997</v>
      </c>
      <c r="N291" s="11">
        <f t="shared" si="17"/>
        <v>7408127.1799999997</v>
      </c>
      <c r="O291" s="11">
        <f t="shared" si="17"/>
        <v>7408127.1799999997</v>
      </c>
      <c r="P291" s="11">
        <f t="shared" si="15"/>
        <v>7407962.8445833353</v>
      </c>
    </row>
    <row r="292" spans="1:16" x14ac:dyDescent="0.3">
      <c r="A292" s="470">
        <v>356</v>
      </c>
      <c r="B292" s="8" t="s">
        <v>375</v>
      </c>
      <c r="C292" s="11">
        <f t="shared" si="17"/>
        <v>297363</v>
      </c>
      <c r="D292" s="11">
        <f t="shared" si="17"/>
        <v>297363</v>
      </c>
      <c r="E292" s="11">
        <f t="shared" si="17"/>
        <v>297363</v>
      </c>
      <c r="F292" s="11">
        <f t="shared" si="17"/>
        <v>297363</v>
      </c>
      <c r="G292" s="11">
        <f t="shared" si="17"/>
        <v>297363</v>
      </c>
      <c r="H292" s="11">
        <f t="shared" si="17"/>
        <v>297363</v>
      </c>
      <c r="I292" s="11">
        <f t="shared" si="17"/>
        <v>297363</v>
      </c>
      <c r="J292" s="11">
        <f t="shared" si="17"/>
        <v>297363</v>
      </c>
      <c r="K292" s="11">
        <f t="shared" si="17"/>
        <v>297363</v>
      </c>
      <c r="L292" s="11">
        <f t="shared" si="17"/>
        <v>363595.51</v>
      </c>
      <c r="M292" s="11">
        <f t="shared" si="17"/>
        <v>363430.3</v>
      </c>
      <c r="N292" s="11">
        <f t="shared" si="17"/>
        <v>363430.3</v>
      </c>
      <c r="O292" s="11">
        <f t="shared" si="17"/>
        <v>363430.3</v>
      </c>
      <c r="P292" s="11">
        <f t="shared" si="15"/>
        <v>316646.39666666661</v>
      </c>
    </row>
    <row r="293" spans="1:16" x14ac:dyDescent="0.3">
      <c r="A293" s="470">
        <v>357</v>
      </c>
      <c r="B293" s="8" t="s">
        <v>376</v>
      </c>
      <c r="C293" s="11">
        <f t="shared" si="17"/>
        <v>1332028.8500000001</v>
      </c>
      <c r="D293" s="11">
        <f t="shared" si="17"/>
        <v>1332028.8500000001</v>
      </c>
      <c r="E293" s="11">
        <f t="shared" si="17"/>
        <v>1332028.8500000001</v>
      </c>
      <c r="F293" s="11">
        <f t="shared" si="17"/>
        <v>1332028.8500000001</v>
      </c>
      <c r="G293" s="11">
        <f t="shared" si="17"/>
        <v>1332028.8500000001</v>
      </c>
      <c r="H293" s="11">
        <f t="shared" si="17"/>
        <v>1332028.8500000001</v>
      </c>
      <c r="I293" s="11">
        <f t="shared" si="17"/>
        <v>1332028.8500000001</v>
      </c>
      <c r="J293" s="11">
        <f t="shared" si="17"/>
        <v>1332028.8500000001</v>
      </c>
      <c r="K293" s="11">
        <f t="shared" si="17"/>
        <v>1332028.8500000001</v>
      </c>
      <c r="L293" s="11">
        <f t="shared" si="17"/>
        <v>2357694.38</v>
      </c>
      <c r="M293" s="11">
        <f t="shared" si="17"/>
        <v>2357694.38</v>
      </c>
      <c r="N293" s="11">
        <f t="shared" si="17"/>
        <v>2357694.38</v>
      </c>
      <c r="O293" s="11">
        <f t="shared" si="17"/>
        <v>2357694.38</v>
      </c>
      <c r="P293" s="11">
        <f t="shared" si="15"/>
        <v>1631181.2962499997</v>
      </c>
    </row>
    <row r="294" spans="1:16" x14ac:dyDescent="0.3">
      <c r="A294" s="470">
        <v>360.11</v>
      </c>
      <c r="B294" s="8" t="s">
        <v>377</v>
      </c>
      <c r="C294" s="11">
        <f t="shared" si="17"/>
        <v>83598</v>
      </c>
      <c r="D294" s="11">
        <f t="shared" si="17"/>
        <v>83598</v>
      </c>
      <c r="E294" s="11">
        <f t="shared" si="17"/>
        <v>83598</v>
      </c>
      <c r="F294" s="11">
        <f t="shared" si="17"/>
        <v>83598</v>
      </c>
      <c r="G294" s="11">
        <f t="shared" si="17"/>
        <v>83598</v>
      </c>
      <c r="H294" s="11">
        <f t="shared" si="17"/>
        <v>83598</v>
      </c>
      <c r="I294" s="11">
        <f t="shared" si="17"/>
        <v>83598</v>
      </c>
      <c r="J294" s="11">
        <f t="shared" si="17"/>
        <v>83598</v>
      </c>
      <c r="K294" s="11">
        <f t="shared" si="17"/>
        <v>83598</v>
      </c>
      <c r="L294" s="11">
        <f t="shared" si="17"/>
        <v>83598</v>
      </c>
      <c r="M294" s="11">
        <f t="shared" si="17"/>
        <v>83598</v>
      </c>
      <c r="N294" s="11">
        <f t="shared" si="17"/>
        <v>83598</v>
      </c>
      <c r="O294" s="11">
        <f t="shared" si="17"/>
        <v>83598</v>
      </c>
      <c r="P294" s="11">
        <f t="shared" si="15"/>
        <v>83598</v>
      </c>
    </row>
    <row r="295" spans="1:16" x14ac:dyDescent="0.3">
      <c r="A295" s="470">
        <v>360.12</v>
      </c>
      <c r="B295" s="8" t="s">
        <v>378</v>
      </c>
      <c r="C295" s="11">
        <f t="shared" si="17"/>
        <v>536674.81999999995</v>
      </c>
      <c r="D295" s="11">
        <f t="shared" si="17"/>
        <v>536674.81999999995</v>
      </c>
      <c r="E295" s="11">
        <f t="shared" si="17"/>
        <v>536674.81999999995</v>
      </c>
      <c r="F295" s="11">
        <f t="shared" si="17"/>
        <v>536674.81999999995</v>
      </c>
      <c r="G295" s="11">
        <f t="shared" si="17"/>
        <v>536674.81999999995</v>
      </c>
      <c r="H295" s="11">
        <f t="shared" si="17"/>
        <v>536674.81999999995</v>
      </c>
      <c r="I295" s="11">
        <f t="shared" si="17"/>
        <v>536674.81999999995</v>
      </c>
      <c r="J295" s="11">
        <f t="shared" si="17"/>
        <v>536674.81999999995</v>
      </c>
      <c r="K295" s="11">
        <f t="shared" si="17"/>
        <v>536674.81999999995</v>
      </c>
      <c r="L295" s="11">
        <f t="shared" si="17"/>
        <v>536674.81999999995</v>
      </c>
      <c r="M295" s="11">
        <f t="shared" si="17"/>
        <v>536674.81999999995</v>
      </c>
      <c r="N295" s="11">
        <f t="shared" si="17"/>
        <v>536674.81999999995</v>
      </c>
      <c r="O295" s="11">
        <f t="shared" si="17"/>
        <v>536674.81999999995</v>
      </c>
      <c r="P295" s="11">
        <f t="shared" si="15"/>
        <v>536674.82000000007</v>
      </c>
    </row>
    <row r="296" spans="1:16" x14ac:dyDescent="0.3">
      <c r="A296" s="470">
        <v>360.2</v>
      </c>
      <c r="B296" s="8" t="s">
        <v>379</v>
      </c>
      <c r="C296" s="11">
        <f t="shared" si="17"/>
        <v>106557.31</v>
      </c>
      <c r="D296" s="11">
        <f t="shared" si="17"/>
        <v>106557.31</v>
      </c>
      <c r="E296" s="11">
        <f t="shared" si="17"/>
        <v>106557.31</v>
      </c>
      <c r="F296" s="11">
        <f t="shared" si="17"/>
        <v>106557.31</v>
      </c>
      <c r="G296" s="11">
        <f t="shared" si="17"/>
        <v>106557.31</v>
      </c>
      <c r="H296" s="11">
        <f t="shared" si="17"/>
        <v>106557.31</v>
      </c>
      <c r="I296" s="11">
        <f t="shared" si="17"/>
        <v>106557.31</v>
      </c>
      <c r="J296" s="11">
        <f t="shared" si="17"/>
        <v>106557.31</v>
      </c>
      <c r="K296" s="11">
        <f t="shared" si="17"/>
        <v>106557.31</v>
      </c>
      <c r="L296" s="11">
        <f t="shared" si="17"/>
        <v>106557.31</v>
      </c>
      <c r="M296" s="11">
        <f t="shared" si="17"/>
        <v>106557.31</v>
      </c>
      <c r="N296" s="11">
        <f t="shared" si="17"/>
        <v>106557.31</v>
      </c>
      <c r="O296" s="11">
        <f t="shared" si="17"/>
        <v>106557.31</v>
      </c>
      <c r="P296" s="11">
        <f t="shared" si="15"/>
        <v>106557.31000000004</v>
      </c>
    </row>
    <row r="297" spans="1:16" x14ac:dyDescent="0.3">
      <c r="A297" s="470">
        <v>361.11</v>
      </c>
      <c r="B297" s="8" t="s">
        <v>329</v>
      </c>
      <c r="C297" s="11">
        <f t="shared" si="17"/>
        <v>5093858.49</v>
      </c>
      <c r="D297" s="11">
        <f t="shared" si="17"/>
        <v>5093858.49</v>
      </c>
      <c r="E297" s="11">
        <f t="shared" si="17"/>
        <v>5093858.49</v>
      </c>
      <c r="F297" s="11">
        <f t="shared" si="17"/>
        <v>5068838.49</v>
      </c>
      <c r="G297" s="11">
        <f t="shared" si="17"/>
        <v>5068838.49</v>
      </c>
      <c r="H297" s="11">
        <f t="shared" si="17"/>
        <v>5396077.7200000007</v>
      </c>
      <c r="I297" s="11">
        <f t="shared" si="17"/>
        <v>5411636.1600000011</v>
      </c>
      <c r="J297" s="11">
        <f t="shared" si="17"/>
        <v>5408882.2000000011</v>
      </c>
      <c r="K297" s="11">
        <f t="shared" si="17"/>
        <v>5408882.2000000011</v>
      </c>
      <c r="L297" s="11">
        <f t="shared" si="17"/>
        <v>5408882.2000000011</v>
      </c>
      <c r="M297" s="11">
        <f t="shared" si="17"/>
        <v>5408882.2000000011</v>
      </c>
      <c r="N297" s="11">
        <f t="shared" si="17"/>
        <v>5408882.2000000011</v>
      </c>
      <c r="O297" s="11">
        <f t="shared" si="17"/>
        <v>5408882.2000000011</v>
      </c>
      <c r="P297" s="11">
        <f t="shared" si="15"/>
        <v>5285740.7654166678</v>
      </c>
    </row>
    <row r="298" spans="1:16" x14ac:dyDescent="0.3">
      <c r="A298" s="470">
        <v>361.12</v>
      </c>
      <c r="B298" s="8" t="s">
        <v>329</v>
      </c>
      <c r="C298" s="11">
        <f t="shared" ref="C298:O313" si="18">+C54+C176</f>
        <v>10391547.239999998</v>
      </c>
      <c r="D298" s="11">
        <f t="shared" si="18"/>
        <v>10393973.659999998</v>
      </c>
      <c r="E298" s="11">
        <f t="shared" si="18"/>
        <v>10394724.839999998</v>
      </c>
      <c r="F298" s="11">
        <f t="shared" si="18"/>
        <v>10013761.109999998</v>
      </c>
      <c r="G298" s="11">
        <f t="shared" si="18"/>
        <v>10013761.109999998</v>
      </c>
      <c r="H298" s="11">
        <f t="shared" si="18"/>
        <v>10013761.109999998</v>
      </c>
      <c r="I298" s="11">
        <f t="shared" si="18"/>
        <v>10013761.109999998</v>
      </c>
      <c r="J298" s="11">
        <f t="shared" si="18"/>
        <v>10036530.509999998</v>
      </c>
      <c r="K298" s="11">
        <f t="shared" si="18"/>
        <v>10021371.719999999</v>
      </c>
      <c r="L298" s="11">
        <f t="shared" si="18"/>
        <v>10031519.329999998</v>
      </c>
      <c r="M298" s="11">
        <f t="shared" si="18"/>
        <v>10031519.329999998</v>
      </c>
      <c r="N298" s="11">
        <f t="shared" si="18"/>
        <v>10031519.329999998</v>
      </c>
      <c r="O298" s="11">
        <f t="shared" si="18"/>
        <v>10031519.329999998</v>
      </c>
      <c r="P298" s="11">
        <f t="shared" si="15"/>
        <v>10100644.703749998</v>
      </c>
    </row>
    <row r="299" spans="1:16" x14ac:dyDescent="0.3">
      <c r="A299" s="470">
        <v>361.2</v>
      </c>
      <c r="B299" s="8" t="s">
        <v>380</v>
      </c>
      <c r="C299" s="11">
        <f t="shared" si="18"/>
        <v>26757</v>
      </c>
      <c r="D299" s="11">
        <f t="shared" si="18"/>
        <v>26757</v>
      </c>
      <c r="E299" s="11">
        <f t="shared" si="18"/>
        <v>26757</v>
      </c>
      <c r="F299" s="11">
        <f t="shared" si="18"/>
        <v>26757</v>
      </c>
      <c r="G299" s="11">
        <f t="shared" si="18"/>
        <v>26757</v>
      </c>
      <c r="H299" s="11">
        <f t="shared" si="18"/>
        <v>26757</v>
      </c>
      <c r="I299" s="11">
        <f t="shared" si="18"/>
        <v>26757</v>
      </c>
      <c r="J299" s="11">
        <f t="shared" si="18"/>
        <v>26757</v>
      </c>
      <c r="K299" s="11">
        <f t="shared" si="18"/>
        <v>26757</v>
      </c>
      <c r="L299" s="11">
        <f t="shared" si="18"/>
        <v>26757</v>
      </c>
      <c r="M299" s="11">
        <f t="shared" si="18"/>
        <v>26757</v>
      </c>
      <c r="N299" s="11">
        <f t="shared" si="18"/>
        <v>26757</v>
      </c>
      <c r="O299" s="11">
        <f t="shared" si="18"/>
        <v>26757</v>
      </c>
      <c r="P299" s="11">
        <f t="shared" si="15"/>
        <v>26757</v>
      </c>
    </row>
    <row r="300" spans="1:16" x14ac:dyDescent="0.3">
      <c r="A300" s="470">
        <v>362.11</v>
      </c>
      <c r="B300" s="8" t="s">
        <v>381</v>
      </c>
      <c r="C300" s="11">
        <f t="shared" si="18"/>
        <v>4334577.8999999994</v>
      </c>
      <c r="D300" s="11">
        <f t="shared" si="18"/>
        <v>4334577.8999999994</v>
      </c>
      <c r="E300" s="11">
        <f t="shared" si="18"/>
        <v>4556064.3499999996</v>
      </c>
      <c r="F300" s="11">
        <f t="shared" si="18"/>
        <v>4556064.3499999996</v>
      </c>
      <c r="G300" s="11">
        <f t="shared" si="18"/>
        <v>4556064.3499999996</v>
      </c>
      <c r="H300" s="11">
        <f t="shared" si="18"/>
        <v>4556064.3499999996</v>
      </c>
      <c r="I300" s="11">
        <f t="shared" si="18"/>
        <v>4556064.3499999996</v>
      </c>
      <c r="J300" s="11">
        <f t="shared" si="18"/>
        <v>4556064.3499999996</v>
      </c>
      <c r="K300" s="11">
        <f t="shared" si="18"/>
        <v>4556064.3499999996</v>
      </c>
      <c r="L300" s="11">
        <f t="shared" si="18"/>
        <v>4556064.3499999996</v>
      </c>
      <c r="M300" s="11">
        <f t="shared" si="18"/>
        <v>4556064.3499999996</v>
      </c>
      <c r="N300" s="11">
        <f t="shared" si="18"/>
        <v>4556064.3499999996</v>
      </c>
      <c r="O300" s="11">
        <f t="shared" si="18"/>
        <v>4556064.3499999996</v>
      </c>
      <c r="P300" s="11">
        <f t="shared" si="15"/>
        <v>4528378.5437500002</v>
      </c>
    </row>
    <row r="301" spans="1:16" x14ac:dyDescent="0.3">
      <c r="A301" s="470">
        <v>362.12</v>
      </c>
      <c r="B301" s="8" t="s">
        <v>382</v>
      </c>
      <c r="C301" s="11">
        <f t="shared" si="18"/>
        <v>5773903.3600000003</v>
      </c>
      <c r="D301" s="11">
        <f t="shared" si="18"/>
        <v>5773903.3600000003</v>
      </c>
      <c r="E301" s="11">
        <f t="shared" si="18"/>
        <v>5927103.8200000003</v>
      </c>
      <c r="F301" s="11">
        <f t="shared" si="18"/>
        <v>5927103.8200000003</v>
      </c>
      <c r="G301" s="11">
        <f t="shared" si="18"/>
        <v>5927103.8200000003</v>
      </c>
      <c r="H301" s="11">
        <f t="shared" si="18"/>
        <v>5927103.8200000003</v>
      </c>
      <c r="I301" s="11">
        <f t="shared" si="18"/>
        <v>5927103.8200000003</v>
      </c>
      <c r="J301" s="11">
        <f t="shared" si="18"/>
        <v>5927103.8200000003</v>
      </c>
      <c r="K301" s="11">
        <f t="shared" si="18"/>
        <v>5927103.8200000003</v>
      </c>
      <c r="L301" s="11">
        <f t="shared" si="18"/>
        <v>5927103.8200000003</v>
      </c>
      <c r="M301" s="11">
        <f t="shared" si="18"/>
        <v>5927103.8200000003</v>
      </c>
      <c r="N301" s="11">
        <f t="shared" si="18"/>
        <v>5927103.8200000003</v>
      </c>
      <c r="O301" s="11">
        <f t="shared" si="18"/>
        <v>5927103.8200000003</v>
      </c>
      <c r="P301" s="11">
        <f t="shared" si="15"/>
        <v>5907953.7625000002</v>
      </c>
    </row>
    <row r="302" spans="1:16" x14ac:dyDescent="0.3">
      <c r="A302" s="470">
        <v>362.2</v>
      </c>
      <c r="B302" s="8" t="s">
        <v>383</v>
      </c>
      <c r="C302" s="11">
        <f t="shared" si="18"/>
        <v>1600.14</v>
      </c>
      <c r="D302" s="11">
        <f t="shared" si="18"/>
        <v>1600.14</v>
      </c>
      <c r="E302" s="11">
        <f t="shared" si="18"/>
        <v>1600.14</v>
      </c>
      <c r="F302" s="11">
        <f t="shared" si="18"/>
        <v>1600.14</v>
      </c>
      <c r="G302" s="11">
        <f t="shared" si="18"/>
        <v>1600.14</v>
      </c>
      <c r="H302" s="11">
        <f t="shared" si="18"/>
        <v>1600.14</v>
      </c>
      <c r="I302" s="11">
        <f t="shared" si="18"/>
        <v>1600.14</v>
      </c>
      <c r="J302" s="11">
        <f t="shared" si="18"/>
        <v>1600.14</v>
      </c>
      <c r="K302" s="11">
        <f t="shared" si="18"/>
        <v>1600.14</v>
      </c>
      <c r="L302" s="11">
        <f t="shared" si="18"/>
        <v>1600.14</v>
      </c>
      <c r="M302" s="11">
        <f t="shared" si="18"/>
        <v>1600.14</v>
      </c>
      <c r="N302" s="11">
        <f t="shared" si="18"/>
        <v>1600.14</v>
      </c>
      <c r="O302" s="11">
        <f t="shared" si="18"/>
        <v>1600.14</v>
      </c>
      <c r="P302" s="11">
        <f t="shared" si="15"/>
        <v>1600.1399999999996</v>
      </c>
    </row>
    <row r="303" spans="1:16" x14ac:dyDescent="0.3">
      <c r="A303" s="470">
        <v>363.11</v>
      </c>
      <c r="B303" s="8" t="s">
        <v>384</v>
      </c>
      <c r="C303" s="11">
        <f t="shared" si="18"/>
        <v>3235222.69</v>
      </c>
      <c r="D303" s="11">
        <f t="shared" si="18"/>
        <v>3332892.64</v>
      </c>
      <c r="E303" s="11">
        <f t="shared" si="18"/>
        <v>3336220.39</v>
      </c>
      <c r="F303" s="11">
        <f t="shared" si="18"/>
        <v>3308902.39</v>
      </c>
      <c r="G303" s="11">
        <f t="shared" si="18"/>
        <v>3331674.0100000002</v>
      </c>
      <c r="H303" s="11">
        <f t="shared" si="18"/>
        <v>3331884.47</v>
      </c>
      <c r="I303" s="11">
        <f t="shared" si="18"/>
        <v>3332869</v>
      </c>
      <c r="J303" s="11">
        <f t="shared" si="18"/>
        <v>3332869</v>
      </c>
      <c r="K303" s="11">
        <f t="shared" si="18"/>
        <v>3332869</v>
      </c>
      <c r="L303" s="11">
        <f t="shared" si="18"/>
        <v>3332869</v>
      </c>
      <c r="M303" s="11">
        <f t="shared" si="18"/>
        <v>3332869</v>
      </c>
      <c r="N303" s="11">
        <f t="shared" si="18"/>
        <v>3319411.35</v>
      </c>
      <c r="O303" s="11">
        <f t="shared" si="18"/>
        <v>3319411.35</v>
      </c>
      <c r="P303" s="11">
        <f t="shared" si="15"/>
        <v>3325220.6058333335</v>
      </c>
    </row>
    <row r="304" spans="1:16" x14ac:dyDescent="0.3">
      <c r="A304" s="470">
        <v>363.12</v>
      </c>
      <c r="B304" s="8" t="s">
        <v>385</v>
      </c>
      <c r="C304" s="11">
        <f t="shared" si="18"/>
        <v>10800589.780000001</v>
      </c>
      <c r="D304" s="11">
        <f t="shared" si="18"/>
        <v>10799342.710000001</v>
      </c>
      <c r="E304" s="11">
        <f t="shared" si="18"/>
        <v>10800360.07</v>
      </c>
      <c r="F304" s="11">
        <f t="shared" si="18"/>
        <v>10725181.040000001</v>
      </c>
      <c r="G304" s="11">
        <f t="shared" si="18"/>
        <v>10725181.040000001</v>
      </c>
      <c r="H304" s="11">
        <f t="shared" si="18"/>
        <v>10725181.040000001</v>
      </c>
      <c r="I304" s="11">
        <f t="shared" si="18"/>
        <v>10725181.040000001</v>
      </c>
      <c r="J304" s="11">
        <f t="shared" si="18"/>
        <v>10725181.040000001</v>
      </c>
      <c r="K304" s="11">
        <f t="shared" si="18"/>
        <v>10725181.040000001</v>
      </c>
      <c r="L304" s="11">
        <f t="shared" si="18"/>
        <v>10725181.040000001</v>
      </c>
      <c r="M304" s="11">
        <f t="shared" si="18"/>
        <v>10725181.040000001</v>
      </c>
      <c r="N304" s="11">
        <f t="shared" si="18"/>
        <v>10725181.040000001</v>
      </c>
      <c r="O304" s="11">
        <f t="shared" si="18"/>
        <v>10725181.040000001</v>
      </c>
      <c r="P304" s="11">
        <f t="shared" si="15"/>
        <v>10740768.129166668</v>
      </c>
    </row>
    <row r="305" spans="1:16" x14ac:dyDescent="0.3">
      <c r="A305" s="470">
        <v>363.21</v>
      </c>
      <c r="B305" s="8" t="s">
        <v>386</v>
      </c>
      <c r="C305" s="11">
        <f t="shared" si="18"/>
        <v>5676430.9500000002</v>
      </c>
      <c r="D305" s="11">
        <f t="shared" si="18"/>
        <v>5692621.0499999998</v>
      </c>
      <c r="E305" s="11">
        <f t="shared" si="18"/>
        <v>5693066.6699999999</v>
      </c>
      <c r="F305" s="11">
        <f t="shared" si="18"/>
        <v>4458618</v>
      </c>
      <c r="G305" s="11">
        <f t="shared" si="18"/>
        <v>4458618</v>
      </c>
      <c r="H305" s="11">
        <f t="shared" si="18"/>
        <v>4458618</v>
      </c>
      <c r="I305" s="11">
        <f t="shared" si="18"/>
        <v>4458618</v>
      </c>
      <c r="J305" s="11">
        <f t="shared" si="18"/>
        <v>4458618</v>
      </c>
      <c r="K305" s="11">
        <f t="shared" si="18"/>
        <v>4458618</v>
      </c>
      <c r="L305" s="11">
        <f t="shared" si="18"/>
        <v>4458618</v>
      </c>
      <c r="M305" s="11">
        <f t="shared" si="18"/>
        <v>4458618</v>
      </c>
      <c r="N305" s="11">
        <f t="shared" si="18"/>
        <v>4458618</v>
      </c>
      <c r="O305" s="11">
        <f t="shared" si="18"/>
        <v>4458618</v>
      </c>
      <c r="P305" s="11">
        <f t="shared" si="15"/>
        <v>4715064.5162500003</v>
      </c>
    </row>
    <row r="306" spans="1:16" x14ac:dyDescent="0.3">
      <c r="A306" s="470">
        <v>363.22</v>
      </c>
      <c r="B306" s="8" t="s">
        <v>387</v>
      </c>
      <c r="C306" s="11">
        <f t="shared" si="18"/>
        <v>3697966.25</v>
      </c>
      <c r="D306" s="11">
        <f t="shared" si="18"/>
        <v>7105999.4900000002</v>
      </c>
      <c r="E306" s="11">
        <f t="shared" si="18"/>
        <v>7106445.1100000003</v>
      </c>
      <c r="F306" s="11">
        <f t="shared" si="18"/>
        <v>3739812.74</v>
      </c>
      <c r="G306" s="11">
        <f t="shared" si="18"/>
        <v>3739812.74</v>
      </c>
      <c r="H306" s="11">
        <f t="shared" si="18"/>
        <v>3739812.74</v>
      </c>
      <c r="I306" s="11">
        <f t="shared" si="18"/>
        <v>3739812.74</v>
      </c>
      <c r="J306" s="11">
        <f t="shared" si="18"/>
        <v>3739812.74</v>
      </c>
      <c r="K306" s="11">
        <f t="shared" si="18"/>
        <v>3739812.74</v>
      </c>
      <c r="L306" s="11">
        <f t="shared" si="18"/>
        <v>3739812.74</v>
      </c>
      <c r="M306" s="11">
        <f t="shared" si="18"/>
        <v>3739812.74</v>
      </c>
      <c r="N306" s="11">
        <f t="shared" si="18"/>
        <v>3739812.74</v>
      </c>
      <c r="O306" s="11">
        <f t="shared" si="18"/>
        <v>3739812.74</v>
      </c>
      <c r="P306" s="11">
        <f t="shared" si="15"/>
        <v>4299137.3962500012</v>
      </c>
    </row>
    <row r="307" spans="1:16" x14ac:dyDescent="0.3">
      <c r="A307" s="470">
        <v>363.31</v>
      </c>
      <c r="B307" s="8" t="s">
        <v>388</v>
      </c>
      <c r="C307" s="11">
        <f t="shared" si="18"/>
        <v>180903.23</v>
      </c>
      <c r="D307" s="11">
        <f t="shared" si="18"/>
        <v>180903.23</v>
      </c>
      <c r="E307" s="11">
        <f t="shared" si="18"/>
        <v>180903.23</v>
      </c>
      <c r="F307" s="11">
        <f t="shared" si="18"/>
        <v>180903.23</v>
      </c>
      <c r="G307" s="11">
        <f t="shared" si="18"/>
        <v>180903.23</v>
      </c>
      <c r="H307" s="11">
        <f t="shared" si="18"/>
        <v>180903.23</v>
      </c>
      <c r="I307" s="11">
        <f t="shared" si="18"/>
        <v>180903.23</v>
      </c>
      <c r="J307" s="11">
        <f t="shared" si="18"/>
        <v>180903.23</v>
      </c>
      <c r="K307" s="11">
        <f t="shared" si="18"/>
        <v>180903.23</v>
      </c>
      <c r="L307" s="11">
        <f t="shared" si="18"/>
        <v>180903.23</v>
      </c>
      <c r="M307" s="11">
        <f t="shared" si="18"/>
        <v>180903.23</v>
      </c>
      <c r="N307" s="11">
        <f t="shared" si="18"/>
        <v>180903.23</v>
      </c>
      <c r="O307" s="11">
        <f t="shared" si="18"/>
        <v>180903.23</v>
      </c>
      <c r="P307" s="11">
        <f t="shared" si="15"/>
        <v>180903.23</v>
      </c>
    </row>
    <row r="308" spans="1:16" x14ac:dyDescent="0.3">
      <c r="A308" s="470">
        <v>363.32</v>
      </c>
      <c r="B308" s="8" t="s">
        <v>389</v>
      </c>
      <c r="C308" s="11">
        <f t="shared" si="18"/>
        <v>4352331.9900000012</v>
      </c>
      <c r="D308" s="11">
        <f t="shared" si="18"/>
        <v>4354931.3100000015</v>
      </c>
      <c r="E308" s="11">
        <f t="shared" si="18"/>
        <v>4366183.5000000019</v>
      </c>
      <c r="F308" s="11">
        <f t="shared" si="18"/>
        <v>4366714.660000002</v>
      </c>
      <c r="G308" s="11">
        <f t="shared" si="18"/>
        <v>4366714.660000002</v>
      </c>
      <c r="H308" s="11">
        <f t="shared" si="18"/>
        <v>4366714.660000002</v>
      </c>
      <c r="I308" s="11">
        <f t="shared" si="18"/>
        <v>4366714.660000002</v>
      </c>
      <c r="J308" s="11">
        <f t="shared" si="18"/>
        <v>4366714.660000002</v>
      </c>
      <c r="K308" s="11">
        <f t="shared" si="18"/>
        <v>4366714.660000002</v>
      </c>
      <c r="L308" s="11">
        <f t="shared" si="18"/>
        <v>4366714.660000002</v>
      </c>
      <c r="M308" s="11">
        <f t="shared" si="18"/>
        <v>4366714.660000002</v>
      </c>
      <c r="N308" s="11">
        <f t="shared" si="18"/>
        <v>4366714.660000002</v>
      </c>
      <c r="O308" s="11">
        <f t="shared" si="18"/>
        <v>4623081.0700000022</v>
      </c>
      <c r="P308" s="11">
        <f t="shared" si="15"/>
        <v>4375771.1066666692</v>
      </c>
    </row>
    <row r="309" spans="1:16" x14ac:dyDescent="0.3">
      <c r="A309" s="470">
        <v>363.41</v>
      </c>
      <c r="B309" s="8" t="s">
        <v>390</v>
      </c>
      <c r="C309" s="11">
        <f t="shared" si="18"/>
        <v>1302364.02</v>
      </c>
      <c r="D309" s="11">
        <f t="shared" si="18"/>
        <v>1302364.02</v>
      </c>
      <c r="E309" s="11">
        <f t="shared" si="18"/>
        <v>1302364.02</v>
      </c>
      <c r="F309" s="11">
        <f t="shared" si="18"/>
        <v>2451771.96</v>
      </c>
      <c r="G309" s="11">
        <f t="shared" si="18"/>
        <v>2451771.96</v>
      </c>
      <c r="H309" s="11">
        <f t="shared" si="18"/>
        <v>2812271.92</v>
      </c>
      <c r="I309" s="11">
        <f t="shared" si="18"/>
        <v>2812681.13</v>
      </c>
      <c r="J309" s="11">
        <f t="shared" si="18"/>
        <v>2812681.13</v>
      </c>
      <c r="K309" s="11">
        <f t="shared" si="18"/>
        <v>2812681.13</v>
      </c>
      <c r="L309" s="11">
        <f t="shared" si="18"/>
        <v>2812681.13</v>
      </c>
      <c r="M309" s="11">
        <f t="shared" si="18"/>
        <v>2812681.13</v>
      </c>
      <c r="N309" s="11">
        <f t="shared" si="18"/>
        <v>2812681.13</v>
      </c>
      <c r="O309" s="11">
        <f t="shared" si="18"/>
        <v>2812681.13</v>
      </c>
      <c r="P309" s="11">
        <f t="shared" si="15"/>
        <v>2437846.1029166658</v>
      </c>
    </row>
    <row r="310" spans="1:16" x14ac:dyDescent="0.3">
      <c r="A310" s="470">
        <v>363.42</v>
      </c>
      <c r="B310" s="8" t="s">
        <v>390</v>
      </c>
      <c r="C310" s="11">
        <f t="shared" si="18"/>
        <v>8933366.5700000003</v>
      </c>
      <c r="D310" s="11">
        <f t="shared" si="18"/>
        <v>8941034.1600000001</v>
      </c>
      <c r="E310" s="11">
        <f t="shared" si="18"/>
        <v>8934769.6500000004</v>
      </c>
      <c r="F310" s="11">
        <f t="shared" si="18"/>
        <v>10289895.17</v>
      </c>
      <c r="G310" s="11">
        <f t="shared" si="18"/>
        <v>10289895.17</v>
      </c>
      <c r="H310" s="11">
        <f t="shared" si="18"/>
        <v>10299179.529999999</v>
      </c>
      <c r="I310" s="11">
        <f t="shared" si="18"/>
        <v>10299179.529999999</v>
      </c>
      <c r="J310" s="11">
        <f t="shared" si="18"/>
        <v>10299179.529999999</v>
      </c>
      <c r="K310" s="11">
        <f t="shared" si="18"/>
        <v>10290639.879999999</v>
      </c>
      <c r="L310" s="11">
        <f t="shared" si="18"/>
        <v>10290639.879999999</v>
      </c>
      <c r="M310" s="11">
        <f t="shared" si="18"/>
        <v>10290639.879999999</v>
      </c>
      <c r="N310" s="11">
        <f t="shared" si="18"/>
        <v>10290639.879999999</v>
      </c>
      <c r="O310" s="11">
        <f t="shared" si="18"/>
        <v>10290639.879999999</v>
      </c>
      <c r="P310" s="11">
        <f t="shared" si="15"/>
        <v>10010641.290416665</v>
      </c>
    </row>
    <row r="311" spans="1:16" x14ac:dyDescent="0.3">
      <c r="A311" s="470">
        <v>363.5</v>
      </c>
      <c r="B311" s="8" t="s">
        <v>391</v>
      </c>
      <c r="C311" s="11">
        <f t="shared" si="18"/>
        <v>3051295.49</v>
      </c>
      <c r="D311" s="11">
        <f t="shared" si="18"/>
        <v>3051295.49</v>
      </c>
      <c r="E311" s="11">
        <f t="shared" si="18"/>
        <v>3051295.49</v>
      </c>
      <c r="F311" s="11">
        <f t="shared" si="18"/>
        <v>3051295.49</v>
      </c>
      <c r="G311" s="11">
        <f t="shared" si="18"/>
        <v>3051295.49</v>
      </c>
      <c r="H311" s="11">
        <f t="shared" si="18"/>
        <v>3051295.49</v>
      </c>
      <c r="I311" s="11">
        <f t="shared" si="18"/>
        <v>3051295.49</v>
      </c>
      <c r="J311" s="11">
        <f t="shared" si="18"/>
        <v>3051295.49</v>
      </c>
      <c r="K311" s="11">
        <f t="shared" si="18"/>
        <v>3051295.49</v>
      </c>
      <c r="L311" s="11">
        <f t="shared" si="18"/>
        <v>3051295.49</v>
      </c>
      <c r="M311" s="11">
        <f t="shared" si="18"/>
        <v>3051295.49</v>
      </c>
      <c r="N311" s="11">
        <f t="shared" si="18"/>
        <v>3051295.49</v>
      </c>
      <c r="O311" s="11">
        <f t="shared" si="18"/>
        <v>3051295.49</v>
      </c>
      <c r="P311" s="11">
        <f t="shared" si="15"/>
        <v>3051295.4900000007</v>
      </c>
    </row>
    <row r="312" spans="1:16" x14ac:dyDescent="0.3">
      <c r="A312" s="470">
        <v>363.6</v>
      </c>
      <c r="B312" s="8" t="s">
        <v>392</v>
      </c>
      <c r="C312" s="11">
        <f t="shared" si="18"/>
        <v>739473</v>
      </c>
      <c r="D312" s="11">
        <f t="shared" si="18"/>
        <v>739473</v>
      </c>
      <c r="E312" s="11">
        <f t="shared" si="18"/>
        <v>739473</v>
      </c>
      <c r="F312" s="11">
        <f t="shared" si="18"/>
        <v>739473</v>
      </c>
      <c r="G312" s="11">
        <f t="shared" si="18"/>
        <v>739473</v>
      </c>
      <c r="H312" s="11">
        <f t="shared" si="18"/>
        <v>739473</v>
      </c>
      <c r="I312" s="11">
        <f t="shared" si="18"/>
        <v>739473</v>
      </c>
      <c r="J312" s="11">
        <f t="shared" si="18"/>
        <v>739473</v>
      </c>
      <c r="K312" s="11">
        <f t="shared" si="18"/>
        <v>739473</v>
      </c>
      <c r="L312" s="11">
        <f t="shared" si="18"/>
        <v>739473</v>
      </c>
      <c r="M312" s="11">
        <f t="shared" si="18"/>
        <v>739473</v>
      </c>
      <c r="N312" s="11">
        <f t="shared" si="18"/>
        <v>739473</v>
      </c>
      <c r="O312" s="11">
        <f t="shared" si="18"/>
        <v>739473</v>
      </c>
      <c r="P312" s="11">
        <f t="shared" si="15"/>
        <v>739473</v>
      </c>
    </row>
    <row r="313" spans="1:16" x14ac:dyDescent="0.3">
      <c r="A313" s="470">
        <v>365.1</v>
      </c>
      <c r="B313" s="8" t="s">
        <v>327</v>
      </c>
      <c r="C313" s="11">
        <f t="shared" si="18"/>
        <v>89772.22</v>
      </c>
      <c r="D313" s="11">
        <f t="shared" si="18"/>
        <v>89772.22</v>
      </c>
      <c r="E313" s="11">
        <f t="shared" si="18"/>
        <v>89772.22</v>
      </c>
      <c r="F313" s="11">
        <f t="shared" si="18"/>
        <v>89772.22</v>
      </c>
      <c r="G313" s="11">
        <f t="shared" si="18"/>
        <v>89772.22</v>
      </c>
      <c r="H313" s="11">
        <f t="shared" si="18"/>
        <v>89772.22</v>
      </c>
      <c r="I313" s="11">
        <f t="shared" si="18"/>
        <v>89772.22</v>
      </c>
      <c r="J313" s="11">
        <f t="shared" si="18"/>
        <v>89772.22</v>
      </c>
      <c r="K313" s="11">
        <f t="shared" si="18"/>
        <v>89772.22</v>
      </c>
      <c r="L313" s="11">
        <f t="shared" si="18"/>
        <v>89772.22</v>
      </c>
      <c r="M313" s="11">
        <f t="shared" si="18"/>
        <v>89772.22</v>
      </c>
      <c r="N313" s="11">
        <f t="shared" si="18"/>
        <v>89772.22</v>
      </c>
      <c r="O313" s="11">
        <f t="shared" si="18"/>
        <v>1027791.23</v>
      </c>
      <c r="P313" s="11">
        <f t="shared" si="15"/>
        <v>128856.34541666665</v>
      </c>
    </row>
    <row r="314" spans="1:16" x14ac:dyDescent="0.3">
      <c r="A314" s="470">
        <v>365.2</v>
      </c>
      <c r="B314" s="8" t="s">
        <v>328</v>
      </c>
      <c r="C314" s="11">
        <f t="shared" ref="C314:O329" si="19">+C70+C192</f>
        <v>6455176.8600000003</v>
      </c>
      <c r="D314" s="11">
        <f t="shared" si="19"/>
        <v>6455176.8600000003</v>
      </c>
      <c r="E314" s="11">
        <f t="shared" si="19"/>
        <v>6455176.8600000003</v>
      </c>
      <c r="F314" s="11">
        <f t="shared" si="19"/>
        <v>6455176.8600000003</v>
      </c>
      <c r="G314" s="11">
        <f t="shared" si="19"/>
        <v>6455176.8600000003</v>
      </c>
      <c r="H314" s="11">
        <f t="shared" si="19"/>
        <v>6455176.8600000003</v>
      </c>
      <c r="I314" s="11">
        <f t="shared" si="19"/>
        <v>6455176.8600000003</v>
      </c>
      <c r="J314" s="11">
        <f t="shared" si="19"/>
        <v>6455176.8600000003</v>
      </c>
      <c r="K314" s="11">
        <f t="shared" si="19"/>
        <v>6455176.8600000003</v>
      </c>
      <c r="L314" s="11">
        <f t="shared" si="19"/>
        <v>6455176.8600000003</v>
      </c>
      <c r="M314" s="11">
        <f t="shared" si="19"/>
        <v>6455176.8600000003</v>
      </c>
      <c r="N314" s="11">
        <f t="shared" si="19"/>
        <v>6455176.8600000003</v>
      </c>
      <c r="O314" s="11">
        <f t="shared" si="19"/>
        <v>6455176.8600000003</v>
      </c>
      <c r="P314" s="11">
        <f t="shared" si="15"/>
        <v>6455176.8600000003</v>
      </c>
    </row>
    <row r="315" spans="1:16" x14ac:dyDescent="0.3">
      <c r="A315" s="470">
        <v>366.3</v>
      </c>
      <c r="B315" s="8" t="s">
        <v>380</v>
      </c>
      <c r="C315" s="11">
        <f t="shared" si="19"/>
        <v>1546072.61</v>
      </c>
      <c r="D315" s="11">
        <f t="shared" si="19"/>
        <v>1546072.61</v>
      </c>
      <c r="E315" s="11">
        <f t="shared" si="19"/>
        <v>1546072.61</v>
      </c>
      <c r="F315" s="11">
        <f t="shared" si="19"/>
        <v>1546072.61</v>
      </c>
      <c r="G315" s="11">
        <f t="shared" si="19"/>
        <v>1546072.61</v>
      </c>
      <c r="H315" s="11">
        <f t="shared" si="19"/>
        <v>1546072.61</v>
      </c>
      <c r="I315" s="11">
        <f t="shared" si="19"/>
        <v>1546072.61</v>
      </c>
      <c r="J315" s="11">
        <f t="shared" si="19"/>
        <v>1546072.61</v>
      </c>
      <c r="K315" s="11">
        <f t="shared" si="19"/>
        <v>1546072.61</v>
      </c>
      <c r="L315" s="11">
        <f t="shared" si="19"/>
        <v>1546072.61</v>
      </c>
      <c r="M315" s="11">
        <f t="shared" si="19"/>
        <v>1546072.61</v>
      </c>
      <c r="N315" s="11">
        <f t="shared" si="19"/>
        <v>1546072.61</v>
      </c>
      <c r="O315" s="11">
        <f t="shared" si="19"/>
        <v>1546072.61</v>
      </c>
      <c r="P315" s="11">
        <f t="shared" si="15"/>
        <v>1546072.6099999996</v>
      </c>
    </row>
    <row r="316" spans="1:16" x14ac:dyDescent="0.3">
      <c r="A316" s="470">
        <v>367</v>
      </c>
      <c r="B316" s="8" t="s">
        <v>326</v>
      </c>
      <c r="C316" s="11">
        <f t="shared" si="19"/>
        <v>153041776.97999996</v>
      </c>
      <c r="D316" s="11">
        <f t="shared" si="19"/>
        <v>153266379.69999996</v>
      </c>
      <c r="E316" s="11">
        <f t="shared" si="19"/>
        <v>153287970.99999997</v>
      </c>
      <c r="F316" s="11">
        <f t="shared" si="19"/>
        <v>154526572.62999997</v>
      </c>
      <c r="G316" s="11">
        <f t="shared" si="19"/>
        <v>154586389.58999997</v>
      </c>
      <c r="H316" s="11">
        <f t="shared" si="19"/>
        <v>154611165.31999996</v>
      </c>
      <c r="I316" s="11">
        <f t="shared" si="19"/>
        <v>155762943.71999997</v>
      </c>
      <c r="J316" s="11">
        <f t="shared" si="19"/>
        <v>155800211.30999997</v>
      </c>
      <c r="K316" s="11">
        <f t="shared" si="19"/>
        <v>156134653.98999998</v>
      </c>
      <c r="L316" s="11">
        <f t="shared" si="19"/>
        <v>156532345.62999997</v>
      </c>
      <c r="M316" s="11">
        <f t="shared" si="19"/>
        <v>156605514.99999997</v>
      </c>
      <c r="N316" s="11">
        <f t="shared" si="19"/>
        <v>156633755.77999997</v>
      </c>
      <c r="O316" s="11">
        <f t="shared" si="19"/>
        <v>156635958.72999996</v>
      </c>
      <c r="P316" s="11">
        <f t="shared" si="15"/>
        <v>155215564.29374996</v>
      </c>
    </row>
    <row r="317" spans="1:16" x14ac:dyDescent="0.3">
      <c r="A317" s="470">
        <v>367.21</v>
      </c>
      <c r="B317" s="8" t="s">
        <v>393</v>
      </c>
      <c r="C317" s="11">
        <f t="shared" si="19"/>
        <v>1994582.39</v>
      </c>
      <c r="D317" s="11">
        <f t="shared" si="19"/>
        <v>1994582.39</v>
      </c>
      <c r="E317" s="11">
        <f t="shared" si="19"/>
        <v>1994582.39</v>
      </c>
      <c r="F317" s="11">
        <f t="shared" si="19"/>
        <v>1994582.39</v>
      </c>
      <c r="G317" s="11">
        <f t="shared" si="19"/>
        <v>1994582.39</v>
      </c>
      <c r="H317" s="11">
        <f t="shared" si="19"/>
        <v>1994582.39</v>
      </c>
      <c r="I317" s="11">
        <f t="shared" si="19"/>
        <v>1994582.39</v>
      </c>
      <c r="J317" s="11">
        <f t="shared" si="19"/>
        <v>1994582.39</v>
      </c>
      <c r="K317" s="11">
        <f t="shared" si="19"/>
        <v>1994582.39</v>
      </c>
      <c r="L317" s="11">
        <f t="shared" si="19"/>
        <v>1994582.39</v>
      </c>
      <c r="M317" s="11">
        <f t="shared" si="19"/>
        <v>1994582.39</v>
      </c>
      <c r="N317" s="11">
        <f t="shared" si="19"/>
        <v>1994582.39</v>
      </c>
      <c r="O317" s="11">
        <f t="shared" si="19"/>
        <v>1994582.39</v>
      </c>
      <c r="P317" s="11">
        <f t="shared" si="15"/>
        <v>1994582.3900000004</v>
      </c>
    </row>
    <row r="318" spans="1:16" x14ac:dyDescent="0.3">
      <c r="A318" s="470">
        <v>367.22</v>
      </c>
      <c r="B318" s="8" t="s">
        <v>394</v>
      </c>
      <c r="C318" s="11">
        <f t="shared" si="19"/>
        <v>14949264</v>
      </c>
      <c r="D318" s="11">
        <f t="shared" si="19"/>
        <v>14949264</v>
      </c>
      <c r="E318" s="11">
        <f t="shared" si="19"/>
        <v>14949264</v>
      </c>
      <c r="F318" s="11">
        <f t="shared" si="19"/>
        <v>14949264</v>
      </c>
      <c r="G318" s="11">
        <f t="shared" si="19"/>
        <v>14949264</v>
      </c>
      <c r="H318" s="11">
        <f t="shared" si="19"/>
        <v>14949264</v>
      </c>
      <c r="I318" s="11">
        <f t="shared" si="19"/>
        <v>14949264</v>
      </c>
      <c r="J318" s="11">
        <f t="shared" si="19"/>
        <v>14949264</v>
      </c>
      <c r="K318" s="11">
        <f t="shared" si="19"/>
        <v>14949264</v>
      </c>
      <c r="L318" s="11">
        <f t="shared" si="19"/>
        <v>14949264</v>
      </c>
      <c r="M318" s="11">
        <f t="shared" si="19"/>
        <v>14949264</v>
      </c>
      <c r="N318" s="11">
        <f t="shared" si="19"/>
        <v>14949264</v>
      </c>
      <c r="O318" s="11">
        <f t="shared" si="19"/>
        <v>14949264</v>
      </c>
      <c r="P318" s="11">
        <f t="shared" si="15"/>
        <v>14949264</v>
      </c>
    </row>
    <row r="319" spans="1:16" x14ac:dyDescent="0.3">
      <c r="A319" s="470">
        <v>367.23</v>
      </c>
      <c r="B319" s="8" t="s">
        <v>394</v>
      </c>
      <c r="C319" s="11">
        <f t="shared" si="19"/>
        <v>34881341.359999999</v>
      </c>
      <c r="D319" s="11">
        <f t="shared" si="19"/>
        <v>34881341.359999999</v>
      </c>
      <c r="E319" s="11">
        <f t="shared" si="19"/>
        <v>34881341.359999999</v>
      </c>
      <c r="F319" s="11">
        <f t="shared" si="19"/>
        <v>34881341.359999999</v>
      </c>
      <c r="G319" s="11">
        <f t="shared" si="19"/>
        <v>34881341.359999999</v>
      </c>
      <c r="H319" s="11">
        <f t="shared" si="19"/>
        <v>34881341.359999999</v>
      </c>
      <c r="I319" s="11">
        <f t="shared" si="19"/>
        <v>34881341.359999999</v>
      </c>
      <c r="J319" s="11">
        <f t="shared" si="19"/>
        <v>34881341.359999999</v>
      </c>
      <c r="K319" s="11">
        <f t="shared" si="19"/>
        <v>34881341.359999999</v>
      </c>
      <c r="L319" s="11">
        <f t="shared" si="19"/>
        <v>34881341.359999999</v>
      </c>
      <c r="M319" s="11">
        <f t="shared" si="19"/>
        <v>34881341.359999999</v>
      </c>
      <c r="N319" s="11">
        <f t="shared" si="19"/>
        <v>34881341.359999999</v>
      </c>
      <c r="O319" s="11">
        <f t="shared" si="19"/>
        <v>34881341.359999999</v>
      </c>
      <c r="P319" s="11">
        <f t="shared" si="15"/>
        <v>34881341.360000007</v>
      </c>
    </row>
    <row r="320" spans="1:16" x14ac:dyDescent="0.3">
      <c r="A320" s="470">
        <v>367.24</v>
      </c>
      <c r="B320" s="8" t="s">
        <v>395</v>
      </c>
      <c r="C320" s="11">
        <f t="shared" si="19"/>
        <v>17466181.890000001</v>
      </c>
      <c r="D320" s="11">
        <f t="shared" si="19"/>
        <v>17466181.890000001</v>
      </c>
      <c r="E320" s="11">
        <f t="shared" si="19"/>
        <v>17466181.890000001</v>
      </c>
      <c r="F320" s="11">
        <f t="shared" si="19"/>
        <v>17466181.890000001</v>
      </c>
      <c r="G320" s="11">
        <f t="shared" si="19"/>
        <v>17466181.890000001</v>
      </c>
      <c r="H320" s="11">
        <f t="shared" si="19"/>
        <v>17466181.890000001</v>
      </c>
      <c r="I320" s="11">
        <f t="shared" si="19"/>
        <v>17466181.890000001</v>
      </c>
      <c r="J320" s="11">
        <f t="shared" si="19"/>
        <v>17466181.890000001</v>
      </c>
      <c r="K320" s="11">
        <f t="shared" si="19"/>
        <v>17466181.890000001</v>
      </c>
      <c r="L320" s="11">
        <f t="shared" si="19"/>
        <v>17466181.890000001</v>
      </c>
      <c r="M320" s="11">
        <f t="shared" si="19"/>
        <v>17466181.890000001</v>
      </c>
      <c r="N320" s="11">
        <f t="shared" si="19"/>
        <v>17466181.890000001</v>
      </c>
      <c r="O320" s="11">
        <f t="shared" si="19"/>
        <v>17466181.890000001</v>
      </c>
      <c r="P320" s="11">
        <f t="shared" si="15"/>
        <v>17466181.889999997</v>
      </c>
    </row>
    <row r="321" spans="1:16" x14ac:dyDescent="0.3">
      <c r="A321" s="470">
        <v>367.25</v>
      </c>
      <c r="B321" s="8" t="s">
        <v>396</v>
      </c>
      <c r="C321" s="11">
        <f t="shared" si="19"/>
        <v>18613651.149999999</v>
      </c>
      <c r="D321" s="11">
        <f t="shared" si="19"/>
        <v>18613651.149999999</v>
      </c>
      <c r="E321" s="11">
        <f t="shared" si="19"/>
        <v>18613651.149999999</v>
      </c>
      <c r="F321" s="11">
        <f t="shared" si="19"/>
        <v>18613651.149999999</v>
      </c>
      <c r="G321" s="11">
        <f t="shared" si="19"/>
        <v>18613651.149999999</v>
      </c>
      <c r="H321" s="11">
        <f t="shared" si="19"/>
        <v>18613651.149999999</v>
      </c>
      <c r="I321" s="11">
        <f t="shared" si="19"/>
        <v>18613651.149999999</v>
      </c>
      <c r="J321" s="11">
        <f t="shared" si="19"/>
        <v>18613651.149999999</v>
      </c>
      <c r="K321" s="11">
        <f t="shared" si="19"/>
        <v>18613651.149999999</v>
      </c>
      <c r="L321" s="11">
        <f t="shared" si="19"/>
        <v>18613651.149999999</v>
      </c>
      <c r="M321" s="11">
        <f t="shared" si="19"/>
        <v>18613651.149999999</v>
      </c>
      <c r="N321" s="11">
        <f t="shared" si="19"/>
        <v>18613651.149999999</v>
      </c>
      <c r="O321" s="11">
        <f t="shared" si="19"/>
        <v>18613651.149999999</v>
      </c>
      <c r="P321" s="11">
        <f t="shared" si="15"/>
        <v>18613651.150000002</v>
      </c>
    </row>
    <row r="322" spans="1:16" x14ac:dyDescent="0.3">
      <c r="A322" s="470">
        <v>367.26</v>
      </c>
      <c r="B322" s="8" t="s">
        <v>397</v>
      </c>
      <c r="C322" s="11">
        <f t="shared" si="19"/>
        <v>68232675.579999998</v>
      </c>
      <c r="D322" s="11">
        <f t="shared" si="19"/>
        <v>68232675.579999998</v>
      </c>
      <c r="E322" s="11">
        <f t="shared" si="19"/>
        <v>68232675.579999998</v>
      </c>
      <c r="F322" s="11">
        <f t="shared" si="19"/>
        <v>68232675.579999998</v>
      </c>
      <c r="G322" s="11">
        <f t="shared" si="19"/>
        <v>68232675.579999998</v>
      </c>
      <c r="H322" s="11">
        <f t="shared" si="19"/>
        <v>68232675.579999998</v>
      </c>
      <c r="I322" s="11">
        <f t="shared" si="19"/>
        <v>68232675.579999998</v>
      </c>
      <c r="J322" s="11">
        <f t="shared" si="19"/>
        <v>68232675.579999998</v>
      </c>
      <c r="K322" s="11">
        <f t="shared" si="19"/>
        <v>68232675.579999998</v>
      </c>
      <c r="L322" s="11">
        <f t="shared" si="19"/>
        <v>68232675.579999998</v>
      </c>
      <c r="M322" s="11">
        <f t="shared" si="19"/>
        <v>68232675.579999998</v>
      </c>
      <c r="N322" s="11">
        <f t="shared" si="19"/>
        <v>68232675.579999998</v>
      </c>
      <c r="O322" s="11">
        <f t="shared" si="19"/>
        <v>68232675.579999998</v>
      </c>
      <c r="P322" s="11">
        <f t="shared" si="15"/>
        <v>68232675.580000013</v>
      </c>
    </row>
    <row r="323" spans="1:16" x14ac:dyDescent="0.3">
      <c r="A323" s="470">
        <v>368</v>
      </c>
      <c r="B323" s="8" t="s">
        <v>398</v>
      </c>
      <c r="C323" s="11">
        <f t="shared" si="19"/>
        <v>0</v>
      </c>
      <c r="D323" s="11">
        <f t="shared" si="19"/>
        <v>0</v>
      </c>
      <c r="E323" s="11">
        <f t="shared" si="19"/>
        <v>0</v>
      </c>
      <c r="F323" s="11">
        <f t="shared" si="19"/>
        <v>0</v>
      </c>
      <c r="G323" s="11">
        <f t="shared" si="19"/>
        <v>0</v>
      </c>
      <c r="H323" s="11">
        <f t="shared" si="19"/>
        <v>0</v>
      </c>
      <c r="I323" s="11">
        <f t="shared" si="19"/>
        <v>0</v>
      </c>
      <c r="J323" s="11">
        <f t="shared" si="19"/>
        <v>0</v>
      </c>
      <c r="K323" s="11">
        <f t="shared" si="19"/>
        <v>0</v>
      </c>
      <c r="L323" s="11">
        <f t="shared" si="19"/>
        <v>0</v>
      </c>
      <c r="M323" s="11">
        <f t="shared" si="19"/>
        <v>0</v>
      </c>
      <c r="N323" s="11">
        <f t="shared" si="19"/>
        <v>0</v>
      </c>
      <c r="O323" s="11">
        <f t="shared" si="19"/>
        <v>0</v>
      </c>
      <c r="P323" s="11">
        <f t="shared" si="15"/>
        <v>0</v>
      </c>
    </row>
    <row r="324" spans="1:16" x14ac:dyDescent="0.3">
      <c r="A324" s="470">
        <v>369</v>
      </c>
      <c r="B324" s="8" t="s">
        <v>399</v>
      </c>
      <c r="C324" s="11">
        <f t="shared" si="19"/>
        <v>3969549.08</v>
      </c>
      <c r="D324" s="11">
        <f t="shared" si="19"/>
        <v>3969549.08</v>
      </c>
      <c r="E324" s="11">
        <f t="shared" si="19"/>
        <v>3969549.08</v>
      </c>
      <c r="F324" s="11">
        <f t="shared" si="19"/>
        <v>3969549.08</v>
      </c>
      <c r="G324" s="11">
        <f t="shared" si="19"/>
        <v>3969549.08</v>
      </c>
      <c r="H324" s="11">
        <f t="shared" si="19"/>
        <v>3969549.08</v>
      </c>
      <c r="I324" s="11">
        <f t="shared" si="19"/>
        <v>3969549.08</v>
      </c>
      <c r="J324" s="11">
        <f t="shared" si="19"/>
        <v>3969549.08</v>
      </c>
      <c r="K324" s="11">
        <f t="shared" si="19"/>
        <v>3969549.08</v>
      </c>
      <c r="L324" s="11">
        <f t="shared" si="19"/>
        <v>3969549.08</v>
      </c>
      <c r="M324" s="11">
        <f t="shared" si="19"/>
        <v>3969549.08</v>
      </c>
      <c r="N324" s="11">
        <f t="shared" si="19"/>
        <v>3969549.08</v>
      </c>
      <c r="O324" s="11">
        <f t="shared" si="19"/>
        <v>3969549.08</v>
      </c>
      <c r="P324" s="11">
        <f t="shared" si="15"/>
        <v>3969549.0799999987</v>
      </c>
    </row>
    <row r="325" spans="1:16" x14ac:dyDescent="0.3">
      <c r="A325" s="470">
        <v>374.1</v>
      </c>
      <c r="B325" s="8" t="s">
        <v>327</v>
      </c>
      <c r="C325" s="11">
        <f t="shared" si="19"/>
        <v>85773.440000000002</v>
      </c>
      <c r="D325" s="11">
        <f t="shared" si="19"/>
        <v>85773.440000000002</v>
      </c>
      <c r="E325" s="11">
        <f t="shared" si="19"/>
        <v>85773.440000000002</v>
      </c>
      <c r="F325" s="11">
        <f t="shared" si="19"/>
        <v>85773.440000000002</v>
      </c>
      <c r="G325" s="11">
        <f t="shared" si="19"/>
        <v>85773.440000000002</v>
      </c>
      <c r="H325" s="11">
        <f t="shared" si="19"/>
        <v>85773.440000000002</v>
      </c>
      <c r="I325" s="11">
        <f t="shared" si="19"/>
        <v>85773.440000000002</v>
      </c>
      <c r="J325" s="11">
        <f t="shared" si="19"/>
        <v>85773.440000000002</v>
      </c>
      <c r="K325" s="11">
        <f t="shared" si="19"/>
        <v>85773.440000000002</v>
      </c>
      <c r="L325" s="11">
        <f t="shared" si="19"/>
        <v>85773.440000000002</v>
      </c>
      <c r="M325" s="11">
        <f t="shared" si="19"/>
        <v>85773.440000000002</v>
      </c>
      <c r="N325" s="11">
        <f t="shared" si="19"/>
        <v>85773.440000000002</v>
      </c>
      <c r="O325" s="11">
        <f t="shared" si="19"/>
        <v>85773.440000000002</v>
      </c>
      <c r="P325" s="11">
        <f t="shared" si="15"/>
        <v>85773.439999999988</v>
      </c>
    </row>
    <row r="326" spans="1:16" x14ac:dyDescent="0.3">
      <c r="A326" s="470">
        <v>374.2</v>
      </c>
      <c r="B326" s="8" t="s">
        <v>328</v>
      </c>
      <c r="C326" s="11">
        <f t="shared" si="19"/>
        <v>1883762.3</v>
      </c>
      <c r="D326" s="11">
        <f t="shared" si="19"/>
        <v>1883762.3</v>
      </c>
      <c r="E326" s="11">
        <f t="shared" si="19"/>
        <v>1883762.3</v>
      </c>
      <c r="F326" s="11">
        <f t="shared" si="19"/>
        <v>1883762.3</v>
      </c>
      <c r="G326" s="11">
        <f t="shared" si="19"/>
        <v>1883762.3</v>
      </c>
      <c r="H326" s="11">
        <f t="shared" si="19"/>
        <v>1883762.3</v>
      </c>
      <c r="I326" s="11">
        <f t="shared" si="19"/>
        <v>1883762.3</v>
      </c>
      <c r="J326" s="11">
        <f t="shared" si="19"/>
        <v>1883762.3</v>
      </c>
      <c r="K326" s="11">
        <f t="shared" si="19"/>
        <v>1883762.3</v>
      </c>
      <c r="L326" s="11">
        <f t="shared" si="19"/>
        <v>1883762.3</v>
      </c>
      <c r="M326" s="11">
        <f t="shared" si="19"/>
        <v>1884857.32</v>
      </c>
      <c r="N326" s="11">
        <f t="shared" si="19"/>
        <v>1886148.24</v>
      </c>
      <c r="O326" s="11">
        <f t="shared" si="19"/>
        <v>1886148.24</v>
      </c>
      <c r="P326" s="11">
        <f t="shared" ref="P326:P368" si="20">(C326/2+O326/2+SUM(D326:N326))/12</f>
        <v>1884151.7941666667</v>
      </c>
    </row>
    <row r="327" spans="1:16" x14ac:dyDescent="0.3">
      <c r="A327" s="470">
        <v>375</v>
      </c>
      <c r="B327" s="8" t="s">
        <v>329</v>
      </c>
      <c r="C327" s="11">
        <f t="shared" si="19"/>
        <v>1364946.47</v>
      </c>
      <c r="D327" s="11">
        <f t="shared" si="19"/>
        <v>1417054.67</v>
      </c>
      <c r="E327" s="11">
        <f t="shared" si="19"/>
        <v>1417126.25</v>
      </c>
      <c r="F327" s="11">
        <f t="shared" si="19"/>
        <v>1417772.57</v>
      </c>
      <c r="G327" s="11">
        <f t="shared" si="19"/>
        <v>1417772.57</v>
      </c>
      <c r="H327" s="11">
        <f t="shared" si="19"/>
        <v>1417772.57</v>
      </c>
      <c r="I327" s="11">
        <f t="shared" si="19"/>
        <v>1417772.57</v>
      </c>
      <c r="J327" s="11">
        <f t="shared" si="19"/>
        <v>1417772.57</v>
      </c>
      <c r="K327" s="11">
        <f t="shared" si="19"/>
        <v>1417772.57</v>
      </c>
      <c r="L327" s="11">
        <f t="shared" si="19"/>
        <v>1417772.57</v>
      </c>
      <c r="M327" s="11">
        <f t="shared" si="19"/>
        <v>1417772.57</v>
      </c>
      <c r="N327" s="11">
        <f t="shared" si="19"/>
        <v>1417772.57</v>
      </c>
      <c r="O327" s="11">
        <f t="shared" si="19"/>
        <v>1417772.57</v>
      </c>
      <c r="P327" s="11">
        <f t="shared" si="20"/>
        <v>1415457.7975000003</v>
      </c>
    </row>
    <row r="328" spans="1:16" x14ac:dyDescent="0.3">
      <c r="A328" s="470">
        <v>376.11</v>
      </c>
      <c r="B328" s="8" t="s">
        <v>330</v>
      </c>
      <c r="C328" s="11">
        <f t="shared" si="19"/>
        <v>583880890.13</v>
      </c>
      <c r="D328" s="11">
        <f t="shared" si="19"/>
        <v>585649599.38</v>
      </c>
      <c r="E328" s="11">
        <f t="shared" si="19"/>
        <v>587892758.16999996</v>
      </c>
      <c r="F328" s="11">
        <f t="shared" si="19"/>
        <v>591543489.83999991</v>
      </c>
      <c r="G328" s="11">
        <f t="shared" si="19"/>
        <v>593643828.7299999</v>
      </c>
      <c r="H328" s="11">
        <f t="shared" si="19"/>
        <v>594517640.51999998</v>
      </c>
      <c r="I328" s="11">
        <f t="shared" si="19"/>
        <v>596072030.29999995</v>
      </c>
      <c r="J328" s="11">
        <f t="shared" si="19"/>
        <v>597055178.3599999</v>
      </c>
      <c r="K328" s="11">
        <f t="shared" si="19"/>
        <v>599729101.69999993</v>
      </c>
      <c r="L328" s="11">
        <f t="shared" si="19"/>
        <v>602183705.19999993</v>
      </c>
      <c r="M328" s="11">
        <f t="shared" si="19"/>
        <v>604218646.20999992</v>
      </c>
      <c r="N328" s="11">
        <f t="shared" si="19"/>
        <v>606658749.52999997</v>
      </c>
      <c r="O328" s="11">
        <f t="shared" si="19"/>
        <v>608998088.62999988</v>
      </c>
      <c r="P328" s="11">
        <f t="shared" si="20"/>
        <v>596300351.44333327</v>
      </c>
    </row>
    <row r="329" spans="1:16" x14ac:dyDescent="0.3">
      <c r="A329" s="470">
        <v>376.12</v>
      </c>
      <c r="B329" s="8" t="s">
        <v>331</v>
      </c>
      <c r="C329" s="11">
        <f t="shared" si="19"/>
        <v>540238087.5200001</v>
      </c>
      <c r="D329" s="11">
        <f t="shared" si="19"/>
        <v>541680767.7700001</v>
      </c>
      <c r="E329" s="11">
        <f t="shared" si="19"/>
        <v>543823205.03000009</v>
      </c>
      <c r="F329" s="11">
        <f t="shared" si="19"/>
        <v>546064212.68000007</v>
      </c>
      <c r="G329" s="11">
        <f t="shared" si="19"/>
        <v>547139113.55000007</v>
      </c>
      <c r="H329" s="11">
        <f t="shared" si="19"/>
        <v>547522223.99000001</v>
      </c>
      <c r="I329" s="11">
        <f t="shared" si="19"/>
        <v>550916896.24000013</v>
      </c>
      <c r="J329" s="11">
        <f t="shared" si="19"/>
        <v>552116886.42000008</v>
      </c>
      <c r="K329" s="11">
        <f t="shared" si="19"/>
        <v>553049326.08000004</v>
      </c>
      <c r="L329" s="11">
        <f t="shared" si="19"/>
        <v>556991382.58000016</v>
      </c>
      <c r="M329" s="11">
        <f t="shared" si="19"/>
        <v>557816822.1500001</v>
      </c>
      <c r="N329" s="11">
        <f t="shared" si="19"/>
        <v>558627865.5200001</v>
      </c>
      <c r="O329" s="11">
        <f t="shared" si="19"/>
        <v>560246478.38000011</v>
      </c>
      <c r="P329" s="11">
        <f t="shared" si="20"/>
        <v>550499248.74666679</v>
      </c>
    </row>
    <row r="330" spans="1:16" x14ac:dyDescent="0.3">
      <c r="A330" s="470">
        <v>377</v>
      </c>
      <c r="B330" s="8" t="s">
        <v>373</v>
      </c>
      <c r="C330" s="11">
        <f t="shared" ref="C330:O345" si="21">+C86+C208</f>
        <v>818380</v>
      </c>
      <c r="D330" s="11">
        <f t="shared" si="21"/>
        <v>818380</v>
      </c>
      <c r="E330" s="11">
        <f t="shared" si="21"/>
        <v>818380</v>
      </c>
      <c r="F330" s="11">
        <f t="shared" si="21"/>
        <v>818380</v>
      </c>
      <c r="G330" s="11">
        <f t="shared" si="21"/>
        <v>818380</v>
      </c>
      <c r="H330" s="11">
        <f t="shared" si="21"/>
        <v>818380</v>
      </c>
      <c r="I330" s="11">
        <f t="shared" si="21"/>
        <v>818380</v>
      </c>
      <c r="J330" s="11">
        <f t="shared" si="21"/>
        <v>818380</v>
      </c>
      <c r="K330" s="11">
        <f t="shared" si="21"/>
        <v>818380</v>
      </c>
      <c r="L330" s="11">
        <f t="shared" si="21"/>
        <v>818380</v>
      </c>
      <c r="M330" s="11">
        <f t="shared" si="21"/>
        <v>818380</v>
      </c>
      <c r="N330" s="11">
        <f t="shared" si="21"/>
        <v>818380</v>
      </c>
      <c r="O330" s="11">
        <f t="shared" si="21"/>
        <v>818380</v>
      </c>
      <c r="P330" s="11">
        <f t="shared" si="20"/>
        <v>818380</v>
      </c>
    </row>
    <row r="331" spans="1:16" x14ac:dyDescent="0.3">
      <c r="A331" s="470">
        <v>378</v>
      </c>
      <c r="B331" s="8" t="s">
        <v>332</v>
      </c>
      <c r="C331" s="11">
        <f t="shared" si="21"/>
        <v>34107081.490000002</v>
      </c>
      <c r="D331" s="11">
        <f t="shared" si="21"/>
        <v>34140763.740000002</v>
      </c>
      <c r="E331" s="11">
        <f t="shared" si="21"/>
        <v>34215225.609999999</v>
      </c>
      <c r="F331" s="11">
        <f t="shared" si="21"/>
        <v>34412772.090000004</v>
      </c>
      <c r="G331" s="11">
        <f t="shared" si="21"/>
        <v>34608093.149999999</v>
      </c>
      <c r="H331" s="11">
        <f t="shared" si="21"/>
        <v>34656752.939999998</v>
      </c>
      <c r="I331" s="11">
        <f t="shared" si="21"/>
        <v>35448939.130000003</v>
      </c>
      <c r="J331" s="11">
        <f t="shared" si="21"/>
        <v>35564347.25</v>
      </c>
      <c r="K331" s="11">
        <f t="shared" si="21"/>
        <v>35602696.769999996</v>
      </c>
      <c r="L331" s="11">
        <f t="shared" si="21"/>
        <v>35729104.729999997</v>
      </c>
      <c r="M331" s="11">
        <f t="shared" si="21"/>
        <v>35744096.549999997</v>
      </c>
      <c r="N331" s="11">
        <f t="shared" si="21"/>
        <v>35822903.009999998</v>
      </c>
      <c r="O331" s="11">
        <f t="shared" si="21"/>
        <v>35965689.420000002</v>
      </c>
      <c r="P331" s="11">
        <f t="shared" si="20"/>
        <v>35081840.03541667</v>
      </c>
    </row>
    <row r="332" spans="1:16" x14ac:dyDescent="0.3">
      <c r="A332" s="470">
        <v>379</v>
      </c>
      <c r="B332" s="8" t="s">
        <v>333</v>
      </c>
      <c r="C332" s="11">
        <f t="shared" si="21"/>
        <v>9966817.3999999985</v>
      </c>
      <c r="D332" s="11">
        <f t="shared" si="21"/>
        <v>10266368.719999997</v>
      </c>
      <c r="E332" s="11">
        <f t="shared" si="21"/>
        <v>10426522.819999997</v>
      </c>
      <c r="F332" s="11">
        <f t="shared" si="21"/>
        <v>10845580.569999997</v>
      </c>
      <c r="G332" s="11">
        <f t="shared" si="21"/>
        <v>11131986.779999996</v>
      </c>
      <c r="H332" s="11">
        <f t="shared" si="21"/>
        <v>11358401.499999996</v>
      </c>
      <c r="I332" s="11">
        <f t="shared" si="21"/>
        <v>11535112.859999996</v>
      </c>
      <c r="J332" s="11">
        <f t="shared" si="21"/>
        <v>11795333.619999995</v>
      </c>
      <c r="K332" s="11">
        <f t="shared" si="21"/>
        <v>11896804.209999995</v>
      </c>
      <c r="L332" s="11">
        <f t="shared" si="21"/>
        <v>12018627.269999996</v>
      </c>
      <c r="M332" s="11">
        <f t="shared" si="21"/>
        <v>12243392.879999995</v>
      </c>
      <c r="N332" s="11">
        <f t="shared" si="21"/>
        <v>12541812.429999996</v>
      </c>
      <c r="O332" s="11">
        <f t="shared" si="21"/>
        <v>13142253.479999997</v>
      </c>
      <c r="P332" s="11">
        <f t="shared" si="20"/>
        <v>11467873.258333331</v>
      </c>
    </row>
    <row r="333" spans="1:16" x14ac:dyDescent="0.3">
      <c r="A333" s="470">
        <v>380</v>
      </c>
      <c r="B333" s="8" t="s">
        <v>334</v>
      </c>
      <c r="C333" s="11">
        <f t="shared" si="21"/>
        <v>757569836.4000001</v>
      </c>
      <c r="D333" s="11">
        <f t="shared" si="21"/>
        <v>760656320.25999999</v>
      </c>
      <c r="E333" s="11">
        <f t="shared" si="21"/>
        <v>763445889.80999994</v>
      </c>
      <c r="F333" s="11">
        <f t="shared" si="21"/>
        <v>768541097.19999993</v>
      </c>
      <c r="G333" s="11">
        <f t="shared" si="21"/>
        <v>770028383.99999976</v>
      </c>
      <c r="H333" s="11">
        <f t="shared" si="21"/>
        <v>772013156.30999982</v>
      </c>
      <c r="I333" s="11">
        <f t="shared" si="21"/>
        <v>774228077.67999983</v>
      </c>
      <c r="J333" s="11">
        <f t="shared" si="21"/>
        <v>776067617.31999981</v>
      </c>
      <c r="K333" s="11">
        <f t="shared" si="21"/>
        <v>778206750.80999982</v>
      </c>
      <c r="L333" s="11">
        <f t="shared" si="21"/>
        <v>780819424.3299998</v>
      </c>
      <c r="M333" s="11">
        <f t="shared" si="21"/>
        <v>782331795.29999983</v>
      </c>
      <c r="N333" s="11">
        <f t="shared" si="21"/>
        <v>786462108.99999988</v>
      </c>
      <c r="O333" s="11">
        <f t="shared" si="21"/>
        <v>790167428.92999983</v>
      </c>
      <c r="P333" s="11">
        <f t="shared" si="20"/>
        <v>773889104.55708313</v>
      </c>
    </row>
    <row r="334" spans="1:16" x14ac:dyDescent="0.3">
      <c r="A334" s="470">
        <v>381</v>
      </c>
      <c r="B334" s="8" t="s">
        <v>335</v>
      </c>
      <c r="C334" s="11">
        <f t="shared" si="21"/>
        <v>88134635.900000006</v>
      </c>
      <c r="D334" s="11">
        <f t="shared" si="21"/>
        <v>88682730.829999998</v>
      </c>
      <c r="E334" s="11">
        <f t="shared" si="21"/>
        <v>88970697.450000018</v>
      </c>
      <c r="F334" s="11">
        <f t="shared" si="21"/>
        <v>87564438.250000015</v>
      </c>
      <c r="G334" s="11">
        <f t="shared" si="21"/>
        <v>88643704.349999994</v>
      </c>
      <c r="H334" s="11">
        <f t="shared" si="21"/>
        <v>88578951.469999999</v>
      </c>
      <c r="I334" s="11">
        <f t="shared" si="21"/>
        <v>90643243.489999995</v>
      </c>
      <c r="J334" s="11">
        <f t="shared" si="21"/>
        <v>90498867.400000006</v>
      </c>
      <c r="K334" s="11">
        <f t="shared" si="21"/>
        <v>91816393.499999985</v>
      </c>
      <c r="L334" s="11">
        <f t="shared" si="21"/>
        <v>91584143.00999999</v>
      </c>
      <c r="M334" s="11">
        <f t="shared" si="21"/>
        <v>91656026.359999985</v>
      </c>
      <c r="N334" s="11">
        <f t="shared" si="21"/>
        <v>91910973.949999988</v>
      </c>
      <c r="O334" s="11">
        <f t="shared" si="21"/>
        <v>91743984.25</v>
      </c>
      <c r="P334" s="11">
        <f t="shared" si="20"/>
        <v>90040790.011250004</v>
      </c>
    </row>
    <row r="335" spans="1:16" x14ac:dyDescent="0.3">
      <c r="A335" s="470">
        <v>381.1</v>
      </c>
      <c r="B335" s="8" t="s">
        <v>401</v>
      </c>
      <c r="C335" s="11">
        <f t="shared" si="21"/>
        <v>1696938.4600000002</v>
      </c>
      <c r="D335" s="11">
        <f t="shared" si="21"/>
        <v>1696938.4600000002</v>
      </c>
      <c r="E335" s="11">
        <f t="shared" si="21"/>
        <v>1696938.4600000002</v>
      </c>
      <c r="F335" s="11">
        <f t="shared" si="21"/>
        <v>1696938.4600000002</v>
      </c>
      <c r="G335" s="11">
        <f t="shared" si="21"/>
        <v>1696938.4600000002</v>
      </c>
      <c r="H335" s="11">
        <f t="shared" si="21"/>
        <v>1696938.4600000002</v>
      </c>
      <c r="I335" s="11">
        <f t="shared" si="21"/>
        <v>1696938.4600000002</v>
      </c>
      <c r="J335" s="11">
        <f t="shared" si="21"/>
        <v>1696938.4600000002</v>
      </c>
      <c r="K335" s="11">
        <f t="shared" si="21"/>
        <v>1696938.4600000002</v>
      </c>
      <c r="L335" s="11">
        <f t="shared" si="21"/>
        <v>1696938.4600000002</v>
      </c>
      <c r="M335" s="11">
        <f t="shared" si="21"/>
        <v>1696938.4600000002</v>
      </c>
      <c r="N335" s="11">
        <f t="shared" si="21"/>
        <v>1696938.4600000002</v>
      </c>
      <c r="O335" s="11">
        <f t="shared" si="21"/>
        <v>1696938.4600000002</v>
      </c>
      <c r="P335" s="11">
        <f t="shared" si="20"/>
        <v>1696938.4600000007</v>
      </c>
    </row>
    <row r="336" spans="1:16" x14ac:dyDescent="0.3">
      <c r="A336" s="470">
        <v>381.2</v>
      </c>
      <c r="B336" s="8" t="s">
        <v>336</v>
      </c>
      <c r="C336" s="11">
        <f t="shared" si="21"/>
        <v>40851386.130000003</v>
      </c>
      <c r="D336" s="11">
        <f t="shared" si="21"/>
        <v>40823617.910000004</v>
      </c>
      <c r="E336" s="11">
        <f t="shared" si="21"/>
        <v>41594631.120000005</v>
      </c>
      <c r="F336" s="11">
        <f t="shared" si="21"/>
        <v>43000564.840000004</v>
      </c>
      <c r="G336" s="11">
        <f t="shared" si="21"/>
        <v>42894749.400000006</v>
      </c>
      <c r="H336" s="11">
        <f t="shared" si="21"/>
        <v>42939565.570000008</v>
      </c>
      <c r="I336" s="11">
        <f t="shared" si="21"/>
        <v>43714439.920000002</v>
      </c>
      <c r="J336" s="11">
        <f t="shared" si="21"/>
        <v>43577004.800000004</v>
      </c>
      <c r="K336" s="11">
        <f t="shared" si="21"/>
        <v>43525332.880000003</v>
      </c>
      <c r="L336" s="11">
        <f t="shared" si="21"/>
        <v>43798969.420000009</v>
      </c>
      <c r="M336" s="11">
        <f t="shared" si="21"/>
        <v>44816047.080000006</v>
      </c>
      <c r="N336" s="11">
        <f t="shared" si="21"/>
        <v>44889204.32</v>
      </c>
      <c r="O336" s="11">
        <f t="shared" si="21"/>
        <v>45124397.200000003</v>
      </c>
      <c r="P336" s="11">
        <f t="shared" si="20"/>
        <v>43213501.577083342</v>
      </c>
    </row>
    <row r="337" spans="1:16" x14ac:dyDescent="0.3">
      <c r="A337" s="470">
        <v>382</v>
      </c>
      <c r="B337" s="8" t="s">
        <v>337</v>
      </c>
      <c r="C337" s="11">
        <f t="shared" si="21"/>
        <v>60387109.560000017</v>
      </c>
      <c r="D337" s="11">
        <f t="shared" si="21"/>
        <v>60290563.930000007</v>
      </c>
      <c r="E337" s="11">
        <f t="shared" si="21"/>
        <v>60150630.340000011</v>
      </c>
      <c r="F337" s="11">
        <f t="shared" si="21"/>
        <v>60809057.650000006</v>
      </c>
      <c r="G337" s="11">
        <f t="shared" si="21"/>
        <v>60677928.600000009</v>
      </c>
      <c r="H337" s="11">
        <f t="shared" si="21"/>
        <v>60436140.160000004</v>
      </c>
      <c r="I337" s="11">
        <f t="shared" si="21"/>
        <v>61249855.410000004</v>
      </c>
      <c r="J337" s="11">
        <f t="shared" si="21"/>
        <v>61021877.329999998</v>
      </c>
      <c r="K337" s="11">
        <f t="shared" si="21"/>
        <v>60785618.529999994</v>
      </c>
      <c r="L337" s="11">
        <f t="shared" si="21"/>
        <v>61389957.719999999</v>
      </c>
      <c r="M337" s="11">
        <f t="shared" si="21"/>
        <v>61178598.800000004</v>
      </c>
      <c r="N337" s="11">
        <f t="shared" si="21"/>
        <v>60804161.280000001</v>
      </c>
      <c r="O337" s="11">
        <f t="shared" si="21"/>
        <v>61419026.310000002</v>
      </c>
      <c r="P337" s="11">
        <f t="shared" si="20"/>
        <v>60808121.473750003</v>
      </c>
    </row>
    <row r="338" spans="1:16" x14ac:dyDescent="0.3">
      <c r="A338" s="470">
        <v>382.1</v>
      </c>
      <c r="B338" s="8" t="s">
        <v>402</v>
      </c>
      <c r="C338" s="11">
        <f t="shared" si="21"/>
        <v>481019.77</v>
      </c>
      <c r="D338" s="11">
        <f t="shared" si="21"/>
        <v>481019.77</v>
      </c>
      <c r="E338" s="11">
        <f t="shared" si="21"/>
        <v>481019.77</v>
      </c>
      <c r="F338" s="11">
        <f t="shared" si="21"/>
        <v>481019.77</v>
      </c>
      <c r="G338" s="11">
        <f t="shared" si="21"/>
        <v>481019.77</v>
      </c>
      <c r="H338" s="11">
        <f t="shared" si="21"/>
        <v>481019.77</v>
      </c>
      <c r="I338" s="11">
        <f t="shared" si="21"/>
        <v>481019.77</v>
      </c>
      <c r="J338" s="11">
        <f t="shared" si="21"/>
        <v>481019.77</v>
      </c>
      <c r="K338" s="11">
        <f t="shared" si="21"/>
        <v>481019.77</v>
      </c>
      <c r="L338" s="11">
        <f t="shared" si="21"/>
        <v>481019.77</v>
      </c>
      <c r="M338" s="11">
        <f t="shared" si="21"/>
        <v>481019.77</v>
      </c>
      <c r="N338" s="11">
        <f t="shared" si="21"/>
        <v>481019.77</v>
      </c>
      <c r="O338" s="11">
        <f t="shared" si="21"/>
        <v>481019.77</v>
      </c>
      <c r="P338" s="11">
        <f t="shared" si="20"/>
        <v>481019.76999999984</v>
      </c>
    </row>
    <row r="339" spans="1:16" x14ac:dyDescent="0.3">
      <c r="A339" s="470">
        <v>382.2</v>
      </c>
      <c r="B339" s="8" t="s">
        <v>338</v>
      </c>
      <c r="C339" s="11">
        <f t="shared" si="21"/>
        <v>9309924.1800000016</v>
      </c>
      <c r="D339" s="11">
        <f t="shared" si="21"/>
        <v>9304707.6000000015</v>
      </c>
      <c r="E339" s="11">
        <f t="shared" si="21"/>
        <v>9299516.0100000016</v>
      </c>
      <c r="F339" s="11">
        <f t="shared" si="21"/>
        <v>9295323.540000001</v>
      </c>
      <c r="G339" s="11">
        <f t="shared" si="21"/>
        <v>9290658.1500000022</v>
      </c>
      <c r="H339" s="11">
        <f t="shared" si="21"/>
        <v>9279996.7300000023</v>
      </c>
      <c r="I339" s="11">
        <f t="shared" si="21"/>
        <v>9274387.1700000018</v>
      </c>
      <c r="J339" s="11">
        <f t="shared" si="21"/>
        <v>9259218.620000001</v>
      </c>
      <c r="K339" s="11">
        <f t="shared" si="21"/>
        <v>9249063.3500000015</v>
      </c>
      <c r="L339" s="11">
        <f t="shared" si="21"/>
        <v>9232006.4400000013</v>
      </c>
      <c r="M339" s="11">
        <f t="shared" si="21"/>
        <v>9220734.9299999997</v>
      </c>
      <c r="N339" s="11">
        <f t="shared" si="21"/>
        <v>9205799.5500000007</v>
      </c>
      <c r="O339" s="11">
        <f t="shared" si="21"/>
        <v>9192488.2200000007</v>
      </c>
      <c r="P339" s="11">
        <f t="shared" si="20"/>
        <v>9263551.5241666678</v>
      </c>
    </row>
    <row r="340" spans="1:16" x14ac:dyDescent="0.3">
      <c r="A340" s="470">
        <v>383</v>
      </c>
      <c r="B340" s="8" t="s">
        <v>339</v>
      </c>
      <c r="C340" s="11">
        <f t="shared" si="21"/>
        <v>1755118.8</v>
      </c>
      <c r="D340" s="11">
        <f t="shared" si="21"/>
        <v>1779434.52</v>
      </c>
      <c r="E340" s="11">
        <f t="shared" si="21"/>
        <v>1841941.59</v>
      </c>
      <c r="F340" s="11">
        <f t="shared" si="21"/>
        <v>1871923.5300000003</v>
      </c>
      <c r="G340" s="11">
        <f t="shared" si="21"/>
        <v>1944733.4500000002</v>
      </c>
      <c r="H340" s="11">
        <f t="shared" si="21"/>
        <v>1944733.4500000002</v>
      </c>
      <c r="I340" s="11">
        <f t="shared" si="21"/>
        <v>1955648.56</v>
      </c>
      <c r="J340" s="11">
        <f t="shared" si="21"/>
        <v>2004109.0300000003</v>
      </c>
      <c r="K340" s="11">
        <f t="shared" si="21"/>
        <v>2080156.6300000004</v>
      </c>
      <c r="L340" s="11">
        <f t="shared" si="21"/>
        <v>2112939.91</v>
      </c>
      <c r="M340" s="11">
        <f t="shared" si="21"/>
        <v>2113067.5100000002</v>
      </c>
      <c r="N340" s="11">
        <f t="shared" si="21"/>
        <v>2158066.1100000003</v>
      </c>
      <c r="O340" s="11">
        <f t="shared" si="21"/>
        <v>2185472.9200000004</v>
      </c>
      <c r="P340" s="11">
        <f t="shared" si="20"/>
        <v>1981420.8458333334</v>
      </c>
    </row>
    <row r="341" spans="1:16" x14ac:dyDescent="0.3">
      <c r="A341" s="470">
        <v>386</v>
      </c>
      <c r="B341" s="8" t="s">
        <v>403</v>
      </c>
      <c r="C341" s="11">
        <f t="shared" si="21"/>
        <v>0</v>
      </c>
      <c r="D341" s="11">
        <f t="shared" si="21"/>
        <v>0</v>
      </c>
      <c r="E341" s="11">
        <f t="shared" si="21"/>
        <v>0</v>
      </c>
      <c r="F341" s="11">
        <f t="shared" si="21"/>
        <v>1100432.32</v>
      </c>
      <c r="G341" s="11">
        <f t="shared" si="21"/>
        <v>1349364.8</v>
      </c>
      <c r="H341" s="11">
        <f t="shared" si="21"/>
        <v>1354267.99</v>
      </c>
      <c r="I341" s="11">
        <f t="shared" si="21"/>
        <v>1348871.1199999999</v>
      </c>
      <c r="J341" s="11">
        <f t="shared" si="21"/>
        <v>1348871.1199999999</v>
      </c>
      <c r="K341" s="11">
        <f t="shared" si="21"/>
        <v>1364072.22</v>
      </c>
      <c r="L341" s="11">
        <f t="shared" si="21"/>
        <v>1357634.94</v>
      </c>
      <c r="M341" s="11">
        <f t="shared" si="21"/>
        <v>1357634.94</v>
      </c>
      <c r="N341" s="11">
        <f t="shared" si="21"/>
        <v>1357634.94</v>
      </c>
      <c r="O341" s="11">
        <f t="shared" si="21"/>
        <v>1357634.94</v>
      </c>
      <c r="P341" s="11">
        <f t="shared" si="20"/>
        <v>1051466.8216666665</v>
      </c>
    </row>
    <row r="342" spans="1:16" x14ac:dyDescent="0.3">
      <c r="A342" s="470">
        <v>386.1</v>
      </c>
      <c r="B342" s="8" t="s">
        <v>1914</v>
      </c>
      <c r="C342" s="11">
        <f t="shared" si="21"/>
        <v>0</v>
      </c>
      <c r="D342" s="11">
        <f t="shared" si="21"/>
        <v>0</v>
      </c>
      <c r="E342" s="11">
        <f t="shared" si="21"/>
        <v>0</v>
      </c>
      <c r="F342" s="11">
        <f t="shared" si="21"/>
        <v>0</v>
      </c>
      <c r="G342" s="11">
        <f t="shared" si="21"/>
        <v>0</v>
      </c>
      <c r="H342" s="11">
        <f t="shared" si="21"/>
        <v>0</v>
      </c>
      <c r="I342" s="11">
        <f t="shared" si="21"/>
        <v>0</v>
      </c>
      <c r="J342" s="11">
        <f t="shared" si="21"/>
        <v>0</v>
      </c>
      <c r="K342" s="11">
        <f t="shared" si="21"/>
        <v>17905</v>
      </c>
      <c r="L342" s="11">
        <f t="shared" si="21"/>
        <v>17905</v>
      </c>
      <c r="M342" s="11">
        <f t="shared" si="21"/>
        <v>17905</v>
      </c>
      <c r="N342" s="11">
        <f t="shared" si="21"/>
        <v>17905</v>
      </c>
      <c r="O342" s="11">
        <f t="shared" si="21"/>
        <v>115183</v>
      </c>
      <c r="P342" s="11">
        <f t="shared" si="20"/>
        <v>10767.625</v>
      </c>
    </row>
    <row r="343" spans="1:16" x14ac:dyDescent="0.3">
      <c r="A343" s="470">
        <v>387.1</v>
      </c>
      <c r="B343" s="8" t="s">
        <v>404</v>
      </c>
      <c r="C343" s="11">
        <f t="shared" si="21"/>
        <v>173858.98</v>
      </c>
      <c r="D343" s="11">
        <f t="shared" si="21"/>
        <v>173858.98</v>
      </c>
      <c r="E343" s="11">
        <f t="shared" si="21"/>
        <v>173858.98</v>
      </c>
      <c r="F343" s="11">
        <f t="shared" si="21"/>
        <v>173858.98</v>
      </c>
      <c r="G343" s="11">
        <f t="shared" si="21"/>
        <v>173858.98</v>
      </c>
      <c r="H343" s="11">
        <f t="shared" si="21"/>
        <v>173858.98</v>
      </c>
      <c r="I343" s="11">
        <f t="shared" si="21"/>
        <v>173858.98</v>
      </c>
      <c r="J343" s="11">
        <f t="shared" si="21"/>
        <v>173858.98</v>
      </c>
      <c r="K343" s="11">
        <f t="shared" si="21"/>
        <v>173858.98</v>
      </c>
      <c r="L343" s="11">
        <f t="shared" si="21"/>
        <v>173858.98</v>
      </c>
      <c r="M343" s="11">
        <f t="shared" si="21"/>
        <v>173858.98</v>
      </c>
      <c r="N343" s="11">
        <f t="shared" si="21"/>
        <v>173858.98</v>
      </c>
      <c r="O343" s="11">
        <f t="shared" si="21"/>
        <v>173858.98</v>
      </c>
      <c r="P343" s="11">
        <f t="shared" si="20"/>
        <v>173858.98</v>
      </c>
    </row>
    <row r="344" spans="1:16" x14ac:dyDescent="0.3">
      <c r="A344" s="470">
        <v>387.2</v>
      </c>
      <c r="B344" s="8" t="s">
        <v>340</v>
      </c>
      <c r="C344" s="11">
        <f t="shared" si="21"/>
        <v>96424</v>
      </c>
      <c r="D344" s="11">
        <f t="shared" si="21"/>
        <v>96424</v>
      </c>
      <c r="E344" s="11">
        <f t="shared" si="21"/>
        <v>96424</v>
      </c>
      <c r="F344" s="11">
        <f t="shared" si="21"/>
        <v>96424</v>
      </c>
      <c r="G344" s="11">
        <f t="shared" si="21"/>
        <v>96424</v>
      </c>
      <c r="H344" s="11">
        <f t="shared" si="21"/>
        <v>96424</v>
      </c>
      <c r="I344" s="11">
        <f t="shared" si="21"/>
        <v>96424</v>
      </c>
      <c r="J344" s="11">
        <f t="shared" si="21"/>
        <v>96424</v>
      </c>
      <c r="K344" s="11">
        <f t="shared" si="21"/>
        <v>96424</v>
      </c>
      <c r="L344" s="11">
        <f t="shared" si="21"/>
        <v>96424</v>
      </c>
      <c r="M344" s="11">
        <f t="shared" si="21"/>
        <v>96424</v>
      </c>
      <c r="N344" s="11">
        <f t="shared" si="21"/>
        <v>96424</v>
      </c>
      <c r="O344" s="11">
        <f t="shared" si="21"/>
        <v>96424</v>
      </c>
      <c r="P344" s="11">
        <f t="shared" si="20"/>
        <v>96424</v>
      </c>
    </row>
    <row r="345" spans="1:16" x14ac:dyDescent="0.3">
      <c r="A345" s="470">
        <v>387.3</v>
      </c>
      <c r="B345" s="8" t="s">
        <v>405</v>
      </c>
      <c r="C345" s="11">
        <f t="shared" si="21"/>
        <v>72671</v>
      </c>
      <c r="D345" s="11">
        <f t="shared" si="21"/>
        <v>72671</v>
      </c>
      <c r="E345" s="11">
        <f t="shared" si="21"/>
        <v>72671</v>
      </c>
      <c r="F345" s="11">
        <f t="shared" si="21"/>
        <v>72671</v>
      </c>
      <c r="G345" s="11">
        <f t="shared" si="21"/>
        <v>72671</v>
      </c>
      <c r="H345" s="11">
        <f t="shared" si="21"/>
        <v>72671</v>
      </c>
      <c r="I345" s="11">
        <f t="shared" si="21"/>
        <v>72671</v>
      </c>
      <c r="J345" s="11">
        <f t="shared" si="21"/>
        <v>72671</v>
      </c>
      <c r="K345" s="11">
        <f t="shared" si="21"/>
        <v>72671</v>
      </c>
      <c r="L345" s="11">
        <f t="shared" si="21"/>
        <v>72671</v>
      </c>
      <c r="M345" s="11">
        <f t="shared" si="21"/>
        <v>72671</v>
      </c>
      <c r="N345" s="11">
        <f t="shared" si="21"/>
        <v>72671</v>
      </c>
      <c r="O345" s="11">
        <f t="shared" si="21"/>
        <v>72671</v>
      </c>
      <c r="P345" s="11">
        <f t="shared" si="20"/>
        <v>72671</v>
      </c>
    </row>
    <row r="346" spans="1:16" x14ac:dyDescent="0.3">
      <c r="A346" s="470">
        <v>389</v>
      </c>
      <c r="B346" s="8" t="s">
        <v>327</v>
      </c>
      <c r="C346" s="11">
        <f t="shared" ref="C346:O361" si="22">+C102+C224</f>
        <v>10767907.07</v>
      </c>
      <c r="D346" s="11">
        <f t="shared" si="22"/>
        <v>10767907.07</v>
      </c>
      <c r="E346" s="11">
        <f t="shared" si="22"/>
        <v>10767907.07</v>
      </c>
      <c r="F346" s="11">
        <f t="shared" si="22"/>
        <v>10767907.07</v>
      </c>
      <c r="G346" s="11">
        <f t="shared" si="22"/>
        <v>10767907.07</v>
      </c>
      <c r="H346" s="11">
        <f t="shared" si="22"/>
        <v>10767907.07</v>
      </c>
      <c r="I346" s="11">
        <f t="shared" si="22"/>
        <v>10767907.07</v>
      </c>
      <c r="J346" s="11">
        <f t="shared" si="22"/>
        <v>10767907.07</v>
      </c>
      <c r="K346" s="11">
        <f t="shared" si="22"/>
        <v>10767907.07</v>
      </c>
      <c r="L346" s="11">
        <f t="shared" si="22"/>
        <v>10767907.07</v>
      </c>
      <c r="M346" s="11">
        <f t="shared" si="22"/>
        <v>10767907.07</v>
      </c>
      <c r="N346" s="11">
        <f t="shared" si="22"/>
        <v>10767907.07</v>
      </c>
      <c r="O346" s="11">
        <f t="shared" si="22"/>
        <v>10767907.07</v>
      </c>
      <c r="P346" s="11">
        <f t="shared" si="20"/>
        <v>10767907.069999998</v>
      </c>
    </row>
    <row r="347" spans="1:16" x14ac:dyDescent="0.3">
      <c r="A347" s="470">
        <v>390</v>
      </c>
      <c r="B347" s="8" t="s">
        <v>329</v>
      </c>
      <c r="C347" s="11">
        <f t="shared" si="22"/>
        <v>60074932.329999998</v>
      </c>
      <c r="D347" s="11">
        <f t="shared" si="22"/>
        <v>60079511.559999995</v>
      </c>
      <c r="E347" s="11">
        <f t="shared" si="22"/>
        <v>60090508.749999993</v>
      </c>
      <c r="F347" s="11">
        <f t="shared" si="22"/>
        <v>60375857.269999996</v>
      </c>
      <c r="G347" s="11">
        <f t="shared" si="22"/>
        <v>60383178.369999997</v>
      </c>
      <c r="H347" s="11">
        <f t="shared" si="22"/>
        <v>60385021.119999997</v>
      </c>
      <c r="I347" s="11">
        <f t="shared" si="22"/>
        <v>60386850.329999998</v>
      </c>
      <c r="J347" s="11">
        <f t="shared" si="22"/>
        <v>60388632.869999997</v>
      </c>
      <c r="K347" s="11">
        <f t="shared" si="22"/>
        <v>60379001.439999998</v>
      </c>
      <c r="L347" s="11">
        <f t="shared" si="22"/>
        <v>60437190.669999994</v>
      </c>
      <c r="M347" s="11">
        <f t="shared" si="22"/>
        <v>60438125.279999994</v>
      </c>
      <c r="N347" s="11">
        <f t="shared" si="22"/>
        <v>60450494.389999993</v>
      </c>
      <c r="O347" s="11">
        <f t="shared" si="22"/>
        <v>60497322.239999995</v>
      </c>
      <c r="P347" s="11">
        <f t="shared" si="20"/>
        <v>60340041.611249991</v>
      </c>
    </row>
    <row r="348" spans="1:16" x14ac:dyDescent="0.3">
      <c r="A348" s="470">
        <v>390.1</v>
      </c>
      <c r="B348" s="8" t="s">
        <v>341</v>
      </c>
      <c r="C348" s="11">
        <f t="shared" si="22"/>
        <v>19056412.490000002</v>
      </c>
      <c r="D348" s="11">
        <f t="shared" si="22"/>
        <v>19056412.490000002</v>
      </c>
      <c r="E348" s="11">
        <f t="shared" si="22"/>
        <v>19288174.150000002</v>
      </c>
      <c r="F348" s="11">
        <f t="shared" si="22"/>
        <v>19297641.560000002</v>
      </c>
      <c r="G348" s="11">
        <f t="shared" si="22"/>
        <v>19301412.489999998</v>
      </c>
      <c r="H348" s="11">
        <f t="shared" si="22"/>
        <v>19301316.759999998</v>
      </c>
      <c r="I348" s="11">
        <f t="shared" si="22"/>
        <v>19301316.759999998</v>
      </c>
      <c r="J348" s="11">
        <f t="shared" si="22"/>
        <v>19301316.759999998</v>
      </c>
      <c r="K348" s="11">
        <f t="shared" si="22"/>
        <v>19301316.759999998</v>
      </c>
      <c r="L348" s="11">
        <f t="shared" si="22"/>
        <v>19301316.759999998</v>
      </c>
      <c r="M348" s="11">
        <f t="shared" si="22"/>
        <v>19301316.759999998</v>
      </c>
      <c r="N348" s="11">
        <f t="shared" si="22"/>
        <v>19301316.759999998</v>
      </c>
      <c r="O348" s="11">
        <f t="shared" si="22"/>
        <v>19301316.759999998</v>
      </c>
      <c r="P348" s="11">
        <f t="shared" si="20"/>
        <v>19269310.219583329</v>
      </c>
    </row>
    <row r="349" spans="1:16" x14ac:dyDescent="0.3">
      <c r="A349" s="470">
        <v>391.1</v>
      </c>
      <c r="B349" s="8" t="s">
        <v>342</v>
      </c>
      <c r="C349" s="11">
        <f t="shared" si="22"/>
        <v>11181250.550000006</v>
      </c>
      <c r="D349" s="11">
        <f t="shared" si="22"/>
        <v>11181410.350000007</v>
      </c>
      <c r="E349" s="11">
        <f t="shared" si="22"/>
        <v>11238721.870000007</v>
      </c>
      <c r="F349" s="11">
        <f t="shared" si="22"/>
        <v>11480103.750000007</v>
      </c>
      <c r="G349" s="11">
        <f t="shared" si="22"/>
        <v>11480424.500000007</v>
      </c>
      <c r="H349" s="11">
        <f t="shared" si="22"/>
        <v>11480550.910000008</v>
      </c>
      <c r="I349" s="11">
        <f t="shared" si="22"/>
        <v>11480690.690000007</v>
      </c>
      <c r="J349" s="11">
        <f t="shared" si="22"/>
        <v>11480827.550000006</v>
      </c>
      <c r="K349" s="11">
        <f t="shared" si="22"/>
        <v>11480971.480000006</v>
      </c>
      <c r="L349" s="11">
        <f t="shared" si="22"/>
        <v>11536000.330000006</v>
      </c>
      <c r="M349" s="11">
        <f t="shared" si="22"/>
        <v>11536146.520000005</v>
      </c>
      <c r="N349" s="11">
        <f t="shared" si="22"/>
        <v>11536293.090000005</v>
      </c>
      <c r="O349" s="11">
        <f t="shared" si="22"/>
        <v>11536437.450000005</v>
      </c>
      <c r="P349" s="11">
        <f t="shared" si="20"/>
        <v>11439248.753333339</v>
      </c>
    </row>
    <row r="350" spans="1:16" x14ac:dyDescent="0.3">
      <c r="A350" s="470">
        <v>391.2</v>
      </c>
      <c r="B350" s="8" t="s">
        <v>406</v>
      </c>
      <c r="C350" s="11">
        <f t="shared" si="22"/>
        <v>27015687.430000015</v>
      </c>
      <c r="D350" s="11">
        <f t="shared" si="22"/>
        <v>23284495.100000016</v>
      </c>
      <c r="E350" s="11">
        <f t="shared" si="22"/>
        <v>25530616.580000017</v>
      </c>
      <c r="F350" s="11">
        <f t="shared" si="22"/>
        <v>26375380.460000016</v>
      </c>
      <c r="G350" s="11">
        <f t="shared" si="22"/>
        <v>27160133.490000017</v>
      </c>
      <c r="H350" s="11">
        <f t="shared" si="22"/>
        <v>27160653.960000016</v>
      </c>
      <c r="I350" s="11">
        <f t="shared" si="22"/>
        <v>27163607.500000015</v>
      </c>
      <c r="J350" s="11">
        <f t="shared" si="22"/>
        <v>27232277.210000016</v>
      </c>
      <c r="K350" s="11">
        <f t="shared" si="22"/>
        <v>27677097.930000015</v>
      </c>
      <c r="L350" s="11">
        <f t="shared" si="22"/>
        <v>32568328.500000015</v>
      </c>
      <c r="M350" s="11">
        <f t="shared" si="22"/>
        <v>32476456.150000013</v>
      </c>
      <c r="N350" s="11">
        <f t="shared" si="22"/>
        <v>32487058.740000013</v>
      </c>
      <c r="O350" s="11">
        <f t="shared" si="22"/>
        <v>32733140.950000014</v>
      </c>
      <c r="P350" s="11">
        <f t="shared" si="20"/>
        <v>28249209.984166682</v>
      </c>
    </row>
    <row r="351" spans="1:16" x14ac:dyDescent="0.3">
      <c r="A351" s="470">
        <v>392</v>
      </c>
      <c r="B351" s="8" t="s">
        <v>343</v>
      </c>
      <c r="C351" s="11">
        <f t="shared" si="22"/>
        <v>41814545.18</v>
      </c>
      <c r="D351" s="11">
        <f t="shared" si="22"/>
        <v>41811654.910000004</v>
      </c>
      <c r="E351" s="11">
        <f t="shared" si="22"/>
        <v>42484509.080000006</v>
      </c>
      <c r="F351" s="11">
        <f t="shared" si="22"/>
        <v>42561612.730000004</v>
      </c>
      <c r="G351" s="11">
        <f t="shared" si="22"/>
        <v>43009464.270000003</v>
      </c>
      <c r="H351" s="11">
        <f t="shared" si="22"/>
        <v>42665736.82</v>
      </c>
      <c r="I351" s="11">
        <f t="shared" si="22"/>
        <v>42434568.240000002</v>
      </c>
      <c r="J351" s="11">
        <f t="shared" si="22"/>
        <v>42435217.770000003</v>
      </c>
      <c r="K351" s="11">
        <f t="shared" si="22"/>
        <v>42396408.740000002</v>
      </c>
      <c r="L351" s="11">
        <f t="shared" si="22"/>
        <v>42568756.430000007</v>
      </c>
      <c r="M351" s="11">
        <f t="shared" si="22"/>
        <v>43966121.150000006</v>
      </c>
      <c r="N351" s="11">
        <f t="shared" si="22"/>
        <v>44054148.710000008</v>
      </c>
      <c r="O351" s="11">
        <f t="shared" si="22"/>
        <v>43985186.930000007</v>
      </c>
      <c r="P351" s="11">
        <f t="shared" si="20"/>
        <v>42774005.408750005</v>
      </c>
    </row>
    <row r="352" spans="1:16" x14ac:dyDescent="0.3">
      <c r="A352" s="470">
        <v>393</v>
      </c>
      <c r="B352" s="8" t="s">
        <v>408</v>
      </c>
      <c r="C352" s="11">
        <f t="shared" si="22"/>
        <v>119406</v>
      </c>
      <c r="D352" s="11">
        <f t="shared" si="22"/>
        <v>119406</v>
      </c>
      <c r="E352" s="11">
        <f t="shared" si="22"/>
        <v>119406</v>
      </c>
      <c r="F352" s="11">
        <f t="shared" si="22"/>
        <v>119406</v>
      </c>
      <c r="G352" s="11">
        <f t="shared" si="22"/>
        <v>119406</v>
      </c>
      <c r="H352" s="11">
        <f t="shared" si="22"/>
        <v>119406</v>
      </c>
      <c r="I352" s="11">
        <f t="shared" si="22"/>
        <v>119406</v>
      </c>
      <c r="J352" s="11">
        <f t="shared" si="22"/>
        <v>119406</v>
      </c>
      <c r="K352" s="11">
        <f t="shared" si="22"/>
        <v>119406</v>
      </c>
      <c r="L352" s="11">
        <f t="shared" si="22"/>
        <v>119406</v>
      </c>
      <c r="M352" s="11">
        <f t="shared" si="22"/>
        <v>119406</v>
      </c>
      <c r="N352" s="11">
        <f t="shared" si="22"/>
        <v>119406</v>
      </c>
      <c r="O352" s="11">
        <f t="shared" si="22"/>
        <v>119406</v>
      </c>
      <c r="P352" s="11">
        <f t="shared" si="20"/>
        <v>119406</v>
      </c>
    </row>
    <row r="353" spans="1:16" x14ac:dyDescent="0.3">
      <c r="A353" s="470">
        <v>394</v>
      </c>
      <c r="B353" s="8" t="s">
        <v>344</v>
      </c>
      <c r="C353" s="11">
        <f t="shared" si="22"/>
        <v>11325885.639999991</v>
      </c>
      <c r="D353" s="11">
        <f t="shared" si="22"/>
        <v>11432486.699999992</v>
      </c>
      <c r="E353" s="11">
        <f t="shared" si="22"/>
        <v>11642316.219999991</v>
      </c>
      <c r="F353" s="11">
        <f t="shared" si="22"/>
        <v>11859949.619999992</v>
      </c>
      <c r="G353" s="11">
        <f t="shared" si="22"/>
        <v>11876133.419999992</v>
      </c>
      <c r="H353" s="11">
        <f t="shared" si="22"/>
        <v>11971443.959999992</v>
      </c>
      <c r="I353" s="11">
        <f t="shared" si="22"/>
        <v>12261279.799999991</v>
      </c>
      <c r="J353" s="11">
        <f t="shared" si="22"/>
        <v>12261279.799999991</v>
      </c>
      <c r="K353" s="11">
        <f t="shared" si="22"/>
        <v>12459339.889999991</v>
      </c>
      <c r="L353" s="11">
        <f t="shared" si="22"/>
        <v>12469822.189999992</v>
      </c>
      <c r="M353" s="11">
        <f t="shared" si="22"/>
        <v>12746274.129999992</v>
      </c>
      <c r="N353" s="11">
        <f t="shared" si="22"/>
        <v>12788924.939999992</v>
      </c>
      <c r="O353" s="11">
        <f t="shared" si="22"/>
        <v>12809367.269999992</v>
      </c>
      <c r="P353" s="11">
        <f t="shared" si="20"/>
        <v>12153073.093749993</v>
      </c>
    </row>
    <row r="354" spans="1:16" x14ac:dyDescent="0.3">
      <c r="A354" s="470">
        <v>395</v>
      </c>
      <c r="B354" s="8" t="s">
        <v>409</v>
      </c>
      <c r="C354" s="11">
        <f t="shared" si="22"/>
        <v>68293</v>
      </c>
      <c r="D354" s="11">
        <f t="shared" si="22"/>
        <v>68293</v>
      </c>
      <c r="E354" s="11">
        <f t="shared" si="22"/>
        <v>68293</v>
      </c>
      <c r="F354" s="11">
        <f t="shared" si="22"/>
        <v>68293</v>
      </c>
      <c r="G354" s="11">
        <f t="shared" si="22"/>
        <v>68293</v>
      </c>
      <c r="H354" s="11">
        <f t="shared" si="22"/>
        <v>68293</v>
      </c>
      <c r="I354" s="11">
        <f t="shared" si="22"/>
        <v>68293</v>
      </c>
      <c r="J354" s="11">
        <f t="shared" si="22"/>
        <v>68293</v>
      </c>
      <c r="K354" s="11">
        <f t="shared" si="22"/>
        <v>68293</v>
      </c>
      <c r="L354" s="11">
        <f t="shared" si="22"/>
        <v>68293</v>
      </c>
      <c r="M354" s="11">
        <f t="shared" si="22"/>
        <v>68293</v>
      </c>
      <c r="N354" s="11">
        <f t="shared" si="22"/>
        <v>68293</v>
      </c>
      <c r="O354" s="11">
        <f t="shared" si="22"/>
        <v>68293</v>
      </c>
      <c r="P354" s="11">
        <f t="shared" si="20"/>
        <v>68293</v>
      </c>
    </row>
    <row r="355" spans="1:16" x14ac:dyDescent="0.3">
      <c r="A355" s="470">
        <v>396</v>
      </c>
      <c r="B355" s="8" t="s">
        <v>345</v>
      </c>
      <c r="C355" s="11">
        <f t="shared" si="22"/>
        <v>9789868.4000000022</v>
      </c>
      <c r="D355" s="11">
        <f t="shared" si="22"/>
        <v>9913954.3500000015</v>
      </c>
      <c r="E355" s="11">
        <f t="shared" si="22"/>
        <v>10030361.900000002</v>
      </c>
      <c r="F355" s="11">
        <f t="shared" si="22"/>
        <v>10044972.210000003</v>
      </c>
      <c r="G355" s="11">
        <f t="shared" si="22"/>
        <v>10045543.860000003</v>
      </c>
      <c r="H355" s="11">
        <f t="shared" si="22"/>
        <v>10278815.920000004</v>
      </c>
      <c r="I355" s="11">
        <f t="shared" si="22"/>
        <v>10460514.320000004</v>
      </c>
      <c r="J355" s="11">
        <f t="shared" si="22"/>
        <v>10466627.490000004</v>
      </c>
      <c r="K355" s="11">
        <f t="shared" si="22"/>
        <v>10833005.190000003</v>
      </c>
      <c r="L355" s="11">
        <f t="shared" si="22"/>
        <v>10851084.300000003</v>
      </c>
      <c r="M355" s="11">
        <f t="shared" si="22"/>
        <v>11106232.950000003</v>
      </c>
      <c r="N355" s="11">
        <f t="shared" si="22"/>
        <v>11117349.250000004</v>
      </c>
      <c r="O355" s="11">
        <f t="shared" si="22"/>
        <v>11119467.370000003</v>
      </c>
      <c r="P355" s="11">
        <f t="shared" si="20"/>
        <v>10466927.468750002</v>
      </c>
    </row>
    <row r="356" spans="1:16" x14ac:dyDescent="0.3">
      <c r="A356" s="470">
        <v>397</v>
      </c>
      <c r="B356" s="8" t="s">
        <v>410</v>
      </c>
      <c r="C356" s="11">
        <f t="shared" si="22"/>
        <v>88322.23</v>
      </c>
      <c r="D356" s="11">
        <f t="shared" si="22"/>
        <v>88322.23</v>
      </c>
      <c r="E356" s="11">
        <f t="shared" si="22"/>
        <v>88322.23</v>
      </c>
      <c r="F356" s="11">
        <f t="shared" si="22"/>
        <v>88322.23</v>
      </c>
      <c r="G356" s="11">
        <f t="shared" si="22"/>
        <v>88322.23</v>
      </c>
      <c r="H356" s="11">
        <f t="shared" si="22"/>
        <v>88322.23</v>
      </c>
      <c r="I356" s="11">
        <f t="shared" si="22"/>
        <v>88322.23</v>
      </c>
      <c r="J356" s="11">
        <f t="shared" si="22"/>
        <v>88322.23</v>
      </c>
      <c r="K356" s="11">
        <f t="shared" si="22"/>
        <v>88322.23</v>
      </c>
      <c r="L356" s="11">
        <f t="shared" si="22"/>
        <v>88322.23</v>
      </c>
      <c r="M356" s="11">
        <f t="shared" si="22"/>
        <v>88322.23</v>
      </c>
      <c r="N356" s="11">
        <f t="shared" si="22"/>
        <v>88322.23</v>
      </c>
      <c r="O356" s="11">
        <f t="shared" si="22"/>
        <v>88322.23</v>
      </c>
      <c r="P356" s="11">
        <f t="shared" si="20"/>
        <v>88322.23</v>
      </c>
    </row>
    <row r="357" spans="1:16" x14ac:dyDescent="0.3">
      <c r="A357" s="470">
        <v>397.1</v>
      </c>
      <c r="B357" s="8" t="s">
        <v>411</v>
      </c>
      <c r="C357" s="11">
        <f t="shared" si="22"/>
        <v>475621.17</v>
      </c>
      <c r="D357" s="11">
        <f t="shared" si="22"/>
        <v>475621.17</v>
      </c>
      <c r="E357" s="11">
        <f t="shared" si="22"/>
        <v>475621.17</v>
      </c>
      <c r="F357" s="11">
        <f t="shared" si="22"/>
        <v>475621.17</v>
      </c>
      <c r="G357" s="11">
        <f t="shared" si="22"/>
        <v>529561.66</v>
      </c>
      <c r="H357" s="11">
        <f t="shared" si="22"/>
        <v>529561.66</v>
      </c>
      <c r="I357" s="11">
        <f t="shared" si="22"/>
        <v>529904.96000000008</v>
      </c>
      <c r="J357" s="11">
        <f t="shared" si="22"/>
        <v>529990.79</v>
      </c>
      <c r="K357" s="11">
        <f t="shared" si="22"/>
        <v>529990.79</v>
      </c>
      <c r="L357" s="11">
        <f t="shared" si="22"/>
        <v>529990.79</v>
      </c>
      <c r="M357" s="11">
        <f t="shared" si="22"/>
        <v>529990.79</v>
      </c>
      <c r="N357" s="11">
        <f t="shared" si="22"/>
        <v>529990.79</v>
      </c>
      <c r="O357" s="11">
        <f t="shared" si="22"/>
        <v>529990.79</v>
      </c>
      <c r="P357" s="11">
        <f t="shared" si="20"/>
        <v>514054.31000000006</v>
      </c>
    </row>
    <row r="358" spans="1:16" x14ac:dyDescent="0.3">
      <c r="A358" s="470">
        <v>397.2</v>
      </c>
      <c r="B358" s="8" t="s">
        <v>412</v>
      </c>
      <c r="C358" s="11">
        <f t="shared" si="22"/>
        <v>1690853.65</v>
      </c>
      <c r="D358" s="11">
        <f t="shared" si="22"/>
        <v>1690853.65</v>
      </c>
      <c r="E358" s="11">
        <f t="shared" si="22"/>
        <v>1690853.65</v>
      </c>
      <c r="F358" s="11">
        <f t="shared" si="22"/>
        <v>1690853.65</v>
      </c>
      <c r="G358" s="11">
        <f t="shared" si="22"/>
        <v>1690853.65</v>
      </c>
      <c r="H358" s="11">
        <f t="shared" si="22"/>
        <v>1690853.65</v>
      </c>
      <c r="I358" s="11">
        <f t="shared" si="22"/>
        <v>1690853.65</v>
      </c>
      <c r="J358" s="11">
        <f t="shared" si="22"/>
        <v>1690853.65</v>
      </c>
      <c r="K358" s="11">
        <f t="shared" si="22"/>
        <v>1690853.65</v>
      </c>
      <c r="L358" s="11">
        <f t="shared" si="22"/>
        <v>1690853.65</v>
      </c>
      <c r="M358" s="11">
        <f t="shared" si="22"/>
        <v>1690853.65</v>
      </c>
      <c r="N358" s="11">
        <f t="shared" si="22"/>
        <v>1690853.65</v>
      </c>
      <c r="O358" s="11">
        <f t="shared" si="22"/>
        <v>1690853.65</v>
      </c>
      <c r="P358" s="11">
        <f t="shared" si="20"/>
        <v>1690853.6499999997</v>
      </c>
    </row>
    <row r="359" spans="1:16" x14ac:dyDescent="0.3">
      <c r="A359" s="470">
        <v>397.3</v>
      </c>
      <c r="B359" s="8" t="s">
        <v>346</v>
      </c>
      <c r="C359" s="11">
        <f t="shared" si="22"/>
        <v>4712297.5999999996</v>
      </c>
      <c r="D359" s="11">
        <f t="shared" si="22"/>
        <v>4712297.5999999996</v>
      </c>
      <c r="E359" s="11">
        <f t="shared" si="22"/>
        <v>4712297.5999999996</v>
      </c>
      <c r="F359" s="11">
        <f t="shared" si="22"/>
        <v>4712297.5999999996</v>
      </c>
      <c r="G359" s="11">
        <f t="shared" si="22"/>
        <v>4712297.5999999996</v>
      </c>
      <c r="H359" s="11">
        <f t="shared" si="22"/>
        <v>4712297.5999999996</v>
      </c>
      <c r="I359" s="11">
        <f t="shared" si="22"/>
        <v>4712297.5999999996</v>
      </c>
      <c r="J359" s="11">
        <f t="shared" si="22"/>
        <v>4712297.5999999996</v>
      </c>
      <c r="K359" s="11">
        <f t="shared" si="22"/>
        <v>4712297.5999999996</v>
      </c>
      <c r="L359" s="11">
        <f t="shared" si="22"/>
        <v>4712297.5999999996</v>
      </c>
      <c r="M359" s="11">
        <f t="shared" si="22"/>
        <v>4805701.2399999993</v>
      </c>
      <c r="N359" s="11">
        <f t="shared" si="22"/>
        <v>4805701.2399999993</v>
      </c>
      <c r="O359" s="11">
        <f t="shared" si="22"/>
        <v>4806614.4399999995</v>
      </c>
      <c r="P359" s="11">
        <f t="shared" si="20"/>
        <v>4731794.7416666672</v>
      </c>
    </row>
    <row r="360" spans="1:16" x14ac:dyDescent="0.3">
      <c r="A360" s="470">
        <v>397.4</v>
      </c>
      <c r="B360" s="8" t="s">
        <v>413</v>
      </c>
      <c r="C360" s="11">
        <f t="shared" si="22"/>
        <v>2850935.95</v>
      </c>
      <c r="D360" s="11">
        <f t="shared" si="22"/>
        <v>2850935.95</v>
      </c>
      <c r="E360" s="11">
        <f t="shared" si="22"/>
        <v>2850935.95</v>
      </c>
      <c r="F360" s="11">
        <f t="shared" si="22"/>
        <v>2852797.41</v>
      </c>
      <c r="G360" s="11">
        <f t="shared" si="22"/>
        <v>2852797.41</v>
      </c>
      <c r="H360" s="11">
        <f t="shared" si="22"/>
        <v>2852797.41</v>
      </c>
      <c r="I360" s="11">
        <f t="shared" si="22"/>
        <v>2852797.41</v>
      </c>
      <c r="J360" s="11">
        <f t="shared" si="22"/>
        <v>2852797.41</v>
      </c>
      <c r="K360" s="11">
        <f t="shared" si="22"/>
        <v>2852797.41</v>
      </c>
      <c r="L360" s="11">
        <f t="shared" si="22"/>
        <v>2852797.41</v>
      </c>
      <c r="M360" s="11">
        <f t="shared" si="22"/>
        <v>2852797.41</v>
      </c>
      <c r="N360" s="11">
        <f t="shared" si="22"/>
        <v>2852797.41</v>
      </c>
      <c r="O360" s="11">
        <f t="shared" si="22"/>
        <v>2852797.41</v>
      </c>
      <c r="P360" s="11">
        <f t="shared" si="20"/>
        <v>2852409.6058333335</v>
      </c>
    </row>
    <row r="361" spans="1:16" x14ac:dyDescent="0.3">
      <c r="A361" s="470">
        <v>397.5</v>
      </c>
      <c r="B361" s="8" t="s">
        <v>414</v>
      </c>
      <c r="C361" s="11">
        <f t="shared" si="22"/>
        <v>490766.50000000012</v>
      </c>
      <c r="D361" s="11">
        <f t="shared" si="22"/>
        <v>490766.50000000012</v>
      </c>
      <c r="E361" s="11">
        <f t="shared" si="22"/>
        <v>490766.50000000012</v>
      </c>
      <c r="F361" s="11">
        <f t="shared" si="22"/>
        <v>490766.50000000012</v>
      </c>
      <c r="G361" s="11">
        <f t="shared" si="22"/>
        <v>490766.50000000012</v>
      </c>
      <c r="H361" s="11">
        <f t="shared" si="22"/>
        <v>490766.50000000012</v>
      </c>
      <c r="I361" s="11">
        <f t="shared" si="22"/>
        <v>490766.50000000012</v>
      </c>
      <c r="J361" s="11">
        <f t="shared" si="22"/>
        <v>490766.50000000012</v>
      </c>
      <c r="K361" s="11">
        <f t="shared" si="22"/>
        <v>490766.50000000012</v>
      </c>
      <c r="L361" s="11">
        <f t="shared" si="22"/>
        <v>490766.50000000012</v>
      </c>
      <c r="M361" s="11">
        <f t="shared" si="22"/>
        <v>490766.50000000012</v>
      </c>
      <c r="N361" s="11">
        <f t="shared" si="22"/>
        <v>490766.50000000012</v>
      </c>
      <c r="O361" s="11">
        <f t="shared" si="22"/>
        <v>490766.50000000012</v>
      </c>
      <c r="P361" s="11">
        <f t="shared" si="20"/>
        <v>490766.50000000006</v>
      </c>
    </row>
    <row r="362" spans="1:16" x14ac:dyDescent="0.3">
      <c r="A362" s="470">
        <v>398</v>
      </c>
      <c r="B362" s="8" t="s">
        <v>415</v>
      </c>
      <c r="C362" s="11">
        <f t="shared" ref="C362:O367" si="23">+C118+C240</f>
        <v>0</v>
      </c>
      <c r="D362" s="11">
        <f t="shared" si="23"/>
        <v>0</v>
      </c>
      <c r="E362" s="11">
        <f t="shared" si="23"/>
        <v>0</v>
      </c>
      <c r="F362" s="11">
        <f t="shared" si="23"/>
        <v>0</v>
      </c>
      <c r="G362" s="11">
        <f t="shared" si="23"/>
        <v>0</v>
      </c>
      <c r="H362" s="11">
        <f t="shared" si="23"/>
        <v>0</v>
      </c>
      <c r="I362" s="11">
        <f t="shared" si="23"/>
        <v>0</v>
      </c>
      <c r="J362" s="11">
        <f t="shared" si="23"/>
        <v>0</v>
      </c>
      <c r="K362" s="11">
        <f t="shared" si="23"/>
        <v>0</v>
      </c>
      <c r="L362" s="11">
        <f t="shared" si="23"/>
        <v>0</v>
      </c>
      <c r="M362" s="11">
        <f t="shared" si="23"/>
        <v>0</v>
      </c>
      <c r="N362" s="11">
        <f t="shared" si="23"/>
        <v>0</v>
      </c>
      <c r="O362" s="11">
        <f t="shared" si="23"/>
        <v>0</v>
      </c>
      <c r="P362" s="11">
        <f t="shared" si="20"/>
        <v>0</v>
      </c>
    </row>
    <row r="363" spans="1:16" x14ac:dyDescent="0.3">
      <c r="A363" s="470">
        <v>398.1</v>
      </c>
      <c r="B363" s="8" t="s">
        <v>416</v>
      </c>
      <c r="C363" s="11">
        <f t="shared" si="23"/>
        <v>83249.31</v>
      </c>
      <c r="D363" s="11">
        <f t="shared" si="23"/>
        <v>83249.31</v>
      </c>
      <c r="E363" s="11">
        <f t="shared" si="23"/>
        <v>83249.31</v>
      </c>
      <c r="F363" s="11">
        <f t="shared" si="23"/>
        <v>83249.31</v>
      </c>
      <c r="G363" s="11">
        <f t="shared" si="23"/>
        <v>83249.31</v>
      </c>
      <c r="H363" s="11">
        <f t="shared" si="23"/>
        <v>83249.31</v>
      </c>
      <c r="I363" s="11">
        <f t="shared" si="23"/>
        <v>83249.31</v>
      </c>
      <c r="J363" s="11">
        <f t="shared" si="23"/>
        <v>83249.31</v>
      </c>
      <c r="K363" s="11">
        <f t="shared" si="23"/>
        <v>83249.31</v>
      </c>
      <c r="L363" s="11">
        <f t="shared" si="23"/>
        <v>83249.31</v>
      </c>
      <c r="M363" s="11">
        <f t="shared" si="23"/>
        <v>83249.31</v>
      </c>
      <c r="N363" s="11">
        <f t="shared" si="23"/>
        <v>83249.31</v>
      </c>
      <c r="O363" s="11">
        <f t="shared" si="23"/>
        <v>83249.31</v>
      </c>
      <c r="P363" s="11">
        <f t="shared" si="20"/>
        <v>83249.310000000012</v>
      </c>
    </row>
    <row r="364" spans="1:16" x14ac:dyDescent="0.3">
      <c r="A364" s="470">
        <v>398.2</v>
      </c>
      <c r="B364" s="8" t="s">
        <v>417</v>
      </c>
      <c r="C364" s="11">
        <f t="shared" si="23"/>
        <v>12812.44</v>
      </c>
      <c r="D364" s="11">
        <f t="shared" si="23"/>
        <v>12812.44</v>
      </c>
      <c r="E364" s="11">
        <f t="shared" si="23"/>
        <v>12812.44</v>
      </c>
      <c r="F364" s="11">
        <f t="shared" si="23"/>
        <v>12812.44</v>
      </c>
      <c r="G364" s="11">
        <f t="shared" si="23"/>
        <v>12812.44</v>
      </c>
      <c r="H364" s="11">
        <f t="shared" si="23"/>
        <v>12812.44</v>
      </c>
      <c r="I364" s="11">
        <f t="shared" si="23"/>
        <v>12812.44</v>
      </c>
      <c r="J364" s="11">
        <f t="shared" si="23"/>
        <v>12812.44</v>
      </c>
      <c r="K364" s="11">
        <f t="shared" si="23"/>
        <v>12812.44</v>
      </c>
      <c r="L364" s="11">
        <f t="shared" si="23"/>
        <v>12812.44</v>
      </c>
      <c r="M364" s="11">
        <f t="shared" si="23"/>
        <v>12812.44</v>
      </c>
      <c r="N364" s="11">
        <f t="shared" si="23"/>
        <v>12812.44</v>
      </c>
      <c r="O364" s="11">
        <f t="shared" si="23"/>
        <v>12812.44</v>
      </c>
      <c r="P364" s="11">
        <f t="shared" si="20"/>
        <v>12812.44</v>
      </c>
    </row>
    <row r="365" spans="1:16" x14ac:dyDescent="0.3">
      <c r="A365" s="470">
        <v>398.3</v>
      </c>
      <c r="B365" s="8" t="s">
        <v>418</v>
      </c>
      <c r="C365" s="11">
        <f t="shared" si="23"/>
        <v>14873</v>
      </c>
      <c r="D365" s="11">
        <f t="shared" si="23"/>
        <v>14873</v>
      </c>
      <c r="E365" s="11">
        <f t="shared" si="23"/>
        <v>14873</v>
      </c>
      <c r="F365" s="11">
        <f t="shared" si="23"/>
        <v>14873</v>
      </c>
      <c r="G365" s="11">
        <f t="shared" si="23"/>
        <v>14873</v>
      </c>
      <c r="H365" s="11">
        <f t="shared" si="23"/>
        <v>14873</v>
      </c>
      <c r="I365" s="11">
        <f t="shared" si="23"/>
        <v>14873</v>
      </c>
      <c r="J365" s="11">
        <f t="shared" si="23"/>
        <v>14873</v>
      </c>
      <c r="K365" s="11">
        <f t="shared" si="23"/>
        <v>14873</v>
      </c>
      <c r="L365" s="11">
        <f t="shared" si="23"/>
        <v>14873</v>
      </c>
      <c r="M365" s="11">
        <f t="shared" si="23"/>
        <v>14873</v>
      </c>
      <c r="N365" s="11">
        <f t="shared" si="23"/>
        <v>14873</v>
      </c>
      <c r="O365" s="11">
        <f t="shared" si="23"/>
        <v>14873</v>
      </c>
      <c r="P365" s="11">
        <f t="shared" si="20"/>
        <v>14873</v>
      </c>
    </row>
    <row r="366" spans="1:16" x14ac:dyDescent="0.3">
      <c r="A366" s="470">
        <v>398.4</v>
      </c>
      <c r="B366" s="8" t="s">
        <v>347</v>
      </c>
      <c r="C366" s="159">
        <f t="shared" si="23"/>
        <v>10120</v>
      </c>
      <c r="D366" s="159">
        <f t="shared" si="23"/>
        <v>10120</v>
      </c>
      <c r="E366" s="159">
        <f t="shared" si="23"/>
        <v>10120</v>
      </c>
      <c r="F366" s="159">
        <f t="shared" si="23"/>
        <v>10120</v>
      </c>
      <c r="G366" s="159">
        <f t="shared" si="23"/>
        <v>10120</v>
      </c>
      <c r="H366" s="159">
        <f t="shared" si="23"/>
        <v>10120</v>
      </c>
      <c r="I366" s="159">
        <f t="shared" si="23"/>
        <v>10120</v>
      </c>
      <c r="J366" s="159">
        <f t="shared" si="23"/>
        <v>10120</v>
      </c>
      <c r="K366" s="159">
        <f t="shared" si="23"/>
        <v>10120</v>
      </c>
      <c r="L366" s="159">
        <f t="shared" si="23"/>
        <v>10120</v>
      </c>
      <c r="M366" s="159">
        <f t="shared" si="23"/>
        <v>10120</v>
      </c>
      <c r="N366" s="159">
        <f t="shared" si="23"/>
        <v>10120</v>
      </c>
      <c r="O366" s="159">
        <f t="shared" si="23"/>
        <v>10120</v>
      </c>
      <c r="P366" s="159">
        <f t="shared" si="20"/>
        <v>10120</v>
      </c>
    </row>
    <row r="367" spans="1:16" x14ac:dyDescent="0.3">
      <c r="A367" s="470">
        <v>398.5</v>
      </c>
      <c r="B367" s="8" t="s">
        <v>419</v>
      </c>
      <c r="C367" s="159">
        <f t="shared" si="23"/>
        <v>66739</v>
      </c>
      <c r="D367" s="159">
        <f t="shared" si="23"/>
        <v>66739</v>
      </c>
      <c r="E367" s="159">
        <f t="shared" si="23"/>
        <v>66739</v>
      </c>
      <c r="F367" s="159">
        <f t="shared" si="23"/>
        <v>66739</v>
      </c>
      <c r="G367" s="159">
        <f t="shared" si="23"/>
        <v>66739</v>
      </c>
      <c r="H367" s="159">
        <f t="shared" si="23"/>
        <v>66739</v>
      </c>
      <c r="I367" s="159">
        <f t="shared" si="23"/>
        <v>66739</v>
      </c>
      <c r="J367" s="159">
        <f t="shared" si="23"/>
        <v>66739</v>
      </c>
      <c r="K367" s="159">
        <f t="shared" si="23"/>
        <v>66739</v>
      </c>
      <c r="L367" s="159">
        <f t="shared" si="23"/>
        <v>66739</v>
      </c>
      <c r="M367" s="159">
        <f t="shared" si="23"/>
        <v>66739</v>
      </c>
      <c r="N367" s="159">
        <f t="shared" si="23"/>
        <v>66739</v>
      </c>
      <c r="O367" s="159">
        <f t="shared" si="23"/>
        <v>66739</v>
      </c>
      <c r="P367" s="159">
        <f t="shared" si="20"/>
        <v>66739</v>
      </c>
    </row>
    <row r="368" spans="1:16" x14ac:dyDescent="0.3">
      <c r="B368" s="8" t="s">
        <v>420</v>
      </c>
      <c r="C368" s="160"/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>
        <f t="shared" si="20"/>
        <v>0</v>
      </c>
    </row>
    <row r="369" spans="1:16" x14ac:dyDescent="0.3">
      <c r="B369" s="8" t="s">
        <v>1915</v>
      </c>
      <c r="C369" s="11">
        <f>SUM(C250:C367)</f>
        <v>2919358638.1799998</v>
      </c>
      <c r="D369" s="11">
        <f t="shared" ref="D369:P369" si="24">SUM(D250:D367)</f>
        <v>2927195682.1499991</v>
      </c>
      <c r="E369" s="11">
        <f t="shared" si="24"/>
        <v>2940639990.3099999</v>
      </c>
      <c r="F369" s="11">
        <f t="shared" si="24"/>
        <v>2955758706.7200003</v>
      </c>
      <c r="G369" s="11">
        <f t="shared" si="24"/>
        <v>2963495374.3299999</v>
      </c>
      <c r="H369" s="11">
        <f t="shared" si="24"/>
        <v>2971338123.9499993</v>
      </c>
      <c r="I369" s="11">
        <f t="shared" si="24"/>
        <v>2984508953.0599999</v>
      </c>
      <c r="J369" s="11">
        <f t="shared" si="24"/>
        <v>2988594398.6000004</v>
      </c>
      <c r="K369" s="11">
        <f t="shared" si="24"/>
        <v>2996888422.6300001</v>
      </c>
      <c r="L369" s="11">
        <f t="shared" si="24"/>
        <v>3015095614.8300004</v>
      </c>
      <c r="M369" s="11">
        <f t="shared" si="24"/>
        <v>3022598900.2000008</v>
      </c>
      <c r="N369" s="11">
        <f t="shared" si="24"/>
        <v>3030522374.6400013</v>
      </c>
      <c r="O369" s="11">
        <f t="shared" si="24"/>
        <v>3046124415.1499991</v>
      </c>
      <c r="P369" s="11">
        <f t="shared" si="24"/>
        <v>2981614839.0070839</v>
      </c>
    </row>
    <row r="372" spans="1:16" x14ac:dyDescent="0.3">
      <c r="A372" s="161" t="s">
        <v>148</v>
      </c>
    </row>
    <row r="373" spans="1:16" x14ac:dyDescent="0.3">
      <c r="A373" s="161"/>
      <c r="B373" s="161" t="s">
        <v>278</v>
      </c>
      <c r="C373" s="4">
        <f t="shared" ref="C373:P373" si="25">+C8+C9+C10+C11+C12</f>
        <v>100483913.04000001</v>
      </c>
      <c r="D373" s="4">
        <f t="shared" si="25"/>
        <v>100935575.95</v>
      </c>
      <c r="E373" s="4">
        <f t="shared" si="25"/>
        <v>102041132.73</v>
      </c>
      <c r="F373" s="4">
        <f t="shared" si="25"/>
        <v>103315710.62</v>
      </c>
      <c r="G373" s="4">
        <f t="shared" si="25"/>
        <v>103351423.91000001</v>
      </c>
      <c r="H373" s="4">
        <f t="shared" si="25"/>
        <v>104116869.03000002</v>
      </c>
      <c r="I373" s="4">
        <f t="shared" si="25"/>
        <v>104075098.19000001</v>
      </c>
      <c r="J373" s="4">
        <f t="shared" si="25"/>
        <v>104099314.52000001</v>
      </c>
      <c r="K373" s="4">
        <f t="shared" si="25"/>
        <v>104099044.17000002</v>
      </c>
      <c r="L373" s="4">
        <f t="shared" si="25"/>
        <v>104479755.55000001</v>
      </c>
      <c r="M373" s="4">
        <f t="shared" si="25"/>
        <v>104489719.44000001</v>
      </c>
      <c r="N373" s="4">
        <f t="shared" si="25"/>
        <v>104477474.65000001</v>
      </c>
      <c r="O373" s="4">
        <f t="shared" si="25"/>
        <v>109058176.63000001</v>
      </c>
      <c r="P373" s="4">
        <f t="shared" si="25"/>
        <v>103687680.29958335</v>
      </c>
    </row>
    <row r="374" spans="1:16" x14ac:dyDescent="0.3">
      <c r="A374" s="161"/>
      <c r="B374" s="161" t="s">
        <v>279</v>
      </c>
      <c r="C374" s="4">
        <f t="shared" ref="C374:P374" si="26">+C6+C7</f>
        <v>84348.27</v>
      </c>
      <c r="D374" s="4">
        <f t="shared" si="26"/>
        <v>84348.27</v>
      </c>
      <c r="E374" s="4">
        <f t="shared" si="26"/>
        <v>84348.27</v>
      </c>
      <c r="F374" s="4">
        <f t="shared" si="26"/>
        <v>84348.27</v>
      </c>
      <c r="G374" s="4">
        <f t="shared" si="26"/>
        <v>84348.27</v>
      </c>
      <c r="H374" s="4">
        <f t="shared" si="26"/>
        <v>84348.27</v>
      </c>
      <c r="I374" s="4">
        <f t="shared" si="26"/>
        <v>84348.27</v>
      </c>
      <c r="J374" s="4">
        <f t="shared" si="26"/>
        <v>84348.27</v>
      </c>
      <c r="K374" s="4">
        <f t="shared" si="26"/>
        <v>84348.27</v>
      </c>
      <c r="L374" s="4">
        <f t="shared" si="26"/>
        <v>84348.27</v>
      </c>
      <c r="M374" s="4">
        <f t="shared" si="26"/>
        <v>84348.27</v>
      </c>
      <c r="N374" s="4">
        <f t="shared" si="26"/>
        <v>84348.27</v>
      </c>
      <c r="O374" s="4">
        <f t="shared" si="26"/>
        <v>84348.27</v>
      </c>
      <c r="P374" s="4">
        <f t="shared" si="26"/>
        <v>84348.27</v>
      </c>
    </row>
    <row r="375" spans="1:16" x14ac:dyDescent="0.3">
      <c r="A375" s="161"/>
      <c r="B375" s="161" t="s">
        <v>280</v>
      </c>
      <c r="C375" s="4">
        <f t="shared" ref="C375:O375" si="27">SUM(C13:C32)</f>
        <v>675198</v>
      </c>
      <c r="D375" s="4">
        <f t="shared" si="27"/>
        <v>675198</v>
      </c>
      <c r="E375" s="4">
        <f t="shared" si="27"/>
        <v>675198</v>
      </c>
      <c r="F375" s="4">
        <f t="shared" si="27"/>
        <v>675198</v>
      </c>
      <c r="G375" s="4">
        <f t="shared" si="27"/>
        <v>675198</v>
      </c>
      <c r="H375" s="4">
        <f t="shared" si="27"/>
        <v>675198</v>
      </c>
      <c r="I375" s="4">
        <f t="shared" si="27"/>
        <v>675198</v>
      </c>
      <c r="J375" s="4">
        <f t="shared" si="27"/>
        <v>675198</v>
      </c>
      <c r="K375" s="4">
        <f t="shared" si="27"/>
        <v>675198</v>
      </c>
      <c r="L375" s="4">
        <f t="shared" si="27"/>
        <v>675198</v>
      </c>
      <c r="M375" s="4">
        <f t="shared" si="27"/>
        <v>675198</v>
      </c>
      <c r="N375" s="4">
        <f t="shared" si="27"/>
        <v>675198</v>
      </c>
      <c r="O375" s="4">
        <f t="shared" si="27"/>
        <v>675198</v>
      </c>
      <c r="P375" s="4">
        <f t="shared" ref="P375" si="28">SUM(P13:P32)</f>
        <v>675198</v>
      </c>
    </row>
    <row r="376" spans="1:16" x14ac:dyDescent="0.3">
      <c r="A376" s="161"/>
      <c r="B376" s="161" t="s">
        <v>281</v>
      </c>
      <c r="C376" s="4">
        <f>SUM(C69+C70+C71+C72+C79+C80)</f>
        <v>163987674.07999998</v>
      </c>
      <c r="D376" s="4">
        <f t="shared" ref="D376:P376" si="29">SUM(D69+D70+D71+D72+D79+D80)</f>
        <v>164212276.79999998</v>
      </c>
      <c r="E376" s="4">
        <f t="shared" si="29"/>
        <v>164233868.09999999</v>
      </c>
      <c r="F376" s="4">
        <f t="shared" si="29"/>
        <v>165472469.72999999</v>
      </c>
      <c r="G376" s="4">
        <f t="shared" si="29"/>
        <v>165531959.28999999</v>
      </c>
      <c r="H376" s="4">
        <f t="shared" si="29"/>
        <v>165556735.01999998</v>
      </c>
      <c r="I376" s="4">
        <f t="shared" si="29"/>
        <v>166708513.41999999</v>
      </c>
      <c r="J376" s="4">
        <f t="shared" si="29"/>
        <v>166745781.00999999</v>
      </c>
      <c r="K376" s="4">
        <f t="shared" si="29"/>
        <v>167080223.69</v>
      </c>
      <c r="L376" s="4">
        <f t="shared" si="29"/>
        <v>167477915.32999998</v>
      </c>
      <c r="M376" s="4">
        <f t="shared" si="29"/>
        <v>167551084.69999999</v>
      </c>
      <c r="N376" s="4">
        <f t="shared" si="29"/>
        <v>167579325.47999999</v>
      </c>
      <c r="O376" s="4">
        <f t="shared" si="29"/>
        <v>168519547.43999997</v>
      </c>
      <c r="P376" s="4">
        <f t="shared" si="29"/>
        <v>166200313.61083332</v>
      </c>
    </row>
    <row r="377" spans="1:16" x14ac:dyDescent="0.3">
      <c r="A377" s="161"/>
      <c r="B377" s="161" t="s">
        <v>282</v>
      </c>
      <c r="C377" s="4">
        <f t="shared" ref="C377:O377" si="30">SUM(C81:C101)+C124</f>
        <v>1872543945.0000002</v>
      </c>
      <c r="D377" s="4">
        <f t="shared" si="30"/>
        <v>1878221890.1100004</v>
      </c>
      <c r="E377" s="4">
        <f t="shared" si="30"/>
        <v>1883873493.99</v>
      </c>
      <c r="F377" s="4">
        <f t="shared" si="30"/>
        <v>1894090109.6299999</v>
      </c>
      <c r="G377" s="4">
        <f t="shared" si="30"/>
        <v>1899432648.0699999</v>
      </c>
      <c r="H377" s="4">
        <f t="shared" si="30"/>
        <v>1902322962.5299997</v>
      </c>
      <c r="I377" s="4">
        <f t="shared" si="30"/>
        <v>1911449428.8499997</v>
      </c>
      <c r="J377" s="4">
        <f t="shared" si="30"/>
        <v>1914332013.1099999</v>
      </c>
      <c r="K377" s="4">
        <f t="shared" si="30"/>
        <v>1919515063.0999999</v>
      </c>
      <c r="L377" s="4">
        <f t="shared" si="30"/>
        <v>1926032268.8299997</v>
      </c>
      <c r="M377" s="4">
        <f t="shared" si="30"/>
        <v>1931481724.9899998</v>
      </c>
      <c r="N377" s="4">
        <f t="shared" si="30"/>
        <v>1937309011.5700002</v>
      </c>
      <c r="O377" s="4">
        <f t="shared" si="30"/>
        <v>1945089163.5800002</v>
      </c>
      <c r="P377" s="4">
        <f t="shared" ref="P377" si="31">SUM(P81:P101)+P124</f>
        <v>1908906430.7558334</v>
      </c>
    </row>
    <row r="378" spans="1:16" x14ac:dyDescent="0.3">
      <c r="A378" s="161"/>
      <c r="B378" s="161" t="s">
        <v>283</v>
      </c>
      <c r="C378" s="4">
        <f>SUM(C104:C123)</f>
        <v>129171191.67000003</v>
      </c>
      <c r="D378" s="4">
        <f t="shared" ref="D378:P378" si="32">SUM(D104:D123)</f>
        <v>125667955.88000004</v>
      </c>
      <c r="E378" s="4">
        <f t="shared" si="32"/>
        <v>129194547.30000003</v>
      </c>
      <c r="F378" s="4">
        <f t="shared" si="32"/>
        <v>130601054.97000004</v>
      </c>
      <c r="G378" s="4">
        <f t="shared" si="32"/>
        <v>131908321.97000003</v>
      </c>
      <c r="H378" s="4">
        <f t="shared" si="32"/>
        <v>131893731.45000003</v>
      </c>
      <c r="I378" s="4">
        <f t="shared" si="32"/>
        <v>132137533.73000002</v>
      </c>
      <c r="J378" s="4">
        <f t="shared" si="32"/>
        <v>132213188.83000004</v>
      </c>
      <c r="K378" s="4">
        <f t="shared" si="32"/>
        <v>133195885.07000002</v>
      </c>
      <c r="L378" s="4">
        <f t="shared" si="32"/>
        <v>138343053.59000003</v>
      </c>
      <c r="M378" s="4">
        <f t="shared" si="32"/>
        <v>140180292.74000004</v>
      </c>
      <c r="N378" s="4">
        <f t="shared" si="32"/>
        <v>140332836.57000005</v>
      </c>
      <c r="O378" s="4">
        <f t="shared" si="32"/>
        <v>140532661.81000003</v>
      </c>
      <c r="P378" s="4">
        <f t="shared" si="32"/>
        <v>133376694.07000004</v>
      </c>
    </row>
    <row r="379" spans="1:16" x14ac:dyDescent="0.3">
      <c r="A379" s="161"/>
      <c r="B379" s="8" t="s">
        <v>28</v>
      </c>
      <c r="C379" s="4">
        <f>+C102</f>
        <v>9609257.5500000007</v>
      </c>
      <c r="D379" s="4">
        <f t="shared" ref="D379:P380" si="33">+D102</f>
        <v>9609257.5500000007</v>
      </c>
      <c r="E379" s="4">
        <f t="shared" si="33"/>
        <v>9609257.5500000007</v>
      </c>
      <c r="F379" s="4">
        <f t="shared" si="33"/>
        <v>9609257.5500000007</v>
      </c>
      <c r="G379" s="4">
        <f t="shared" si="33"/>
        <v>9609257.5500000007</v>
      </c>
      <c r="H379" s="4">
        <f t="shared" si="33"/>
        <v>9609257.5500000007</v>
      </c>
      <c r="I379" s="4">
        <f t="shared" si="33"/>
        <v>9609257.5500000007</v>
      </c>
      <c r="J379" s="4">
        <f t="shared" si="33"/>
        <v>9609257.5500000007</v>
      </c>
      <c r="K379" s="4">
        <f t="shared" si="33"/>
        <v>9609257.5500000007</v>
      </c>
      <c r="L379" s="4">
        <f t="shared" si="33"/>
        <v>9609257.5500000007</v>
      </c>
      <c r="M379" s="4">
        <f t="shared" si="33"/>
        <v>9609257.5500000007</v>
      </c>
      <c r="N379" s="4">
        <f t="shared" si="33"/>
        <v>9609257.5500000007</v>
      </c>
      <c r="O379" s="4">
        <f t="shared" si="33"/>
        <v>9609257.5500000007</v>
      </c>
      <c r="P379" s="4">
        <f t="shared" si="33"/>
        <v>9609257.5499999989</v>
      </c>
    </row>
    <row r="380" spans="1:16" x14ac:dyDescent="0.3">
      <c r="A380" s="161"/>
      <c r="B380" s="8" t="s">
        <v>284</v>
      </c>
      <c r="C380" s="4">
        <f>+C103</f>
        <v>58499350.149999999</v>
      </c>
      <c r="D380" s="4">
        <f t="shared" si="33"/>
        <v>58503929.379999995</v>
      </c>
      <c r="E380" s="4">
        <f t="shared" si="33"/>
        <v>58514926.569999993</v>
      </c>
      <c r="F380" s="4">
        <f t="shared" si="33"/>
        <v>58793602.889999993</v>
      </c>
      <c r="G380" s="4">
        <f t="shared" si="33"/>
        <v>58800923.989999995</v>
      </c>
      <c r="H380" s="4">
        <f t="shared" si="33"/>
        <v>58802766.739999995</v>
      </c>
      <c r="I380" s="4">
        <f t="shared" si="33"/>
        <v>58804595.949999996</v>
      </c>
      <c r="J380" s="4">
        <f t="shared" si="33"/>
        <v>58806378.489999995</v>
      </c>
      <c r="K380" s="4">
        <f t="shared" si="33"/>
        <v>58796747.059999995</v>
      </c>
      <c r="L380" s="4">
        <f t="shared" si="33"/>
        <v>58854936.289999992</v>
      </c>
      <c r="M380" s="4">
        <f t="shared" si="33"/>
        <v>58855870.899999991</v>
      </c>
      <c r="N380" s="4">
        <f t="shared" si="33"/>
        <v>58868240.00999999</v>
      </c>
      <c r="O380" s="4">
        <f t="shared" si="33"/>
        <v>58915067.859999992</v>
      </c>
      <c r="P380" s="4">
        <f t="shared" si="33"/>
        <v>58759177.272916667</v>
      </c>
    </row>
    <row r="381" spans="1:16" x14ac:dyDescent="0.3">
      <c r="A381" s="161"/>
      <c r="B381" s="161" t="s">
        <v>285</v>
      </c>
      <c r="C381" s="4">
        <f>SUM(C73:C78,C33:C66)</f>
        <v>312776311.75999999</v>
      </c>
      <c r="D381" s="4">
        <f t="shared" ref="D381:P381" si="34">SUM(D73:D78,D33:D66)</f>
        <v>316309651.31</v>
      </c>
      <c r="E381" s="4">
        <f t="shared" si="34"/>
        <v>316695313.42999995</v>
      </c>
      <c r="F381" s="4">
        <f t="shared" si="34"/>
        <v>314220158.93000001</v>
      </c>
      <c r="G381" s="4">
        <f t="shared" si="34"/>
        <v>314242930.55000001</v>
      </c>
      <c r="H381" s="4">
        <f t="shared" si="34"/>
        <v>318058924.60000002</v>
      </c>
      <c r="I381" s="4">
        <f t="shared" si="34"/>
        <v>318088443.40999997</v>
      </c>
      <c r="J381" s="4">
        <f t="shared" si="34"/>
        <v>318113158</v>
      </c>
      <c r="K381" s="4">
        <f t="shared" si="34"/>
        <v>318098137.31</v>
      </c>
      <c r="L381" s="4">
        <f t="shared" si="34"/>
        <v>320408989.87000006</v>
      </c>
      <c r="M381" s="4">
        <f t="shared" si="34"/>
        <v>320417502.4000001</v>
      </c>
      <c r="N381" s="4">
        <f t="shared" si="34"/>
        <v>320416360.06000012</v>
      </c>
      <c r="O381" s="4">
        <f t="shared" si="34"/>
        <v>321048969.30000007</v>
      </c>
      <c r="P381" s="4">
        <f t="shared" si="34"/>
        <v>317665184.19999999</v>
      </c>
    </row>
    <row r="382" spans="1:16" x14ac:dyDescent="0.3">
      <c r="A382" s="161"/>
      <c r="B382" s="161" t="s">
        <v>286</v>
      </c>
      <c r="C382" s="4">
        <f t="shared" ref="C382:P382" si="35">+C67+C68</f>
        <v>3790768.49</v>
      </c>
      <c r="D382" s="4">
        <f t="shared" si="35"/>
        <v>3790768.49</v>
      </c>
      <c r="E382" s="4">
        <f t="shared" si="35"/>
        <v>3790768.49</v>
      </c>
      <c r="F382" s="4">
        <f t="shared" si="35"/>
        <v>3790768.49</v>
      </c>
      <c r="G382" s="4">
        <f t="shared" si="35"/>
        <v>3790768.49</v>
      </c>
      <c r="H382" s="4">
        <f t="shared" si="35"/>
        <v>3790768.49</v>
      </c>
      <c r="I382" s="4">
        <f t="shared" si="35"/>
        <v>3790768.49</v>
      </c>
      <c r="J382" s="4">
        <f t="shared" si="35"/>
        <v>3790768.49</v>
      </c>
      <c r="K382" s="4">
        <f t="shared" si="35"/>
        <v>3790768.49</v>
      </c>
      <c r="L382" s="4">
        <f t="shared" si="35"/>
        <v>3790768.49</v>
      </c>
      <c r="M382" s="4">
        <f t="shared" si="35"/>
        <v>3790768.49</v>
      </c>
      <c r="N382" s="4">
        <f t="shared" si="35"/>
        <v>3790768.49</v>
      </c>
      <c r="O382" s="4">
        <f t="shared" si="35"/>
        <v>3790768.49</v>
      </c>
      <c r="P382" s="4">
        <f t="shared" si="35"/>
        <v>3790768.4900000007</v>
      </c>
    </row>
    <row r="383" spans="1:16" x14ac:dyDescent="0.3">
      <c r="A383" s="161"/>
      <c r="B383" s="161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3">
      <c r="A384" s="161"/>
      <c r="B384" s="161" t="s">
        <v>287</v>
      </c>
      <c r="C384" s="4">
        <f>SUM(C373:C383)</f>
        <v>2651621958.0100002</v>
      </c>
      <c r="D384" s="4">
        <f t="shared" ref="D384:P384" si="36">SUM(D373:D383)</f>
        <v>2658010851.7400002</v>
      </c>
      <c r="E384" s="4">
        <f t="shared" si="36"/>
        <v>2668712854.4300003</v>
      </c>
      <c r="F384" s="4">
        <f t="shared" si="36"/>
        <v>2680652679.0799999</v>
      </c>
      <c r="G384" s="4">
        <f t="shared" si="36"/>
        <v>2687427780.0900002</v>
      </c>
      <c r="H384" s="4">
        <f t="shared" si="36"/>
        <v>2694911561.6799994</v>
      </c>
      <c r="I384" s="4">
        <f t="shared" si="36"/>
        <v>2705423185.8599992</v>
      </c>
      <c r="J384" s="4">
        <f t="shared" si="36"/>
        <v>2708469406.2699995</v>
      </c>
      <c r="K384" s="4">
        <f t="shared" si="36"/>
        <v>2714944672.71</v>
      </c>
      <c r="L384" s="4">
        <f t="shared" si="36"/>
        <v>2729756491.7699995</v>
      </c>
      <c r="M384" s="4">
        <f t="shared" si="36"/>
        <v>2737135767.48</v>
      </c>
      <c r="N384" s="4">
        <f t="shared" si="36"/>
        <v>2743142820.6500001</v>
      </c>
      <c r="O384" s="4">
        <f t="shared" si="36"/>
        <v>2757323158.9300003</v>
      </c>
      <c r="P384" s="4">
        <f t="shared" si="36"/>
        <v>2702755052.5191669</v>
      </c>
    </row>
    <row r="385" spans="1:16" x14ac:dyDescent="0.3">
      <c r="A385" s="161"/>
      <c r="B385" s="161"/>
      <c r="C385" s="4">
        <f t="shared" ref="C385:P385" si="37">+C384-C125</f>
        <v>0</v>
      </c>
      <c r="D385" s="4">
        <f t="shared" si="37"/>
        <v>0</v>
      </c>
      <c r="E385" s="4">
        <f t="shared" si="37"/>
        <v>0</v>
      </c>
      <c r="F385" s="4">
        <f t="shared" si="37"/>
        <v>0</v>
      </c>
      <c r="G385" s="4">
        <f t="shared" si="37"/>
        <v>0</v>
      </c>
      <c r="H385" s="4">
        <f t="shared" si="37"/>
        <v>0</v>
      </c>
      <c r="I385" s="4">
        <f t="shared" si="37"/>
        <v>0</v>
      </c>
      <c r="J385" s="4">
        <f t="shared" si="37"/>
        <v>0</v>
      </c>
      <c r="K385" s="4">
        <f t="shared" si="37"/>
        <v>0</v>
      </c>
      <c r="L385" s="4">
        <f t="shared" si="37"/>
        <v>0</v>
      </c>
      <c r="M385" s="4">
        <f t="shared" si="37"/>
        <v>0</v>
      </c>
      <c r="N385" s="4">
        <f t="shared" si="37"/>
        <v>0</v>
      </c>
      <c r="O385" s="4">
        <f t="shared" si="37"/>
        <v>0</v>
      </c>
      <c r="P385" s="4">
        <f t="shared" si="37"/>
        <v>0</v>
      </c>
    </row>
    <row r="386" spans="1:16" x14ac:dyDescent="0.3">
      <c r="A386" s="161" t="s">
        <v>147</v>
      </c>
      <c r="B386" s="470"/>
    </row>
    <row r="387" spans="1:16" x14ac:dyDescent="0.3">
      <c r="A387" s="161"/>
      <c r="B387" s="161" t="s">
        <v>278</v>
      </c>
      <c r="C387" s="4">
        <f t="shared" ref="C387:P387" si="38">+C130+C131+C132+C133+C134</f>
        <v>1859863</v>
      </c>
      <c r="D387" s="4">
        <f t="shared" si="38"/>
        <v>1859863</v>
      </c>
      <c r="E387" s="4">
        <f t="shared" si="38"/>
        <v>1859863</v>
      </c>
      <c r="F387" s="4">
        <f t="shared" si="38"/>
        <v>1859863</v>
      </c>
      <c r="G387" s="4">
        <f t="shared" si="38"/>
        <v>1859863</v>
      </c>
      <c r="H387" s="4">
        <f t="shared" si="38"/>
        <v>1859863</v>
      </c>
      <c r="I387" s="4">
        <f t="shared" si="38"/>
        <v>1859863</v>
      </c>
      <c r="J387" s="4">
        <f t="shared" si="38"/>
        <v>1859863</v>
      </c>
      <c r="K387" s="4">
        <f t="shared" si="38"/>
        <v>1859863</v>
      </c>
      <c r="L387" s="4">
        <f t="shared" si="38"/>
        <v>1859863</v>
      </c>
      <c r="M387" s="4">
        <f t="shared" si="38"/>
        <v>1859863</v>
      </c>
      <c r="N387" s="4">
        <f t="shared" si="38"/>
        <v>1859863</v>
      </c>
      <c r="O387" s="4">
        <f t="shared" si="38"/>
        <v>1859863</v>
      </c>
      <c r="P387" s="4">
        <f t="shared" si="38"/>
        <v>1859863</v>
      </c>
    </row>
    <row r="388" spans="1:16" x14ac:dyDescent="0.3">
      <c r="A388" s="161"/>
      <c r="B388" s="161" t="s">
        <v>279</v>
      </c>
      <c r="C388" s="4">
        <f t="shared" ref="C388:P388" si="39">+C128+C129</f>
        <v>447</v>
      </c>
      <c r="D388" s="4">
        <f t="shared" si="39"/>
        <v>447</v>
      </c>
      <c r="E388" s="4">
        <f t="shared" si="39"/>
        <v>447</v>
      </c>
      <c r="F388" s="4">
        <f t="shared" si="39"/>
        <v>447</v>
      </c>
      <c r="G388" s="4">
        <f t="shared" si="39"/>
        <v>447</v>
      </c>
      <c r="H388" s="4">
        <f t="shared" si="39"/>
        <v>447</v>
      </c>
      <c r="I388" s="4">
        <f t="shared" si="39"/>
        <v>447</v>
      </c>
      <c r="J388" s="4">
        <f t="shared" si="39"/>
        <v>447</v>
      </c>
      <c r="K388" s="4">
        <f t="shared" si="39"/>
        <v>447</v>
      </c>
      <c r="L388" s="4">
        <f t="shared" si="39"/>
        <v>447</v>
      </c>
      <c r="M388" s="4">
        <f t="shared" si="39"/>
        <v>447</v>
      </c>
      <c r="N388" s="4">
        <f t="shared" si="39"/>
        <v>447</v>
      </c>
      <c r="O388" s="4">
        <f t="shared" si="39"/>
        <v>447</v>
      </c>
      <c r="P388" s="4">
        <f t="shared" si="39"/>
        <v>447</v>
      </c>
    </row>
    <row r="389" spans="1:16" x14ac:dyDescent="0.3">
      <c r="A389" s="161"/>
      <c r="B389" s="161" t="s">
        <v>280</v>
      </c>
      <c r="C389" s="4">
        <f t="shared" ref="C389:O389" si="40">SUM(C135:C154)</f>
        <v>0</v>
      </c>
      <c r="D389" s="4">
        <f t="shared" si="40"/>
        <v>0</v>
      </c>
      <c r="E389" s="4">
        <f t="shared" si="40"/>
        <v>0</v>
      </c>
      <c r="F389" s="4">
        <f t="shared" si="40"/>
        <v>0</v>
      </c>
      <c r="G389" s="4">
        <f t="shared" si="40"/>
        <v>0</v>
      </c>
      <c r="H389" s="4">
        <f t="shared" si="40"/>
        <v>0</v>
      </c>
      <c r="I389" s="4">
        <f t="shared" si="40"/>
        <v>0</v>
      </c>
      <c r="J389" s="4">
        <f t="shared" si="40"/>
        <v>0</v>
      </c>
      <c r="K389" s="4">
        <f t="shared" si="40"/>
        <v>0</v>
      </c>
      <c r="L389" s="4">
        <f t="shared" si="40"/>
        <v>0</v>
      </c>
      <c r="M389" s="4">
        <f t="shared" si="40"/>
        <v>0</v>
      </c>
      <c r="N389" s="4">
        <f t="shared" si="40"/>
        <v>0</v>
      </c>
      <c r="O389" s="4">
        <f t="shared" si="40"/>
        <v>0</v>
      </c>
      <c r="P389" s="4">
        <f t="shared" ref="P389" si="41">SUM(P135:P154)</f>
        <v>0</v>
      </c>
    </row>
    <row r="390" spans="1:16" x14ac:dyDescent="0.3">
      <c r="A390" s="161"/>
      <c r="B390" s="161" t="s">
        <v>281</v>
      </c>
      <c r="C390" s="4">
        <f>SUM(C191+C192+C193+C194+C201+C202)</f>
        <v>1114673.6699999997</v>
      </c>
      <c r="D390" s="4">
        <f t="shared" ref="D390:P390" si="42">SUM(D191+D192+D193+D194+D201+D202)</f>
        <v>1114673.6699999997</v>
      </c>
      <c r="E390" s="4">
        <f t="shared" si="42"/>
        <v>1114673.6699999997</v>
      </c>
      <c r="F390" s="4">
        <f t="shared" si="42"/>
        <v>1114673.6699999997</v>
      </c>
      <c r="G390" s="4">
        <f t="shared" si="42"/>
        <v>1115001.0699999996</v>
      </c>
      <c r="H390" s="4">
        <f t="shared" si="42"/>
        <v>1115001.0699999996</v>
      </c>
      <c r="I390" s="4">
        <f t="shared" si="42"/>
        <v>1115001.0699999996</v>
      </c>
      <c r="J390" s="4">
        <f t="shared" si="42"/>
        <v>1115001.0699999996</v>
      </c>
      <c r="K390" s="4">
        <f t="shared" si="42"/>
        <v>1115001.0699999996</v>
      </c>
      <c r="L390" s="4">
        <f t="shared" si="42"/>
        <v>1115001.0699999996</v>
      </c>
      <c r="M390" s="4">
        <f t="shared" si="42"/>
        <v>1115001.0699999996</v>
      </c>
      <c r="N390" s="4">
        <f t="shared" si="42"/>
        <v>1115001.0699999996</v>
      </c>
      <c r="O390" s="4">
        <f t="shared" si="42"/>
        <v>1115001.0699999996</v>
      </c>
      <c r="P390" s="4">
        <f t="shared" si="42"/>
        <v>1114905.5783333329</v>
      </c>
    </row>
    <row r="391" spans="1:16" x14ac:dyDescent="0.3">
      <c r="A391" s="161"/>
      <c r="B391" s="161" t="s">
        <v>282</v>
      </c>
      <c r="C391" s="4">
        <f t="shared" ref="C391:O391" si="43">SUM(C203:C223)+C246</f>
        <v>260330716.93000004</v>
      </c>
      <c r="D391" s="4">
        <f t="shared" si="43"/>
        <v>261778867.17000005</v>
      </c>
      <c r="E391" s="4">
        <f t="shared" si="43"/>
        <v>264513478.16000003</v>
      </c>
      <c r="F391" s="4">
        <f t="shared" si="43"/>
        <v>267685383.40000004</v>
      </c>
      <c r="G391" s="4">
        <f t="shared" si="43"/>
        <v>268646497.41000003</v>
      </c>
      <c r="H391" s="4">
        <f t="shared" si="43"/>
        <v>269005468.62</v>
      </c>
      <c r="I391" s="4">
        <f t="shared" si="43"/>
        <v>271664673.55000001</v>
      </c>
      <c r="J391" s="4">
        <f t="shared" si="43"/>
        <v>272703898.68000001</v>
      </c>
      <c r="K391" s="4">
        <f t="shared" si="43"/>
        <v>274534759.09999996</v>
      </c>
      <c r="L391" s="4">
        <f t="shared" si="43"/>
        <v>277930132.24000007</v>
      </c>
      <c r="M391" s="4">
        <f t="shared" si="43"/>
        <v>277960738.25999999</v>
      </c>
      <c r="N391" s="4">
        <f t="shared" si="43"/>
        <v>279877159.53000003</v>
      </c>
      <c r="O391" s="4">
        <f t="shared" si="43"/>
        <v>281297948.56</v>
      </c>
      <c r="P391" s="4">
        <f t="shared" ref="P391" si="44">SUM(P203:P223)+P246</f>
        <v>271426282.40541667</v>
      </c>
    </row>
    <row r="392" spans="1:16" x14ac:dyDescent="0.3">
      <c r="A392" s="161"/>
      <c r="B392" s="161" t="s">
        <v>283</v>
      </c>
      <c r="C392" s="4">
        <f>SUM(C226:C245)</f>
        <v>1696747.8699999999</v>
      </c>
      <c r="D392" s="4">
        <f t="shared" ref="D392:P392" si="45">SUM(D226:D245)</f>
        <v>1696747.8699999999</v>
      </c>
      <c r="E392" s="4">
        <f t="shared" si="45"/>
        <v>1704442.3499999999</v>
      </c>
      <c r="F392" s="4">
        <f t="shared" si="45"/>
        <v>1704756.67</v>
      </c>
      <c r="G392" s="4">
        <f t="shared" si="45"/>
        <v>1704881.8599999999</v>
      </c>
      <c r="H392" s="4">
        <f t="shared" si="45"/>
        <v>1704878.6799999997</v>
      </c>
      <c r="I392" s="4">
        <f t="shared" si="45"/>
        <v>1704878.6799999997</v>
      </c>
      <c r="J392" s="4">
        <f t="shared" si="45"/>
        <v>1704878.6799999997</v>
      </c>
      <c r="K392" s="4">
        <f t="shared" si="45"/>
        <v>1692775.8499999996</v>
      </c>
      <c r="L392" s="4">
        <f t="shared" si="45"/>
        <v>1692775.8499999996</v>
      </c>
      <c r="M392" s="4">
        <f t="shared" si="45"/>
        <v>1786179.4899999998</v>
      </c>
      <c r="N392" s="4">
        <f t="shared" si="45"/>
        <v>1786179.4899999998</v>
      </c>
      <c r="O392" s="4">
        <f t="shared" si="45"/>
        <v>1787092.6899999997</v>
      </c>
      <c r="P392" s="4">
        <f t="shared" si="45"/>
        <v>1718774.645833333</v>
      </c>
    </row>
    <row r="393" spans="1:16" x14ac:dyDescent="0.3">
      <c r="A393" s="161"/>
      <c r="B393" s="8" t="s">
        <v>28</v>
      </c>
      <c r="C393" s="4">
        <f>+C224</f>
        <v>1158649.52</v>
      </c>
      <c r="D393" s="4">
        <f t="shared" ref="D393:P394" si="46">+D224</f>
        <v>1158649.52</v>
      </c>
      <c r="E393" s="4">
        <f t="shared" si="46"/>
        <v>1158649.52</v>
      </c>
      <c r="F393" s="4">
        <f t="shared" si="46"/>
        <v>1158649.52</v>
      </c>
      <c r="G393" s="4">
        <f t="shared" si="46"/>
        <v>1158649.52</v>
      </c>
      <c r="H393" s="4">
        <f t="shared" si="46"/>
        <v>1158649.52</v>
      </c>
      <c r="I393" s="4">
        <f t="shared" si="46"/>
        <v>1158649.52</v>
      </c>
      <c r="J393" s="4">
        <f t="shared" si="46"/>
        <v>1158649.52</v>
      </c>
      <c r="K393" s="4">
        <f t="shared" si="46"/>
        <v>1158649.52</v>
      </c>
      <c r="L393" s="4">
        <f t="shared" si="46"/>
        <v>1158649.52</v>
      </c>
      <c r="M393" s="4">
        <f t="shared" si="46"/>
        <v>1158649.52</v>
      </c>
      <c r="N393" s="4">
        <f t="shared" si="46"/>
        <v>1158649.52</v>
      </c>
      <c r="O393" s="4">
        <f t="shared" si="46"/>
        <v>1158649.52</v>
      </c>
      <c r="P393" s="4">
        <f t="shared" si="46"/>
        <v>1158649.5199999998</v>
      </c>
    </row>
    <row r="394" spans="1:16" x14ac:dyDescent="0.3">
      <c r="A394" s="161"/>
      <c r="B394" s="8" t="s">
        <v>284</v>
      </c>
      <c r="C394" s="4">
        <f>+C225</f>
        <v>1575582.1800000002</v>
      </c>
      <c r="D394" s="4">
        <f t="shared" si="46"/>
        <v>1575582.1800000002</v>
      </c>
      <c r="E394" s="4">
        <f t="shared" si="46"/>
        <v>1575582.1800000002</v>
      </c>
      <c r="F394" s="4">
        <f t="shared" si="46"/>
        <v>1582254.3800000001</v>
      </c>
      <c r="G394" s="4">
        <f t="shared" si="46"/>
        <v>1582254.3800000001</v>
      </c>
      <c r="H394" s="4">
        <f t="shared" si="46"/>
        <v>1582254.3800000001</v>
      </c>
      <c r="I394" s="4">
        <f t="shared" si="46"/>
        <v>1582254.3800000001</v>
      </c>
      <c r="J394" s="4">
        <f t="shared" si="46"/>
        <v>1582254.3800000001</v>
      </c>
      <c r="K394" s="4">
        <f t="shared" si="46"/>
        <v>1582254.3800000001</v>
      </c>
      <c r="L394" s="4">
        <f t="shared" si="46"/>
        <v>1582254.3800000001</v>
      </c>
      <c r="M394" s="4">
        <f t="shared" si="46"/>
        <v>1582254.3800000001</v>
      </c>
      <c r="N394" s="4">
        <f t="shared" si="46"/>
        <v>1582254.3800000001</v>
      </c>
      <c r="O394" s="4">
        <f t="shared" si="46"/>
        <v>1582254.3800000001</v>
      </c>
      <c r="P394" s="4">
        <f t="shared" si="46"/>
        <v>1580864.3383333338</v>
      </c>
    </row>
    <row r="395" spans="1:16" x14ac:dyDescent="0.3">
      <c r="A395" s="161"/>
      <c r="B395" s="161" t="s">
        <v>285</v>
      </c>
      <c r="C395" s="4">
        <f>SUM(C195:C200,C155:C188)</f>
        <v>0</v>
      </c>
      <c r="D395" s="4">
        <f t="shared" ref="D395:P395" si="47">SUM(D195:D200,D155:D188)</f>
        <v>0</v>
      </c>
      <c r="E395" s="4">
        <f t="shared" si="47"/>
        <v>0</v>
      </c>
      <c r="F395" s="4">
        <f t="shared" si="47"/>
        <v>0</v>
      </c>
      <c r="G395" s="4">
        <f t="shared" si="47"/>
        <v>0</v>
      </c>
      <c r="H395" s="4">
        <f t="shared" si="47"/>
        <v>0</v>
      </c>
      <c r="I395" s="4">
        <f t="shared" si="47"/>
        <v>0</v>
      </c>
      <c r="J395" s="4">
        <f t="shared" si="47"/>
        <v>0</v>
      </c>
      <c r="K395" s="4">
        <f t="shared" si="47"/>
        <v>0</v>
      </c>
      <c r="L395" s="4">
        <f t="shared" si="47"/>
        <v>0</v>
      </c>
      <c r="M395" s="4">
        <f t="shared" si="47"/>
        <v>0</v>
      </c>
      <c r="N395" s="4">
        <f t="shared" si="47"/>
        <v>0</v>
      </c>
      <c r="O395" s="4">
        <f t="shared" si="47"/>
        <v>0</v>
      </c>
      <c r="P395" s="4">
        <f t="shared" si="47"/>
        <v>0</v>
      </c>
    </row>
    <row r="396" spans="1:16" x14ac:dyDescent="0.3">
      <c r="A396" s="161"/>
      <c r="B396" s="161" t="s">
        <v>286</v>
      </c>
      <c r="C396" s="4">
        <f t="shared" ref="C396:P396" si="48">+C189+C190</f>
        <v>0</v>
      </c>
      <c r="D396" s="4">
        <f t="shared" si="48"/>
        <v>0</v>
      </c>
      <c r="E396" s="4">
        <f t="shared" si="48"/>
        <v>0</v>
      </c>
      <c r="F396" s="4">
        <f t="shared" si="48"/>
        <v>0</v>
      </c>
      <c r="G396" s="4">
        <f t="shared" si="48"/>
        <v>0</v>
      </c>
      <c r="H396" s="4">
        <f t="shared" si="48"/>
        <v>0</v>
      </c>
      <c r="I396" s="4">
        <f t="shared" si="48"/>
        <v>0</v>
      </c>
      <c r="J396" s="4">
        <f t="shared" si="48"/>
        <v>0</v>
      </c>
      <c r="K396" s="4">
        <f t="shared" si="48"/>
        <v>0</v>
      </c>
      <c r="L396" s="4">
        <f t="shared" si="48"/>
        <v>0</v>
      </c>
      <c r="M396" s="4">
        <f t="shared" si="48"/>
        <v>0</v>
      </c>
      <c r="N396" s="4">
        <f t="shared" si="48"/>
        <v>0</v>
      </c>
      <c r="O396" s="4">
        <f t="shared" si="48"/>
        <v>0</v>
      </c>
      <c r="P396" s="4">
        <f t="shared" si="48"/>
        <v>0</v>
      </c>
    </row>
    <row r="397" spans="1:16" x14ac:dyDescent="0.3">
      <c r="A397" s="161"/>
      <c r="B397" s="161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x14ac:dyDescent="0.3">
      <c r="A398" s="161"/>
      <c r="B398" s="161" t="s">
        <v>287</v>
      </c>
      <c r="C398" s="4">
        <f>SUM(C387:C397)</f>
        <v>267736680.17000005</v>
      </c>
      <c r="D398" s="4">
        <f t="shared" ref="D398:P398" si="49">SUM(D387:D397)</f>
        <v>269184830.41000003</v>
      </c>
      <c r="E398" s="4">
        <f t="shared" si="49"/>
        <v>271927135.88</v>
      </c>
      <c r="F398" s="4">
        <f t="shared" si="49"/>
        <v>275106027.64000005</v>
      </c>
      <c r="G398" s="4">
        <f t="shared" si="49"/>
        <v>276067594.24000001</v>
      </c>
      <c r="H398" s="4">
        <f t="shared" si="49"/>
        <v>276426562.26999998</v>
      </c>
      <c r="I398" s="4">
        <f t="shared" si="49"/>
        <v>279085767.19999999</v>
      </c>
      <c r="J398" s="4">
        <f t="shared" si="49"/>
        <v>280124992.32999998</v>
      </c>
      <c r="K398" s="4">
        <f t="shared" si="49"/>
        <v>281943749.91999996</v>
      </c>
      <c r="L398" s="4">
        <f t="shared" si="49"/>
        <v>285339123.06000006</v>
      </c>
      <c r="M398" s="4">
        <f t="shared" si="49"/>
        <v>285463132.71999997</v>
      </c>
      <c r="N398" s="4">
        <f t="shared" si="49"/>
        <v>287379553.99000001</v>
      </c>
      <c r="O398" s="4">
        <f t="shared" si="49"/>
        <v>288801256.21999997</v>
      </c>
      <c r="P398" s="4">
        <f t="shared" si="49"/>
        <v>278859786.48791659</v>
      </c>
    </row>
    <row r="399" spans="1:16" x14ac:dyDescent="0.3">
      <c r="A399" s="161"/>
      <c r="B399" s="161"/>
      <c r="C399" s="4">
        <f t="shared" ref="C399:P399" si="50">+C398-C247</f>
        <v>0</v>
      </c>
      <c r="D399" s="4">
        <f t="shared" si="50"/>
        <v>0</v>
      </c>
      <c r="E399" s="4">
        <f t="shared" si="50"/>
        <v>0</v>
      </c>
      <c r="F399" s="4">
        <f t="shared" si="50"/>
        <v>0</v>
      </c>
      <c r="G399" s="4">
        <f t="shared" si="50"/>
        <v>0</v>
      </c>
      <c r="H399" s="4">
        <f t="shared" si="50"/>
        <v>0</v>
      </c>
      <c r="I399" s="4">
        <f t="shared" si="50"/>
        <v>0</v>
      </c>
      <c r="J399" s="4">
        <f t="shared" si="50"/>
        <v>0</v>
      </c>
      <c r="K399" s="4">
        <f t="shared" si="50"/>
        <v>0</v>
      </c>
      <c r="L399" s="4">
        <f t="shared" si="50"/>
        <v>0</v>
      </c>
      <c r="M399" s="4">
        <f t="shared" si="50"/>
        <v>0</v>
      </c>
      <c r="N399" s="4">
        <f t="shared" si="50"/>
        <v>0</v>
      </c>
      <c r="O399" s="4">
        <f t="shared" si="50"/>
        <v>0</v>
      </c>
      <c r="P399" s="4">
        <f t="shared" si="50"/>
        <v>0</v>
      </c>
    </row>
    <row r="400" spans="1:16" x14ac:dyDescent="0.3">
      <c r="A400" s="161" t="s">
        <v>146</v>
      </c>
      <c r="B400" s="470"/>
    </row>
    <row r="401" spans="1:16" x14ac:dyDescent="0.3">
      <c r="B401" s="161" t="s">
        <v>278</v>
      </c>
      <c r="C401" s="4">
        <f t="shared" ref="C401:P401" si="51">+C252+C253+C254+C255+C256</f>
        <v>102343776.04000001</v>
      </c>
      <c r="D401" s="4">
        <f t="shared" si="51"/>
        <v>102795438.95</v>
      </c>
      <c r="E401" s="4">
        <f t="shared" si="51"/>
        <v>103900995.73</v>
      </c>
      <c r="F401" s="4">
        <f t="shared" si="51"/>
        <v>105175573.62</v>
      </c>
      <c r="G401" s="4">
        <f t="shared" si="51"/>
        <v>105211286.91000001</v>
      </c>
      <c r="H401" s="4">
        <f t="shared" si="51"/>
        <v>105976732.03000002</v>
      </c>
      <c r="I401" s="4">
        <f t="shared" si="51"/>
        <v>105934961.19000001</v>
      </c>
      <c r="J401" s="4">
        <f t="shared" si="51"/>
        <v>105959177.52000001</v>
      </c>
      <c r="K401" s="4">
        <f t="shared" si="51"/>
        <v>105958907.17000002</v>
      </c>
      <c r="L401" s="4">
        <f t="shared" si="51"/>
        <v>106339618.55000001</v>
      </c>
      <c r="M401" s="4">
        <f t="shared" si="51"/>
        <v>106349582.44000001</v>
      </c>
      <c r="N401" s="4">
        <f t="shared" si="51"/>
        <v>106337337.65000001</v>
      </c>
      <c r="O401" s="4">
        <f t="shared" si="51"/>
        <v>110918039.63000001</v>
      </c>
      <c r="P401" s="4">
        <f t="shared" si="51"/>
        <v>105547543.29958335</v>
      </c>
    </row>
    <row r="402" spans="1:16" x14ac:dyDescent="0.3">
      <c r="B402" s="161" t="s">
        <v>279</v>
      </c>
      <c r="C402" s="4">
        <f t="shared" ref="C402:P402" si="52">+C250+C251</f>
        <v>84795.27</v>
      </c>
      <c r="D402" s="4">
        <f t="shared" si="52"/>
        <v>84795.27</v>
      </c>
      <c r="E402" s="4">
        <f t="shared" si="52"/>
        <v>84795.27</v>
      </c>
      <c r="F402" s="4">
        <f t="shared" si="52"/>
        <v>84795.27</v>
      </c>
      <c r="G402" s="4">
        <f t="shared" si="52"/>
        <v>84795.27</v>
      </c>
      <c r="H402" s="4">
        <f t="shared" si="52"/>
        <v>84795.27</v>
      </c>
      <c r="I402" s="4">
        <f t="shared" si="52"/>
        <v>84795.27</v>
      </c>
      <c r="J402" s="4">
        <f t="shared" si="52"/>
        <v>84795.27</v>
      </c>
      <c r="K402" s="4">
        <f t="shared" si="52"/>
        <v>84795.27</v>
      </c>
      <c r="L402" s="4">
        <f t="shared" si="52"/>
        <v>84795.27</v>
      </c>
      <c r="M402" s="4">
        <f t="shared" si="52"/>
        <v>84795.27</v>
      </c>
      <c r="N402" s="4">
        <f t="shared" si="52"/>
        <v>84795.27</v>
      </c>
      <c r="O402" s="4">
        <f t="shared" si="52"/>
        <v>84795.27</v>
      </c>
      <c r="P402" s="4">
        <f t="shared" si="52"/>
        <v>84795.27</v>
      </c>
    </row>
    <row r="403" spans="1:16" x14ac:dyDescent="0.3">
      <c r="B403" s="161" t="s">
        <v>280</v>
      </c>
      <c r="C403" s="4">
        <f t="shared" ref="C403:O403" si="53">SUM(C257:C276)</f>
        <v>675198</v>
      </c>
      <c r="D403" s="4">
        <f t="shared" si="53"/>
        <v>675198</v>
      </c>
      <c r="E403" s="4">
        <f t="shared" si="53"/>
        <v>675198</v>
      </c>
      <c r="F403" s="4">
        <f t="shared" si="53"/>
        <v>675198</v>
      </c>
      <c r="G403" s="4">
        <f t="shared" si="53"/>
        <v>675198</v>
      </c>
      <c r="H403" s="4">
        <f t="shared" si="53"/>
        <v>675198</v>
      </c>
      <c r="I403" s="4">
        <f t="shared" si="53"/>
        <v>675198</v>
      </c>
      <c r="J403" s="4">
        <f t="shared" si="53"/>
        <v>675198</v>
      </c>
      <c r="K403" s="4">
        <f t="shared" si="53"/>
        <v>675198</v>
      </c>
      <c r="L403" s="4">
        <f t="shared" si="53"/>
        <v>675198</v>
      </c>
      <c r="M403" s="4">
        <f t="shared" si="53"/>
        <v>675198</v>
      </c>
      <c r="N403" s="4">
        <f t="shared" si="53"/>
        <v>675198</v>
      </c>
      <c r="O403" s="4">
        <f t="shared" si="53"/>
        <v>675198</v>
      </c>
      <c r="P403" s="4">
        <f t="shared" ref="P403" si="54">SUM(P257:P276)</f>
        <v>675198</v>
      </c>
    </row>
    <row r="404" spans="1:16" x14ac:dyDescent="0.3">
      <c r="B404" s="161" t="s">
        <v>281</v>
      </c>
      <c r="C404" s="4">
        <f>SUM(C313+C314+C315+C316+C323+C324)</f>
        <v>165102347.74999997</v>
      </c>
      <c r="D404" s="4">
        <f t="shared" ref="D404:P404" si="55">SUM(D313+D314+D315+D316+D323+D324)</f>
        <v>165326950.46999997</v>
      </c>
      <c r="E404" s="4">
        <f t="shared" si="55"/>
        <v>165348541.76999998</v>
      </c>
      <c r="F404" s="4">
        <f t="shared" si="55"/>
        <v>166587143.39999998</v>
      </c>
      <c r="G404" s="4">
        <f t="shared" si="55"/>
        <v>166646960.35999998</v>
      </c>
      <c r="H404" s="4">
        <f t="shared" si="55"/>
        <v>166671736.08999997</v>
      </c>
      <c r="I404" s="4">
        <f t="shared" si="55"/>
        <v>167823514.48999998</v>
      </c>
      <c r="J404" s="4">
        <f t="shared" si="55"/>
        <v>167860782.07999998</v>
      </c>
      <c r="K404" s="4">
        <f t="shared" si="55"/>
        <v>168195224.75999999</v>
      </c>
      <c r="L404" s="4">
        <f t="shared" si="55"/>
        <v>168592916.39999998</v>
      </c>
      <c r="M404" s="4">
        <f t="shared" si="55"/>
        <v>168666085.76999998</v>
      </c>
      <c r="N404" s="4">
        <f t="shared" si="55"/>
        <v>168694326.54999998</v>
      </c>
      <c r="O404" s="4">
        <f t="shared" si="55"/>
        <v>169634548.50999996</v>
      </c>
      <c r="P404" s="4">
        <f t="shared" si="55"/>
        <v>167315219.18916664</v>
      </c>
    </row>
    <row r="405" spans="1:16" x14ac:dyDescent="0.3">
      <c r="B405" s="161" t="s">
        <v>282</v>
      </c>
      <c r="C405" s="4">
        <f t="shared" ref="C405:O405" si="56">SUM(C325:C345)+C368</f>
        <v>2132874661.9300005</v>
      </c>
      <c r="D405" s="4">
        <f t="shared" si="56"/>
        <v>2140000757.28</v>
      </c>
      <c r="E405" s="4">
        <f t="shared" si="56"/>
        <v>2148386972.1500001</v>
      </c>
      <c r="F405" s="4">
        <f t="shared" si="56"/>
        <v>2161775493.0299997</v>
      </c>
      <c r="G405" s="4">
        <f t="shared" si="56"/>
        <v>2168079145.48</v>
      </c>
      <c r="H405" s="4">
        <f t="shared" si="56"/>
        <v>2171328431.1499991</v>
      </c>
      <c r="I405" s="4">
        <f t="shared" si="56"/>
        <v>2183114102.3999996</v>
      </c>
      <c r="J405" s="4">
        <f t="shared" si="56"/>
        <v>2187035911.79</v>
      </c>
      <c r="K405" s="4">
        <f t="shared" si="56"/>
        <v>2194049822.1999998</v>
      </c>
      <c r="L405" s="4">
        <f t="shared" si="56"/>
        <v>2203962401.0700002</v>
      </c>
      <c r="M405" s="4">
        <f t="shared" si="56"/>
        <v>2209442463.2499995</v>
      </c>
      <c r="N405" s="4">
        <f t="shared" si="56"/>
        <v>2217186171.1000009</v>
      </c>
      <c r="O405" s="4">
        <f t="shared" si="56"/>
        <v>2226387112.1399999</v>
      </c>
      <c r="P405" s="4">
        <f t="shared" ref="P405" si="57">SUM(P325:P345)+P368</f>
        <v>2180332713.1612501</v>
      </c>
    </row>
    <row r="406" spans="1:16" x14ac:dyDescent="0.3">
      <c r="B406" s="161" t="s">
        <v>283</v>
      </c>
      <c r="C406" s="4">
        <f>SUM(C348:C367)</f>
        <v>130867939.54000002</v>
      </c>
      <c r="D406" s="4">
        <f t="shared" ref="D406:P406" si="58">SUM(D348:D367)</f>
        <v>127364703.75000001</v>
      </c>
      <c r="E406" s="4">
        <f t="shared" si="58"/>
        <v>130898989.65000005</v>
      </c>
      <c r="F406" s="4">
        <f t="shared" si="58"/>
        <v>132305811.64000003</v>
      </c>
      <c r="G406" s="4">
        <f t="shared" si="58"/>
        <v>133613203.83000001</v>
      </c>
      <c r="H406" s="4">
        <f t="shared" si="58"/>
        <v>133598610.13000001</v>
      </c>
      <c r="I406" s="4">
        <f t="shared" si="58"/>
        <v>133842412.41000003</v>
      </c>
      <c r="J406" s="4">
        <f t="shared" si="58"/>
        <v>133918067.51000004</v>
      </c>
      <c r="K406" s="4">
        <f t="shared" si="58"/>
        <v>134888660.92000002</v>
      </c>
      <c r="L406" s="4">
        <f t="shared" si="58"/>
        <v>140035829.44000003</v>
      </c>
      <c r="M406" s="4">
        <f t="shared" si="58"/>
        <v>141966472.23000002</v>
      </c>
      <c r="N406" s="4">
        <f t="shared" si="58"/>
        <v>142119016.06000003</v>
      </c>
      <c r="O406" s="4">
        <f t="shared" si="58"/>
        <v>142319754.50000003</v>
      </c>
      <c r="P406" s="4">
        <f t="shared" si="58"/>
        <v>135095468.71583334</v>
      </c>
    </row>
    <row r="407" spans="1:16" x14ac:dyDescent="0.3">
      <c r="B407" s="8" t="s">
        <v>28</v>
      </c>
      <c r="C407" s="4">
        <f>+C346</f>
        <v>10767907.07</v>
      </c>
      <c r="D407" s="4">
        <f t="shared" ref="D407:N408" si="59">+D346</f>
        <v>10767907.07</v>
      </c>
      <c r="E407" s="4">
        <f t="shared" si="59"/>
        <v>10767907.07</v>
      </c>
      <c r="F407" s="4">
        <f t="shared" si="59"/>
        <v>10767907.07</v>
      </c>
      <c r="G407" s="4">
        <f t="shared" si="59"/>
        <v>10767907.07</v>
      </c>
      <c r="H407" s="4">
        <f t="shared" si="59"/>
        <v>10767907.07</v>
      </c>
      <c r="I407" s="4">
        <f t="shared" si="59"/>
        <v>10767907.07</v>
      </c>
      <c r="J407" s="4">
        <f t="shared" si="59"/>
        <v>10767907.07</v>
      </c>
      <c r="K407" s="4">
        <f t="shared" si="59"/>
        <v>10767907.07</v>
      </c>
      <c r="L407" s="4">
        <f t="shared" si="59"/>
        <v>10767907.07</v>
      </c>
      <c r="M407" s="4">
        <f t="shared" si="59"/>
        <v>10767907.07</v>
      </c>
      <c r="N407" s="4">
        <f t="shared" si="59"/>
        <v>10767907.07</v>
      </c>
      <c r="O407" s="4">
        <f>+O346</f>
        <v>10767907.07</v>
      </c>
      <c r="P407" s="4">
        <f>+P346</f>
        <v>10767907.069999998</v>
      </c>
    </row>
    <row r="408" spans="1:16" x14ac:dyDescent="0.3">
      <c r="B408" s="8" t="s">
        <v>284</v>
      </c>
      <c r="C408" s="4">
        <f>+C347</f>
        <v>60074932.329999998</v>
      </c>
      <c r="D408" s="4">
        <f t="shared" si="59"/>
        <v>60079511.559999995</v>
      </c>
      <c r="E408" s="4">
        <f t="shared" si="59"/>
        <v>60090508.749999993</v>
      </c>
      <c r="F408" s="4">
        <f t="shared" si="59"/>
        <v>60375857.269999996</v>
      </c>
      <c r="G408" s="4">
        <f t="shared" si="59"/>
        <v>60383178.369999997</v>
      </c>
      <c r="H408" s="4">
        <f t="shared" si="59"/>
        <v>60385021.119999997</v>
      </c>
      <c r="I408" s="4">
        <f t="shared" si="59"/>
        <v>60386850.329999998</v>
      </c>
      <c r="J408" s="4">
        <f t="shared" si="59"/>
        <v>60388632.869999997</v>
      </c>
      <c r="K408" s="4">
        <f t="shared" si="59"/>
        <v>60379001.439999998</v>
      </c>
      <c r="L408" s="4">
        <f t="shared" si="59"/>
        <v>60437190.669999994</v>
      </c>
      <c r="M408" s="4">
        <f t="shared" si="59"/>
        <v>60438125.279999994</v>
      </c>
      <c r="N408" s="4">
        <f t="shared" si="59"/>
        <v>60450494.389999993</v>
      </c>
      <c r="O408" s="4">
        <f>+O347</f>
        <v>60497322.239999995</v>
      </c>
      <c r="P408" s="4">
        <f>+P347</f>
        <v>60340041.611249991</v>
      </c>
    </row>
    <row r="409" spans="1:16" x14ac:dyDescent="0.3">
      <c r="B409" s="161" t="s">
        <v>285</v>
      </c>
      <c r="C409" s="4">
        <f>SUM(C294:C310,C317:C322,C277:C293)</f>
        <v>312776311.76000011</v>
      </c>
      <c r="D409" s="4">
        <f t="shared" ref="D409:P409" si="60">SUM(D294:D310,D317:D322,D277:D293)</f>
        <v>316309651.31000012</v>
      </c>
      <c r="E409" s="4">
        <f t="shared" si="60"/>
        <v>316695313.43000013</v>
      </c>
      <c r="F409" s="4">
        <f t="shared" si="60"/>
        <v>314220158.93000013</v>
      </c>
      <c r="G409" s="4">
        <f t="shared" si="60"/>
        <v>314242930.55000013</v>
      </c>
      <c r="H409" s="4">
        <f t="shared" si="60"/>
        <v>318058924.60000008</v>
      </c>
      <c r="I409" s="4">
        <f t="shared" si="60"/>
        <v>318088443.41000009</v>
      </c>
      <c r="J409" s="4">
        <f t="shared" si="60"/>
        <v>318113158.00000012</v>
      </c>
      <c r="K409" s="4">
        <f t="shared" si="60"/>
        <v>318098137.31000012</v>
      </c>
      <c r="L409" s="4">
        <f t="shared" si="60"/>
        <v>320408989.87000012</v>
      </c>
      <c r="M409" s="4">
        <f t="shared" si="60"/>
        <v>320417502.40000015</v>
      </c>
      <c r="N409" s="4">
        <f t="shared" si="60"/>
        <v>320416360.06000012</v>
      </c>
      <c r="O409" s="4">
        <f t="shared" si="60"/>
        <v>321048969.30000013</v>
      </c>
      <c r="P409" s="4">
        <f t="shared" si="60"/>
        <v>317665184.20000005</v>
      </c>
    </row>
    <row r="410" spans="1:16" x14ac:dyDescent="0.3">
      <c r="B410" s="161" t="s">
        <v>286</v>
      </c>
      <c r="C410" s="4">
        <f t="shared" ref="C410:P410" si="61">+C311+C312</f>
        <v>3790768.49</v>
      </c>
      <c r="D410" s="4">
        <f t="shared" si="61"/>
        <v>3790768.49</v>
      </c>
      <c r="E410" s="4">
        <f t="shared" si="61"/>
        <v>3790768.49</v>
      </c>
      <c r="F410" s="4">
        <f t="shared" si="61"/>
        <v>3790768.49</v>
      </c>
      <c r="G410" s="4">
        <f t="shared" si="61"/>
        <v>3790768.49</v>
      </c>
      <c r="H410" s="4">
        <f t="shared" si="61"/>
        <v>3790768.49</v>
      </c>
      <c r="I410" s="4">
        <f t="shared" si="61"/>
        <v>3790768.49</v>
      </c>
      <c r="J410" s="4">
        <f t="shared" si="61"/>
        <v>3790768.49</v>
      </c>
      <c r="K410" s="4">
        <f t="shared" si="61"/>
        <v>3790768.49</v>
      </c>
      <c r="L410" s="4">
        <f t="shared" si="61"/>
        <v>3790768.49</v>
      </c>
      <c r="M410" s="4">
        <f t="shared" si="61"/>
        <v>3790768.49</v>
      </c>
      <c r="N410" s="4">
        <f t="shared" si="61"/>
        <v>3790768.49</v>
      </c>
      <c r="O410" s="4">
        <f t="shared" si="61"/>
        <v>3790768.49</v>
      </c>
      <c r="P410" s="4">
        <f t="shared" si="61"/>
        <v>3790768.4900000007</v>
      </c>
    </row>
    <row r="411" spans="1:16" x14ac:dyDescent="0.3">
      <c r="B411" s="16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x14ac:dyDescent="0.3">
      <c r="B412" s="161" t="s">
        <v>287</v>
      </c>
      <c r="C412" s="4">
        <f>SUM(C401:C411)</f>
        <v>2919358638.1800008</v>
      </c>
      <c r="D412" s="4">
        <f t="shared" ref="D412:P412" si="62">SUM(D401:D411)</f>
        <v>2927195682.1499996</v>
      </c>
      <c r="E412" s="4">
        <f t="shared" si="62"/>
        <v>2940639990.3100004</v>
      </c>
      <c r="F412" s="4">
        <f t="shared" si="62"/>
        <v>2955758706.7199998</v>
      </c>
      <c r="G412" s="4">
        <f t="shared" si="62"/>
        <v>2963495374.3299999</v>
      </c>
      <c r="H412" s="4">
        <f t="shared" si="62"/>
        <v>2971338123.9499989</v>
      </c>
      <c r="I412" s="4">
        <f t="shared" si="62"/>
        <v>2984508953.0599995</v>
      </c>
      <c r="J412" s="4">
        <f t="shared" si="62"/>
        <v>2988594398.5999999</v>
      </c>
      <c r="K412" s="4">
        <f t="shared" si="62"/>
        <v>2996888422.6299996</v>
      </c>
      <c r="L412" s="4">
        <f t="shared" si="62"/>
        <v>3015095614.8299999</v>
      </c>
      <c r="M412" s="4">
        <f t="shared" si="62"/>
        <v>3022598900.1999998</v>
      </c>
      <c r="N412" s="4">
        <f t="shared" si="62"/>
        <v>3030522374.6400003</v>
      </c>
      <c r="O412" s="4">
        <f t="shared" si="62"/>
        <v>3046124415.1499996</v>
      </c>
      <c r="P412" s="4">
        <f t="shared" si="62"/>
        <v>2981614839.0070829</v>
      </c>
    </row>
    <row r="413" spans="1:16" x14ac:dyDescent="0.3">
      <c r="A413" s="161"/>
      <c r="C413" s="4">
        <f t="shared" ref="C413:P413" si="63">+C412-C369</f>
        <v>0</v>
      </c>
      <c r="D413" s="4">
        <f t="shared" si="63"/>
        <v>0</v>
      </c>
      <c r="E413" s="4">
        <f t="shared" si="63"/>
        <v>0</v>
      </c>
      <c r="F413" s="4">
        <f t="shared" si="63"/>
        <v>0</v>
      </c>
      <c r="G413" s="4">
        <f t="shared" si="63"/>
        <v>0</v>
      </c>
      <c r="H413" s="4">
        <f t="shared" si="63"/>
        <v>0</v>
      </c>
      <c r="I413" s="4">
        <f t="shared" si="63"/>
        <v>0</v>
      </c>
      <c r="J413" s="4">
        <f t="shared" si="63"/>
        <v>0</v>
      </c>
      <c r="K413" s="4">
        <f t="shared" si="63"/>
        <v>0</v>
      </c>
      <c r="L413" s="4">
        <f t="shared" si="63"/>
        <v>0</v>
      </c>
      <c r="M413" s="4">
        <f t="shared" si="63"/>
        <v>0</v>
      </c>
      <c r="N413" s="4">
        <f t="shared" si="63"/>
        <v>0</v>
      </c>
      <c r="O413" s="4">
        <f t="shared" si="63"/>
        <v>0</v>
      </c>
      <c r="P413" s="4">
        <f t="shared" si="63"/>
        <v>0</v>
      </c>
    </row>
    <row r="415" spans="1:16" x14ac:dyDescent="0.3">
      <c r="B415" s="161"/>
    </row>
    <row r="416" spans="1:16" x14ac:dyDescent="0.3">
      <c r="B416" s="161"/>
      <c r="C416" s="11"/>
    </row>
    <row r="417" spans="2:3" x14ac:dyDescent="0.3">
      <c r="B417" s="161"/>
      <c r="C417" s="11"/>
    </row>
    <row r="418" spans="2:3" x14ac:dyDescent="0.3">
      <c r="B418" s="161"/>
    </row>
    <row r="419" spans="2:3" x14ac:dyDescent="0.3">
      <c r="B419" s="161"/>
    </row>
    <row r="420" spans="2:3" x14ac:dyDescent="0.3">
      <c r="B420" s="161"/>
    </row>
    <row r="423" spans="2:3" x14ac:dyDescent="0.3">
      <c r="B423" s="161"/>
    </row>
    <row r="424" spans="2:3" x14ac:dyDescent="0.3">
      <c r="B424" s="161"/>
    </row>
    <row r="425" spans="2:3" x14ac:dyDescent="0.3">
      <c r="B425" s="16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5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" sqref="C1"/>
    </sheetView>
  </sheetViews>
  <sheetFormatPr defaultRowHeight="14.4" x14ac:dyDescent="0.3"/>
  <cols>
    <col min="1" max="1" width="9.5546875" style="84" customWidth="1"/>
    <col min="2" max="2" width="38.6640625" customWidth="1"/>
    <col min="3" max="16" width="15.5546875" customWidth="1"/>
    <col min="17" max="17" width="15.5546875" style="7" customWidth="1"/>
    <col min="18" max="18" width="15.5546875" customWidth="1"/>
    <col min="19" max="19" width="15.44140625" customWidth="1"/>
    <col min="24" max="24" width="14.88671875" bestFit="1" customWidth="1"/>
    <col min="26" max="26" width="12.109375" bestFit="1" customWidth="1"/>
  </cols>
  <sheetData>
    <row r="1" spans="1:21" x14ac:dyDescent="0.3">
      <c r="U1" t="s">
        <v>1916</v>
      </c>
    </row>
    <row r="2" spans="1:21" x14ac:dyDescent="0.3">
      <c r="U2" s="9" t="s">
        <v>321</v>
      </c>
    </row>
    <row r="3" spans="1:21" x14ac:dyDescent="0.3">
      <c r="R3" s="157" t="s">
        <v>1905</v>
      </c>
      <c r="S3" s="157" t="s">
        <v>1905</v>
      </c>
      <c r="U3" s="9" t="s">
        <v>2408</v>
      </c>
    </row>
    <row r="4" spans="1:21" x14ac:dyDescent="0.3">
      <c r="C4" s="10">
        <v>42979</v>
      </c>
      <c r="D4" s="10">
        <v>43009</v>
      </c>
      <c r="E4" s="10">
        <v>43040</v>
      </c>
      <c r="F4" s="10">
        <v>43070</v>
      </c>
      <c r="G4" s="10">
        <v>43101</v>
      </c>
      <c r="H4" s="10">
        <v>43132</v>
      </c>
      <c r="I4" s="10">
        <v>43160</v>
      </c>
      <c r="J4" s="10">
        <v>43191</v>
      </c>
      <c r="K4" s="10">
        <v>43221</v>
      </c>
      <c r="L4" s="10">
        <v>43252</v>
      </c>
      <c r="M4" s="10">
        <v>43282</v>
      </c>
      <c r="N4" s="10">
        <v>43313</v>
      </c>
      <c r="O4" s="10">
        <v>43344</v>
      </c>
      <c r="P4" s="10" t="s">
        <v>276</v>
      </c>
      <c r="R4" s="10">
        <v>43344</v>
      </c>
      <c r="S4" s="10" t="s">
        <v>276</v>
      </c>
      <c r="U4" s="9" t="s">
        <v>1959</v>
      </c>
    </row>
    <row r="5" spans="1:21" x14ac:dyDescent="0.3">
      <c r="A5" s="84" t="s">
        <v>148</v>
      </c>
      <c r="U5" s="9" t="s">
        <v>1907</v>
      </c>
    </row>
    <row r="6" spans="1:21" x14ac:dyDescent="0.3">
      <c r="A6" s="84">
        <v>301</v>
      </c>
      <c r="B6" t="s">
        <v>323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f>(C6/2+O6/2+SUM(D6:N6))/12</f>
        <v>0</v>
      </c>
      <c r="U6" s="9" t="s">
        <v>2409</v>
      </c>
    </row>
    <row r="7" spans="1:21" x14ac:dyDescent="0.3">
      <c r="A7" s="84">
        <v>302</v>
      </c>
      <c r="B7" t="s">
        <v>324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f>(C7/2+O7/2+SUM(D7:N7))/12</f>
        <v>0</v>
      </c>
      <c r="U7" s="9" t="s">
        <v>2410</v>
      </c>
    </row>
    <row r="8" spans="1:21" x14ac:dyDescent="0.3">
      <c r="A8" s="84">
        <v>303.10000000000002</v>
      </c>
      <c r="B8" t="s">
        <v>348</v>
      </c>
      <c r="C8" s="4">
        <v>25343182.670000002</v>
      </c>
      <c r="D8" s="4">
        <v>25578047.420000002</v>
      </c>
      <c r="E8" s="4">
        <v>25815708.809999999</v>
      </c>
      <c r="F8" s="4">
        <v>26057620.129999999</v>
      </c>
      <c r="G8" s="4">
        <v>26301908.920000002</v>
      </c>
      <c r="H8" s="4">
        <v>26547636.239999998</v>
      </c>
      <c r="I8" s="4">
        <v>26794663.420000002</v>
      </c>
      <c r="J8" s="4">
        <v>27041658.920000002</v>
      </c>
      <c r="K8" s="4">
        <v>27288697.52</v>
      </c>
      <c r="L8" s="4">
        <v>27536419.210000001</v>
      </c>
      <c r="M8" s="4">
        <v>27784842.649999999</v>
      </c>
      <c r="N8" s="4">
        <v>28033261.77</v>
      </c>
      <c r="O8" s="4">
        <v>28289885.199999999</v>
      </c>
      <c r="P8" s="4">
        <f t="shared" ref="P8:P71" si="0">(C8/2+O8/2+SUM(D8:N8))/12</f>
        <v>26799749.912083339</v>
      </c>
    </row>
    <row r="9" spans="1:21" x14ac:dyDescent="0.3">
      <c r="A9" s="84">
        <v>303.2</v>
      </c>
      <c r="B9" t="s">
        <v>325</v>
      </c>
      <c r="C9" s="4">
        <v>30485095.07</v>
      </c>
      <c r="D9" s="4">
        <v>30485095.07</v>
      </c>
      <c r="E9" s="4">
        <v>30485095.07</v>
      </c>
      <c r="F9" s="4">
        <v>30485095.07</v>
      </c>
      <c r="G9" s="4">
        <v>30485095.07</v>
      </c>
      <c r="H9" s="4">
        <v>30485095.07</v>
      </c>
      <c r="I9" s="4">
        <v>30485095.07</v>
      </c>
      <c r="J9" s="4">
        <v>30485095.07</v>
      </c>
      <c r="K9" s="4">
        <v>30485095.07</v>
      </c>
      <c r="L9" s="4">
        <v>30485095.07</v>
      </c>
      <c r="M9" s="4">
        <v>30485095.07</v>
      </c>
      <c r="N9" s="4">
        <v>30485095.07</v>
      </c>
      <c r="O9" s="4">
        <v>30485095.07</v>
      </c>
      <c r="P9" s="4">
        <f t="shared" si="0"/>
        <v>30485095.069999997</v>
      </c>
    </row>
    <row r="10" spans="1:21" x14ac:dyDescent="0.3">
      <c r="A10" s="84">
        <v>303.3</v>
      </c>
      <c r="B10" t="s">
        <v>349</v>
      </c>
      <c r="C10" s="4">
        <v>4146951</v>
      </c>
      <c r="D10" s="4">
        <v>4146951</v>
      </c>
      <c r="E10" s="4">
        <v>4146951</v>
      </c>
      <c r="F10" s="4">
        <v>4146951</v>
      </c>
      <c r="G10" s="4">
        <v>4146951</v>
      </c>
      <c r="H10" s="4">
        <v>4146951</v>
      </c>
      <c r="I10" s="4">
        <v>4146951</v>
      </c>
      <c r="J10" s="4">
        <v>4146951</v>
      </c>
      <c r="K10" s="4">
        <v>4146951</v>
      </c>
      <c r="L10" s="4">
        <v>4146951</v>
      </c>
      <c r="M10" s="4">
        <v>4146951</v>
      </c>
      <c r="N10" s="4">
        <v>4146951</v>
      </c>
      <c r="O10" s="4">
        <v>4146951</v>
      </c>
      <c r="P10" s="4">
        <f t="shared" si="0"/>
        <v>4146951</v>
      </c>
    </row>
    <row r="11" spans="1:21" x14ac:dyDescent="0.3">
      <c r="A11" s="84">
        <v>303.39999999999998</v>
      </c>
      <c r="B11" t="s">
        <v>350</v>
      </c>
      <c r="C11" s="4">
        <v>682892.52</v>
      </c>
      <c r="D11" s="4">
        <v>682892.52</v>
      </c>
      <c r="E11" s="4">
        <v>682892.52</v>
      </c>
      <c r="F11" s="4">
        <v>682892.52</v>
      </c>
      <c r="G11" s="4">
        <v>682892.52</v>
      </c>
      <c r="H11" s="4">
        <v>682892.52</v>
      </c>
      <c r="I11" s="4">
        <v>682892.52</v>
      </c>
      <c r="J11" s="4">
        <v>682892.52</v>
      </c>
      <c r="K11" s="4">
        <v>682892.52</v>
      </c>
      <c r="L11" s="4">
        <v>682892.52</v>
      </c>
      <c r="M11" s="4">
        <v>682892.52</v>
      </c>
      <c r="N11" s="4">
        <v>682892.52</v>
      </c>
      <c r="O11" s="4">
        <v>682892.52</v>
      </c>
      <c r="P11" s="4">
        <f t="shared" si="0"/>
        <v>682892.5199999999</v>
      </c>
    </row>
    <row r="12" spans="1:21" x14ac:dyDescent="0.3">
      <c r="A12" s="84">
        <v>303.5</v>
      </c>
      <c r="B12" t="s">
        <v>351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f t="shared" si="0"/>
        <v>0</v>
      </c>
    </row>
    <row r="13" spans="1:21" x14ac:dyDescent="0.3">
      <c r="A13" s="84">
        <v>304.10000000000002</v>
      </c>
      <c r="B13" t="s">
        <v>327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f t="shared" si="0"/>
        <v>0</v>
      </c>
    </row>
    <row r="14" spans="1:21" x14ac:dyDescent="0.3">
      <c r="A14" s="84">
        <v>305.2</v>
      </c>
      <c r="B14" t="s">
        <v>352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f t="shared" si="0"/>
        <v>0</v>
      </c>
    </row>
    <row r="15" spans="1:21" x14ac:dyDescent="0.3">
      <c r="A15" s="84">
        <v>305.5</v>
      </c>
      <c r="B15" t="s">
        <v>353</v>
      </c>
      <c r="C15" s="4">
        <v>13813.8</v>
      </c>
      <c r="D15" s="4">
        <v>13813.8</v>
      </c>
      <c r="E15" s="4">
        <v>13813.8</v>
      </c>
      <c r="F15" s="4">
        <v>13813.8</v>
      </c>
      <c r="G15" s="4">
        <v>13813.8</v>
      </c>
      <c r="H15" s="4">
        <v>13813.8</v>
      </c>
      <c r="I15" s="4">
        <v>13813.8</v>
      </c>
      <c r="J15" s="4">
        <v>13813.8</v>
      </c>
      <c r="K15" s="4">
        <v>13813.8</v>
      </c>
      <c r="L15" s="4">
        <v>13813.8</v>
      </c>
      <c r="M15" s="4">
        <v>13813.8</v>
      </c>
      <c r="N15" s="4">
        <v>13813.8</v>
      </c>
      <c r="O15" s="4">
        <v>13813.8</v>
      </c>
      <c r="P15" s="4">
        <f t="shared" si="0"/>
        <v>13813.799999999997</v>
      </c>
    </row>
    <row r="16" spans="1:21" x14ac:dyDescent="0.3">
      <c r="A16" s="84">
        <v>312.3</v>
      </c>
      <c r="B16" t="s">
        <v>354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si="0"/>
        <v>0</v>
      </c>
    </row>
    <row r="17" spans="1:16" x14ac:dyDescent="0.3">
      <c r="A17" s="84">
        <v>318.3</v>
      </c>
      <c r="B17" t="s">
        <v>355</v>
      </c>
      <c r="C17" s="4">
        <v>152140.79999999999</v>
      </c>
      <c r="D17" s="4">
        <v>152140.79999999999</v>
      </c>
      <c r="E17" s="4">
        <v>152140.79999999999</v>
      </c>
      <c r="F17" s="4">
        <v>152140.79999999999</v>
      </c>
      <c r="G17" s="4">
        <v>152140.79999999999</v>
      </c>
      <c r="H17" s="4">
        <v>152140.79999999999</v>
      </c>
      <c r="I17" s="4">
        <v>152140.79999999999</v>
      </c>
      <c r="J17" s="4">
        <v>152140.79999999999</v>
      </c>
      <c r="K17" s="4">
        <v>152140.79999999999</v>
      </c>
      <c r="L17" s="4">
        <v>152140.79999999999</v>
      </c>
      <c r="M17" s="4">
        <v>152140.79999999999</v>
      </c>
      <c r="N17" s="4">
        <v>152140.79999999999</v>
      </c>
      <c r="O17" s="4">
        <v>152140.79999999999</v>
      </c>
      <c r="P17" s="4">
        <f t="shared" si="0"/>
        <v>152140.80000000002</v>
      </c>
    </row>
    <row r="18" spans="1:16" x14ac:dyDescent="0.3">
      <c r="A18" s="84">
        <v>318.5</v>
      </c>
      <c r="B18" t="s">
        <v>356</v>
      </c>
      <c r="C18" s="4">
        <v>255728.55</v>
      </c>
      <c r="D18" s="4">
        <v>255728.55</v>
      </c>
      <c r="E18" s="4">
        <v>255728.55</v>
      </c>
      <c r="F18" s="4">
        <v>255728.55</v>
      </c>
      <c r="G18" s="4">
        <v>255728.55</v>
      </c>
      <c r="H18" s="4">
        <v>255728.55</v>
      </c>
      <c r="I18" s="4">
        <v>255728.55</v>
      </c>
      <c r="J18" s="4">
        <v>255728.55</v>
      </c>
      <c r="K18" s="4">
        <v>255728.55</v>
      </c>
      <c r="L18" s="4">
        <v>255728.55</v>
      </c>
      <c r="M18" s="4">
        <v>255728.55</v>
      </c>
      <c r="N18" s="4">
        <v>255728.55</v>
      </c>
      <c r="O18" s="4">
        <v>255728.55</v>
      </c>
      <c r="P18" s="4">
        <f t="shared" si="0"/>
        <v>255728.54999999996</v>
      </c>
    </row>
    <row r="19" spans="1:16" x14ac:dyDescent="0.3">
      <c r="A19" s="84">
        <v>325</v>
      </c>
      <c r="B19" t="s">
        <v>357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f t="shared" si="0"/>
        <v>0</v>
      </c>
    </row>
    <row r="20" spans="1:16" x14ac:dyDescent="0.3">
      <c r="A20" s="84">
        <v>327</v>
      </c>
      <c r="B20" t="s">
        <v>358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 t="shared" si="0"/>
        <v>0</v>
      </c>
    </row>
    <row r="21" spans="1:16" x14ac:dyDescent="0.3">
      <c r="A21" s="84">
        <v>328</v>
      </c>
      <c r="B21" t="s">
        <v>357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f t="shared" si="0"/>
        <v>0</v>
      </c>
    </row>
    <row r="22" spans="1:16" x14ac:dyDescent="0.3">
      <c r="A22" s="84">
        <v>331</v>
      </c>
      <c r="B22" t="s">
        <v>358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f t="shared" si="0"/>
        <v>0</v>
      </c>
    </row>
    <row r="23" spans="1:16" x14ac:dyDescent="0.3">
      <c r="A23" s="84">
        <v>332</v>
      </c>
      <c r="B23" t="s">
        <v>358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f t="shared" si="0"/>
        <v>0</v>
      </c>
    </row>
    <row r="24" spans="1:16" x14ac:dyDescent="0.3">
      <c r="A24" s="84">
        <v>333</v>
      </c>
      <c r="B24" t="s">
        <v>358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f t="shared" si="0"/>
        <v>0</v>
      </c>
    </row>
    <row r="25" spans="1:16" x14ac:dyDescent="0.3">
      <c r="A25" s="84">
        <v>334</v>
      </c>
      <c r="B25" t="s">
        <v>358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f t="shared" si="0"/>
        <v>0</v>
      </c>
    </row>
    <row r="26" spans="1:16" x14ac:dyDescent="0.3">
      <c r="A26" s="84">
        <v>305.11</v>
      </c>
      <c r="B26" t="s">
        <v>359</v>
      </c>
      <c r="C26" s="4">
        <v>8736</v>
      </c>
      <c r="D26" s="4">
        <v>8736</v>
      </c>
      <c r="E26" s="4">
        <v>8736</v>
      </c>
      <c r="F26" s="4">
        <v>8736</v>
      </c>
      <c r="G26" s="4">
        <v>8736</v>
      </c>
      <c r="H26" s="4">
        <v>8736</v>
      </c>
      <c r="I26" s="4">
        <v>8736</v>
      </c>
      <c r="J26" s="4">
        <v>8736</v>
      </c>
      <c r="K26" s="4">
        <v>8736</v>
      </c>
      <c r="L26" s="4">
        <v>8736</v>
      </c>
      <c r="M26" s="4">
        <v>8736</v>
      </c>
      <c r="N26" s="4">
        <v>8736</v>
      </c>
      <c r="O26" s="4">
        <v>8736</v>
      </c>
      <c r="P26" s="4">
        <f t="shared" si="0"/>
        <v>8736</v>
      </c>
    </row>
    <row r="27" spans="1:16" x14ac:dyDescent="0.3">
      <c r="A27" s="84">
        <v>305.17</v>
      </c>
      <c r="B27" t="s">
        <v>360</v>
      </c>
      <c r="C27" s="4">
        <v>51245.7</v>
      </c>
      <c r="D27" s="4">
        <v>51245.7</v>
      </c>
      <c r="E27" s="4">
        <v>51245.7</v>
      </c>
      <c r="F27" s="4">
        <v>51245.7</v>
      </c>
      <c r="G27" s="4">
        <v>51245.7</v>
      </c>
      <c r="H27" s="4">
        <v>51245.7</v>
      </c>
      <c r="I27" s="4">
        <v>51245.7</v>
      </c>
      <c r="J27" s="4">
        <v>51245.7</v>
      </c>
      <c r="K27" s="4">
        <v>51245.7</v>
      </c>
      <c r="L27" s="4">
        <v>51245.7</v>
      </c>
      <c r="M27" s="4">
        <v>51245.7</v>
      </c>
      <c r="N27" s="4">
        <v>51245.7</v>
      </c>
      <c r="O27" s="4">
        <v>51245.7</v>
      </c>
      <c r="P27" s="4">
        <f t="shared" si="0"/>
        <v>51245.700000000004</v>
      </c>
    </row>
    <row r="28" spans="1:16" x14ac:dyDescent="0.3">
      <c r="A28" s="84">
        <v>311</v>
      </c>
      <c r="B28" t="s">
        <v>361</v>
      </c>
      <c r="C28" s="4">
        <v>0</v>
      </c>
      <c r="D28" s="4">
        <v>0</v>
      </c>
      <c r="E28" s="4">
        <v>0</v>
      </c>
      <c r="F28" s="4">
        <v>0</v>
      </c>
      <c r="G28" s="4">
        <v>-0.06</v>
      </c>
      <c r="H28" s="4">
        <v>-0.05</v>
      </c>
      <c r="I28" s="4">
        <v>-0.05</v>
      </c>
      <c r="J28" s="4">
        <v>-0.05</v>
      </c>
      <c r="K28" s="4">
        <v>-0.04</v>
      </c>
      <c r="L28" s="4">
        <v>-0.05</v>
      </c>
      <c r="M28" s="4">
        <v>-0.05</v>
      </c>
      <c r="N28" s="4">
        <v>-0.06</v>
      </c>
      <c r="O28" s="4">
        <v>-0.06</v>
      </c>
      <c r="P28" s="4">
        <f t="shared" si="0"/>
        <v>-3.666666666666666E-2</v>
      </c>
    </row>
    <row r="29" spans="1:16" x14ac:dyDescent="0.3">
      <c r="A29" s="84">
        <v>311.39999999999998</v>
      </c>
      <c r="B29" t="s">
        <v>362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f t="shared" si="0"/>
        <v>0</v>
      </c>
    </row>
    <row r="30" spans="1:16" x14ac:dyDescent="0.3">
      <c r="A30" s="84">
        <v>311.7</v>
      </c>
      <c r="B30" t="s">
        <v>363</v>
      </c>
      <c r="C30" s="4">
        <v>8066</v>
      </c>
      <c r="D30" s="4">
        <v>8066</v>
      </c>
      <c r="E30" s="4">
        <v>8066</v>
      </c>
      <c r="F30" s="4">
        <v>8066</v>
      </c>
      <c r="G30" s="4">
        <v>8066</v>
      </c>
      <c r="H30" s="4">
        <v>8066</v>
      </c>
      <c r="I30" s="4">
        <v>8066</v>
      </c>
      <c r="J30" s="4">
        <v>8066</v>
      </c>
      <c r="K30" s="4">
        <v>8066</v>
      </c>
      <c r="L30" s="4">
        <v>8066</v>
      </c>
      <c r="M30" s="4">
        <v>8066</v>
      </c>
      <c r="N30" s="4">
        <v>8066</v>
      </c>
      <c r="O30" s="4">
        <v>8066</v>
      </c>
      <c r="P30" s="4">
        <f t="shared" si="0"/>
        <v>8066</v>
      </c>
    </row>
    <row r="31" spans="1:16" x14ac:dyDescent="0.3">
      <c r="A31" s="84">
        <v>311.8</v>
      </c>
      <c r="B31" t="s">
        <v>364</v>
      </c>
      <c r="C31" s="4">
        <v>6584.5</v>
      </c>
      <c r="D31" s="4">
        <v>6584.5</v>
      </c>
      <c r="E31" s="4">
        <v>6584.5</v>
      </c>
      <c r="F31" s="4">
        <v>6584.5</v>
      </c>
      <c r="G31" s="4">
        <v>6584.5</v>
      </c>
      <c r="H31" s="4">
        <v>6584.5</v>
      </c>
      <c r="I31" s="4">
        <v>6584.5</v>
      </c>
      <c r="J31" s="4">
        <v>6584.5</v>
      </c>
      <c r="K31" s="4">
        <v>6584.5</v>
      </c>
      <c r="L31" s="4">
        <v>6584.5</v>
      </c>
      <c r="M31" s="4">
        <v>6584.5</v>
      </c>
      <c r="N31" s="4">
        <v>6584.5</v>
      </c>
      <c r="O31" s="4">
        <v>6584.5</v>
      </c>
      <c r="P31" s="4">
        <f t="shared" si="0"/>
        <v>6584.5</v>
      </c>
    </row>
    <row r="32" spans="1:16" x14ac:dyDescent="0.3">
      <c r="A32" s="84">
        <v>319</v>
      </c>
      <c r="B32" t="s">
        <v>365</v>
      </c>
      <c r="C32" s="4">
        <v>194720.4</v>
      </c>
      <c r="D32" s="4">
        <v>194720.4</v>
      </c>
      <c r="E32" s="4">
        <v>194720.4</v>
      </c>
      <c r="F32" s="4">
        <v>194720.4</v>
      </c>
      <c r="G32" s="4">
        <v>194720.4</v>
      </c>
      <c r="H32" s="4">
        <v>194720.4</v>
      </c>
      <c r="I32" s="4">
        <v>194720.4</v>
      </c>
      <c r="J32" s="4">
        <v>194720.4</v>
      </c>
      <c r="K32" s="4">
        <v>194720.4</v>
      </c>
      <c r="L32" s="4">
        <v>194720.4</v>
      </c>
      <c r="M32" s="4">
        <v>194720.4</v>
      </c>
      <c r="N32" s="4">
        <v>194720.4</v>
      </c>
      <c r="O32" s="4">
        <v>194720.4</v>
      </c>
      <c r="P32" s="4">
        <f t="shared" si="0"/>
        <v>194720.39999999994</v>
      </c>
    </row>
    <row r="33" spans="1:16" x14ac:dyDescent="0.3">
      <c r="A33" s="84">
        <v>350.1</v>
      </c>
      <c r="B33" t="s">
        <v>327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f t="shared" si="0"/>
        <v>0</v>
      </c>
    </row>
    <row r="34" spans="1:16" x14ac:dyDescent="0.3">
      <c r="A34" s="84">
        <v>350.2</v>
      </c>
      <c r="B34" t="s">
        <v>366</v>
      </c>
      <c r="C34" s="4">
        <v>28251</v>
      </c>
      <c r="D34" s="4">
        <v>28398.98</v>
      </c>
      <c r="E34" s="4">
        <v>28546.97</v>
      </c>
      <c r="F34" s="4">
        <v>28694.959999999999</v>
      </c>
      <c r="G34" s="4">
        <v>28842.97</v>
      </c>
      <c r="H34" s="4">
        <v>28990.94</v>
      </c>
      <c r="I34" s="4">
        <v>29138.959999999999</v>
      </c>
      <c r="J34" s="4">
        <v>29286.94</v>
      </c>
      <c r="K34" s="4">
        <v>29434.93</v>
      </c>
      <c r="L34" s="4">
        <v>29582.91</v>
      </c>
      <c r="M34" s="4">
        <v>29730.92</v>
      </c>
      <c r="N34" s="4">
        <v>29878.9</v>
      </c>
      <c r="O34" s="4">
        <v>30026.91</v>
      </c>
      <c r="P34" s="4">
        <f t="shared" si="0"/>
        <v>29138.944583333334</v>
      </c>
    </row>
    <row r="35" spans="1:16" x14ac:dyDescent="0.3">
      <c r="A35" s="84">
        <v>351</v>
      </c>
      <c r="B35" t="s">
        <v>367</v>
      </c>
      <c r="C35" s="4">
        <v>2758723.55</v>
      </c>
      <c r="D35" s="4">
        <v>2769061.03</v>
      </c>
      <c r="E35" s="4">
        <v>2779398.59</v>
      </c>
      <c r="F35" s="4">
        <v>2789826.12</v>
      </c>
      <c r="G35" s="4">
        <v>2800345.55</v>
      </c>
      <c r="H35" s="4">
        <v>2810865.03</v>
      </c>
      <c r="I35" s="4">
        <v>2821384.43</v>
      </c>
      <c r="J35" s="4">
        <v>2831903.93</v>
      </c>
      <c r="K35" s="4">
        <v>2842423.34</v>
      </c>
      <c r="L35" s="4">
        <v>2853798.25</v>
      </c>
      <c r="M35" s="4">
        <v>2866028.66</v>
      </c>
      <c r="N35" s="4">
        <v>2878258.98</v>
      </c>
      <c r="O35" s="4">
        <v>2890489.4</v>
      </c>
      <c r="P35" s="4">
        <f t="shared" si="0"/>
        <v>2822325.032083333</v>
      </c>
    </row>
    <row r="36" spans="1:16" x14ac:dyDescent="0.3">
      <c r="A36" s="84">
        <v>352</v>
      </c>
      <c r="B36" t="s">
        <v>368</v>
      </c>
      <c r="C36" s="4">
        <v>11701768.039999999</v>
      </c>
      <c r="D36" s="4">
        <v>11736349.310000001</v>
      </c>
      <c r="E36" s="4">
        <v>11770930.470000001</v>
      </c>
      <c r="F36" s="4">
        <v>11805511.630000001</v>
      </c>
      <c r="G36" s="4">
        <v>11840092.84</v>
      </c>
      <c r="H36" s="4">
        <v>11877363.960000001</v>
      </c>
      <c r="I36" s="4">
        <v>11917335.859999999</v>
      </c>
      <c r="J36" s="4">
        <v>11957322.65</v>
      </c>
      <c r="K36" s="4">
        <v>11997321</v>
      </c>
      <c r="L36" s="4">
        <v>12037333.85</v>
      </c>
      <c r="M36" s="4">
        <v>12077361.289999999</v>
      </c>
      <c r="N36" s="4">
        <v>12117406.77</v>
      </c>
      <c r="O36" s="4">
        <v>12157471.300000001</v>
      </c>
      <c r="P36" s="4">
        <f t="shared" si="0"/>
        <v>11921995.774999999</v>
      </c>
    </row>
    <row r="37" spans="1:16" x14ac:dyDescent="0.3">
      <c r="A37" s="84">
        <v>352.1</v>
      </c>
      <c r="B37" t="s">
        <v>369</v>
      </c>
      <c r="C37" s="4">
        <v>1651216.71</v>
      </c>
      <c r="D37" s="4">
        <v>1657616.77</v>
      </c>
      <c r="E37" s="4">
        <v>1664016.83</v>
      </c>
      <c r="F37" s="4">
        <v>1670416.85</v>
      </c>
      <c r="G37" s="4">
        <v>1676816.91</v>
      </c>
      <c r="H37" s="4">
        <v>1683216.94</v>
      </c>
      <c r="I37" s="4">
        <v>1689617</v>
      </c>
      <c r="J37" s="4">
        <v>1696017.03</v>
      </c>
      <c r="K37" s="4">
        <v>1702417.11</v>
      </c>
      <c r="L37" s="4">
        <v>1708817.14</v>
      </c>
      <c r="M37" s="4">
        <v>1715217.17</v>
      </c>
      <c r="N37" s="4">
        <v>1721617.24</v>
      </c>
      <c r="O37" s="4">
        <v>1728017.27</v>
      </c>
      <c r="P37" s="4">
        <f t="shared" si="0"/>
        <v>1689616.9983333331</v>
      </c>
    </row>
    <row r="38" spans="1:16" x14ac:dyDescent="0.3">
      <c r="A38" s="84">
        <v>352.2</v>
      </c>
      <c r="B38" t="s">
        <v>370</v>
      </c>
      <c r="C38" s="4">
        <v>2494410.3199999998</v>
      </c>
      <c r="D38" s="4">
        <v>2506591.9</v>
      </c>
      <c r="E38" s="4">
        <v>2518773.39</v>
      </c>
      <c r="F38" s="4">
        <v>2530954.9500000002</v>
      </c>
      <c r="G38" s="4">
        <v>2543136.46</v>
      </c>
      <c r="H38" s="4">
        <v>2555318.02</v>
      </c>
      <c r="I38" s="4">
        <v>2567499.4700000002</v>
      </c>
      <c r="J38" s="4">
        <v>2579681.0499999998</v>
      </c>
      <c r="K38" s="4">
        <v>2591862.61</v>
      </c>
      <c r="L38" s="4">
        <v>2604044.12</v>
      </c>
      <c r="M38" s="4">
        <v>2616225.61</v>
      </c>
      <c r="N38" s="4">
        <v>2628407.19</v>
      </c>
      <c r="O38" s="4">
        <v>2640588.66</v>
      </c>
      <c r="P38" s="4">
        <f t="shared" si="0"/>
        <v>2567499.5216666665</v>
      </c>
    </row>
    <row r="39" spans="1:16" x14ac:dyDescent="0.3">
      <c r="A39" s="84">
        <v>352.3</v>
      </c>
      <c r="B39" t="s">
        <v>371</v>
      </c>
      <c r="C39" s="4">
        <v>3410612.33</v>
      </c>
      <c r="D39" s="4">
        <v>3420703.07</v>
      </c>
      <c r="E39" s="4">
        <v>3430793.79</v>
      </c>
      <c r="F39" s="4">
        <v>3440884.52</v>
      </c>
      <c r="G39" s="4">
        <v>3450975.25</v>
      </c>
      <c r="H39" s="4">
        <v>3461065.97</v>
      </c>
      <c r="I39" s="4">
        <v>3471156.69</v>
      </c>
      <c r="J39" s="4">
        <v>3481247.44</v>
      </c>
      <c r="K39" s="4">
        <v>3491338.17</v>
      </c>
      <c r="L39" s="4">
        <v>3501428.88</v>
      </c>
      <c r="M39" s="4">
        <v>3511519.6</v>
      </c>
      <c r="N39" s="4">
        <v>3521610.33</v>
      </c>
      <c r="O39" s="4">
        <v>3531701.06</v>
      </c>
      <c r="P39" s="4">
        <f t="shared" si="0"/>
        <v>3471156.700416666</v>
      </c>
    </row>
    <row r="40" spans="1:16" x14ac:dyDescent="0.3">
      <c r="A40" s="84">
        <v>353</v>
      </c>
      <c r="B40" t="s">
        <v>372</v>
      </c>
      <c r="C40" s="4">
        <v>3142336.02</v>
      </c>
      <c r="D40" s="4">
        <v>3153579.04</v>
      </c>
      <c r="E40" s="4">
        <v>3164829.25</v>
      </c>
      <c r="F40" s="4">
        <v>3176072.27</v>
      </c>
      <c r="G40" s="4">
        <v>3187315.24</v>
      </c>
      <c r="H40" s="4">
        <v>3198579.84</v>
      </c>
      <c r="I40" s="4">
        <v>3209822.87</v>
      </c>
      <c r="J40" s="4">
        <v>3221073.05</v>
      </c>
      <c r="K40" s="4">
        <v>3232315.97</v>
      </c>
      <c r="L40" s="4">
        <v>3243566.15</v>
      </c>
      <c r="M40" s="4">
        <v>3254809.13</v>
      </c>
      <c r="N40" s="4">
        <v>3266052.05</v>
      </c>
      <c r="O40" s="4">
        <v>3277610.84</v>
      </c>
      <c r="P40" s="4">
        <f t="shared" si="0"/>
        <v>3209832.3574999999</v>
      </c>
    </row>
    <row r="41" spans="1:16" x14ac:dyDescent="0.3">
      <c r="A41" s="84">
        <v>354</v>
      </c>
      <c r="B41" t="s">
        <v>373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f t="shared" si="0"/>
        <v>0</v>
      </c>
    </row>
    <row r="42" spans="1:16" x14ac:dyDescent="0.3">
      <c r="A42" s="84">
        <v>354.1</v>
      </c>
      <c r="B42" t="s">
        <v>1909</v>
      </c>
      <c r="C42" s="4">
        <v>3252170.13</v>
      </c>
      <c r="D42" s="4">
        <v>3261375.63</v>
      </c>
      <c r="E42" s="4">
        <v>3270586.92</v>
      </c>
      <c r="F42" s="4">
        <v>3279792.43</v>
      </c>
      <c r="G42" s="4">
        <v>3288998</v>
      </c>
      <c r="H42" s="4">
        <v>3298220.63</v>
      </c>
      <c r="I42" s="4">
        <v>3307426.15</v>
      </c>
      <c r="J42" s="4">
        <v>3316637.36</v>
      </c>
      <c r="K42" s="4">
        <v>3325842.91</v>
      </c>
      <c r="L42" s="4">
        <v>3335054.08</v>
      </c>
      <c r="M42" s="4">
        <v>3344259.55</v>
      </c>
      <c r="N42" s="4">
        <v>3353465</v>
      </c>
      <c r="O42" s="4">
        <v>3362676.24</v>
      </c>
      <c r="P42" s="4">
        <f t="shared" si="0"/>
        <v>3307423.4870833331</v>
      </c>
    </row>
    <row r="43" spans="1:16" x14ac:dyDescent="0.3">
      <c r="A43" s="84">
        <v>354.2</v>
      </c>
      <c r="B43" t="s">
        <v>1910</v>
      </c>
      <c r="C43" s="4">
        <v>3334930.52</v>
      </c>
      <c r="D43" s="4">
        <v>3344136.08</v>
      </c>
      <c r="E43" s="4">
        <v>3353347.33</v>
      </c>
      <c r="F43" s="4">
        <v>3362552.87</v>
      </c>
      <c r="G43" s="4">
        <v>3371758.4</v>
      </c>
      <c r="H43" s="4">
        <v>3380981.06</v>
      </c>
      <c r="I43" s="4">
        <v>3390186.58</v>
      </c>
      <c r="J43" s="4">
        <v>3399397.8</v>
      </c>
      <c r="K43" s="4">
        <v>3408603.3</v>
      </c>
      <c r="L43" s="4">
        <v>3417814.5</v>
      </c>
      <c r="M43" s="4">
        <v>3427019.99</v>
      </c>
      <c r="N43" s="4">
        <v>3436225.46</v>
      </c>
      <c r="O43" s="4">
        <v>3445436.65</v>
      </c>
      <c r="P43" s="4">
        <f t="shared" si="0"/>
        <v>3390183.9129166673</v>
      </c>
    </row>
    <row r="44" spans="1:16" x14ac:dyDescent="0.3">
      <c r="A44" s="84">
        <v>354.3</v>
      </c>
      <c r="B44" t="s">
        <v>1911</v>
      </c>
      <c r="C44" s="4">
        <v>10363550.07</v>
      </c>
      <c r="D44" s="4">
        <v>10407067.51</v>
      </c>
      <c r="E44" s="4">
        <v>10450611.869999999</v>
      </c>
      <c r="F44" s="4">
        <v>10494129.199999999</v>
      </c>
      <c r="G44" s="4">
        <v>10537646.49</v>
      </c>
      <c r="H44" s="4">
        <v>10581244.84</v>
      </c>
      <c r="I44" s="4">
        <v>10624762.060000001</v>
      </c>
      <c r="J44" s="4">
        <v>10668306.310000001</v>
      </c>
      <c r="K44" s="4">
        <v>10711823.48</v>
      </c>
      <c r="L44" s="4">
        <v>10755367.65</v>
      </c>
      <c r="M44" s="4">
        <v>10798884.74</v>
      </c>
      <c r="N44" s="4">
        <v>10842401.789999999</v>
      </c>
      <c r="O44" s="4">
        <v>10885945.869999999</v>
      </c>
      <c r="P44" s="4">
        <f t="shared" si="0"/>
        <v>10624749.4925</v>
      </c>
    </row>
    <row r="45" spans="1:16" x14ac:dyDescent="0.3">
      <c r="A45" s="84">
        <v>354.4</v>
      </c>
      <c r="B45" t="s">
        <v>1912</v>
      </c>
      <c r="C45" s="4">
        <v>1534899.3</v>
      </c>
      <c r="D45" s="4">
        <v>1542246.93</v>
      </c>
      <c r="E45" s="4">
        <v>1549599.1</v>
      </c>
      <c r="F45" s="4">
        <v>1556946.73</v>
      </c>
      <c r="G45" s="4">
        <v>1564294.34</v>
      </c>
      <c r="H45" s="4">
        <v>1571655.63</v>
      </c>
      <c r="I45" s="4">
        <v>1579003.23</v>
      </c>
      <c r="J45" s="4">
        <v>1586355.38</v>
      </c>
      <c r="K45" s="4">
        <v>1593702.97</v>
      </c>
      <c r="L45" s="4">
        <v>1601055.11</v>
      </c>
      <c r="M45" s="4">
        <v>1608402.69</v>
      </c>
      <c r="N45" s="4">
        <v>1615750.26</v>
      </c>
      <c r="O45" s="4">
        <v>1623102.39</v>
      </c>
      <c r="P45" s="4">
        <f t="shared" si="0"/>
        <v>1579001.1012500001</v>
      </c>
    </row>
    <row r="46" spans="1:16" x14ac:dyDescent="0.3">
      <c r="A46" s="84">
        <v>354.6</v>
      </c>
      <c r="B46" t="s">
        <v>1913</v>
      </c>
      <c r="C46" s="4">
        <v>32081.58</v>
      </c>
      <c r="D46" s="4">
        <v>33510.370000000003</v>
      </c>
      <c r="E46" s="4">
        <v>34939.160000000003</v>
      </c>
      <c r="F46" s="4">
        <v>36375.49</v>
      </c>
      <c r="G46" s="4">
        <v>37819.35</v>
      </c>
      <c r="H46" s="4">
        <v>39263.199999999997</v>
      </c>
      <c r="I46" s="4">
        <v>40707.06</v>
      </c>
      <c r="J46" s="4">
        <v>42150.91</v>
      </c>
      <c r="K46" s="4">
        <v>43594.77</v>
      </c>
      <c r="L46" s="4">
        <v>45038.63</v>
      </c>
      <c r="M46" s="4">
        <v>46482.48</v>
      </c>
      <c r="N46" s="4">
        <v>47926.34</v>
      </c>
      <c r="O46" s="4">
        <v>49370.19</v>
      </c>
      <c r="P46" s="4">
        <f t="shared" si="0"/>
        <v>40711.137083333335</v>
      </c>
    </row>
    <row r="47" spans="1:16" x14ac:dyDescent="0.3">
      <c r="A47" s="84">
        <v>355</v>
      </c>
      <c r="B47" t="s">
        <v>374</v>
      </c>
      <c r="C47" s="4">
        <v>4543527.6500000004</v>
      </c>
      <c r="D47" s="4">
        <v>4556920.0199999996</v>
      </c>
      <c r="E47" s="4">
        <v>4570316.4400000004</v>
      </c>
      <c r="F47" s="4">
        <v>4583708.84</v>
      </c>
      <c r="G47" s="4">
        <v>4597102.6500000004</v>
      </c>
      <c r="H47" s="4">
        <v>4610508.63</v>
      </c>
      <c r="I47" s="4">
        <v>4623902.45</v>
      </c>
      <c r="J47" s="4">
        <v>4637300.3</v>
      </c>
      <c r="K47" s="4">
        <v>4650694.05</v>
      </c>
      <c r="L47" s="4">
        <v>4664091.87</v>
      </c>
      <c r="M47" s="4">
        <v>4677485.68</v>
      </c>
      <c r="N47" s="4">
        <v>4690879.4800000004</v>
      </c>
      <c r="O47" s="4">
        <v>4704277.3499999996</v>
      </c>
      <c r="P47" s="4">
        <f t="shared" si="0"/>
        <v>4623901.0758333327</v>
      </c>
    </row>
    <row r="48" spans="1:16" x14ac:dyDescent="0.3">
      <c r="A48" s="84">
        <v>356</v>
      </c>
      <c r="B48" t="s">
        <v>375</v>
      </c>
      <c r="C48" s="4">
        <v>230601.26</v>
      </c>
      <c r="D48" s="4">
        <v>231215.85</v>
      </c>
      <c r="E48" s="4">
        <v>231830.37</v>
      </c>
      <c r="F48" s="4">
        <v>232444.92</v>
      </c>
      <c r="G48" s="4">
        <v>233059.47</v>
      </c>
      <c r="H48" s="4">
        <v>233674.02</v>
      </c>
      <c r="I48" s="4">
        <v>234288.54</v>
      </c>
      <c r="J48" s="4">
        <v>234903.11</v>
      </c>
      <c r="K48" s="4">
        <v>235517.68</v>
      </c>
      <c r="L48" s="4">
        <v>236200.66</v>
      </c>
      <c r="M48" s="4">
        <v>236951.94</v>
      </c>
      <c r="N48" s="4">
        <v>237703.01</v>
      </c>
      <c r="O48" s="4">
        <v>238454.08</v>
      </c>
      <c r="P48" s="4">
        <f t="shared" si="0"/>
        <v>234359.76999999993</v>
      </c>
    </row>
    <row r="49" spans="1:16" x14ac:dyDescent="0.3">
      <c r="A49" s="84">
        <v>357</v>
      </c>
      <c r="B49" t="s">
        <v>376</v>
      </c>
      <c r="C49" s="4">
        <v>850162.97</v>
      </c>
      <c r="D49" s="4">
        <v>852693.82</v>
      </c>
      <c r="E49" s="4">
        <v>855224.66</v>
      </c>
      <c r="F49" s="4">
        <v>857755.5</v>
      </c>
      <c r="G49" s="4">
        <v>860286.35</v>
      </c>
      <c r="H49" s="4">
        <v>862817.21</v>
      </c>
      <c r="I49" s="4">
        <v>865348.07</v>
      </c>
      <c r="J49" s="4">
        <v>867878.92</v>
      </c>
      <c r="K49" s="4">
        <v>870409.78</v>
      </c>
      <c r="L49" s="4">
        <v>873915.03</v>
      </c>
      <c r="M49" s="4">
        <v>878394.65</v>
      </c>
      <c r="N49" s="4">
        <v>882874.26</v>
      </c>
      <c r="O49" s="4">
        <v>887353.89</v>
      </c>
      <c r="P49" s="4">
        <f t="shared" si="0"/>
        <v>866363.05666666664</v>
      </c>
    </row>
    <row r="50" spans="1:16" x14ac:dyDescent="0.3">
      <c r="A50" s="84">
        <v>360.11</v>
      </c>
      <c r="B50" t="s">
        <v>377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f t="shared" si="0"/>
        <v>0</v>
      </c>
    </row>
    <row r="51" spans="1:16" x14ac:dyDescent="0.3">
      <c r="A51" s="84">
        <v>360.12</v>
      </c>
      <c r="B51" t="s">
        <v>378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f t="shared" si="0"/>
        <v>0</v>
      </c>
    </row>
    <row r="52" spans="1:16" x14ac:dyDescent="0.3">
      <c r="A52" s="84">
        <v>360.2</v>
      </c>
      <c r="B52" t="s">
        <v>379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f t="shared" si="0"/>
        <v>0</v>
      </c>
    </row>
    <row r="53" spans="1:16" x14ac:dyDescent="0.3">
      <c r="A53" s="84">
        <v>361.11</v>
      </c>
      <c r="B53" t="s">
        <v>329</v>
      </c>
      <c r="C53" s="4">
        <v>2396434.1800000002</v>
      </c>
      <c r="D53" s="4">
        <v>2419483.89</v>
      </c>
      <c r="E53" s="4">
        <v>2442533.66</v>
      </c>
      <c r="F53" s="4">
        <v>2440506.7599999998</v>
      </c>
      <c r="G53" s="4">
        <v>2463443.2799999998</v>
      </c>
      <c r="H53" s="4">
        <v>2487120.14</v>
      </c>
      <c r="I53" s="4">
        <v>2511572.56</v>
      </c>
      <c r="J53" s="4">
        <v>2536035.1</v>
      </c>
      <c r="K53" s="4">
        <v>2560529.2000000002</v>
      </c>
      <c r="L53" s="4">
        <v>2585004.41</v>
      </c>
      <c r="M53" s="4">
        <v>2609479.59</v>
      </c>
      <c r="N53" s="4">
        <v>2633954.75</v>
      </c>
      <c r="O53" s="4">
        <v>2658429.92</v>
      </c>
      <c r="P53" s="4">
        <f t="shared" si="0"/>
        <v>2518091.2825000002</v>
      </c>
    </row>
    <row r="54" spans="1:16" x14ac:dyDescent="0.3">
      <c r="A54" s="84">
        <v>361.12</v>
      </c>
      <c r="B54" t="s">
        <v>329</v>
      </c>
      <c r="C54" s="4">
        <v>2687376.58</v>
      </c>
      <c r="D54" s="4">
        <v>2713888.09</v>
      </c>
      <c r="E54" s="4">
        <v>2740393.73</v>
      </c>
      <c r="F54" s="4">
        <v>2278225.33</v>
      </c>
      <c r="G54" s="4">
        <v>2303760.4700000002</v>
      </c>
      <c r="H54" s="4">
        <v>2329295.54</v>
      </c>
      <c r="I54" s="4">
        <v>2354830.64</v>
      </c>
      <c r="J54" s="4">
        <v>2380394.7000000002</v>
      </c>
      <c r="K54" s="4">
        <v>2405968.58</v>
      </c>
      <c r="L54" s="4">
        <v>2431536.02</v>
      </c>
      <c r="M54" s="4">
        <v>2457116.35</v>
      </c>
      <c r="N54" s="4">
        <v>2482696.69</v>
      </c>
      <c r="O54" s="4">
        <v>2508277.16</v>
      </c>
      <c r="P54" s="4">
        <f t="shared" si="0"/>
        <v>2456327.7508333335</v>
      </c>
    </row>
    <row r="55" spans="1:16" x14ac:dyDescent="0.3">
      <c r="A55" s="84">
        <v>361.2</v>
      </c>
      <c r="B55" t="s">
        <v>380</v>
      </c>
      <c r="C55" s="4">
        <v>11308.14</v>
      </c>
      <c r="D55" s="4">
        <v>11346.94</v>
      </c>
      <c r="E55" s="4">
        <v>11385.73</v>
      </c>
      <c r="F55" s="4">
        <v>11424.53</v>
      </c>
      <c r="G55" s="4">
        <v>11463.32</v>
      </c>
      <c r="H55" s="4">
        <v>11502.13</v>
      </c>
      <c r="I55" s="4">
        <v>11540.92</v>
      </c>
      <c r="J55" s="4">
        <v>11579.72</v>
      </c>
      <c r="K55" s="4">
        <v>11618.53</v>
      </c>
      <c r="L55" s="4">
        <v>11657.32</v>
      </c>
      <c r="M55" s="4">
        <v>11696.12</v>
      </c>
      <c r="N55" s="4">
        <v>11734.91</v>
      </c>
      <c r="O55" s="4">
        <v>11773.71</v>
      </c>
      <c r="P55" s="4">
        <f t="shared" si="0"/>
        <v>11540.924583333332</v>
      </c>
    </row>
    <row r="56" spans="1:16" x14ac:dyDescent="0.3">
      <c r="A56" s="84">
        <v>362.11</v>
      </c>
      <c r="B56" t="s">
        <v>381</v>
      </c>
      <c r="C56" s="4">
        <v>2317738.2400000002</v>
      </c>
      <c r="D56" s="4">
        <v>2326226.8199999998</v>
      </c>
      <c r="E56" s="4">
        <v>2334932.21</v>
      </c>
      <c r="F56" s="4">
        <v>2343854.5099999998</v>
      </c>
      <c r="G56" s="4">
        <v>2352776.84</v>
      </c>
      <c r="H56" s="4">
        <v>2361699.11</v>
      </c>
      <c r="I56" s="4">
        <v>2370621.42</v>
      </c>
      <c r="J56" s="4">
        <v>2379543.69</v>
      </c>
      <c r="K56" s="4">
        <v>2388466.0299999998</v>
      </c>
      <c r="L56" s="4">
        <v>2397388.27</v>
      </c>
      <c r="M56" s="4">
        <v>2406310.6</v>
      </c>
      <c r="N56" s="4">
        <v>2415232.81</v>
      </c>
      <c r="O56" s="4">
        <v>2424155.12</v>
      </c>
      <c r="P56" s="4">
        <f t="shared" si="0"/>
        <v>2370666.5825</v>
      </c>
    </row>
    <row r="57" spans="1:16" x14ac:dyDescent="0.3">
      <c r="A57" s="84">
        <v>362.12</v>
      </c>
      <c r="B57" t="s">
        <v>382</v>
      </c>
      <c r="C57" s="4">
        <v>5695790.0199999996</v>
      </c>
      <c r="D57" s="4">
        <v>5708877.5599999996</v>
      </c>
      <c r="E57" s="4">
        <v>5722138.71</v>
      </c>
      <c r="F57" s="4">
        <v>5735573.46</v>
      </c>
      <c r="G57" s="4">
        <v>5749008.2199999997</v>
      </c>
      <c r="H57" s="4">
        <v>5762443.0099999998</v>
      </c>
      <c r="I57" s="4">
        <v>5775877.79</v>
      </c>
      <c r="J57" s="4">
        <v>5789312.5199999996</v>
      </c>
      <c r="K57" s="4">
        <v>5802747.29</v>
      </c>
      <c r="L57" s="4">
        <v>5816182.0499999998</v>
      </c>
      <c r="M57" s="4">
        <v>5829616.8399999999</v>
      </c>
      <c r="N57" s="4">
        <v>5843051.6299999999</v>
      </c>
      <c r="O57" s="4">
        <v>5856486.3700000001</v>
      </c>
      <c r="P57" s="4">
        <f t="shared" si="0"/>
        <v>5775913.9395833323</v>
      </c>
    </row>
    <row r="58" spans="1:16" x14ac:dyDescent="0.3">
      <c r="A58" s="84">
        <v>362.2</v>
      </c>
      <c r="B58" t="s">
        <v>383</v>
      </c>
      <c r="C58" s="4">
        <v>1208.22</v>
      </c>
      <c r="D58" s="4">
        <v>1209.98</v>
      </c>
      <c r="E58" s="4">
        <v>1211.73</v>
      </c>
      <c r="F58" s="4">
        <v>1213.44</v>
      </c>
      <c r="G58" s="4">
        <v>1215.1600000000001</v>
      </c>
      <c r="H58" s="4">
        <v>1216.94</v>
      </c>
      <c r="I58" s="4">
        <v>1218.6500000000001</v>
      </c>
      <c r="J58" s="4">
        <v>1220.46</v>
      </c>
      <c r="K58" s="4">
        <v>1222.19</v>
      </c>
      <c r="L58" s="4">
        <v>1223.96</v>
      </c>
      <c r="M58" s="4">
        <v>1225.6600000000001</v>
      </c>
      <c r="N58" s="4">
        <v>1227.42</v>
      </c>
      <c r="O58" s="4">
        <v>1229.1500000000001</v>
      </c>
      <c r="P58" s="4">
        <f t="shared" si="0"/>
        <v>1218.6895833333335</v>
      </c>
    </row>
    <row r="59" spans="1:16" x14ac:dyDescent="0.3">
      <c r="A59" s="84">
        <v>363.11</v>
      </c>
      <c r="B59" t="s">
        <v>384</v>
      </c>
      <c r="C59" s="4">
        <v>2565225.0699999998</v>
      </c>
      <c r="D59" s="4">
        <v>2573101.58</v>
      </c>
      <c r="E59" s="4">
        <v>2581105.87</v>
      </c>
      <c r="F59" s="4">
        <v>2561759.39</v>
      </c>
      <c r="G59" s="4">
        <v>2569724.41</v>
      </c>
      <c r="H59" s="4">
        <v>2577731.2000000002</v>
      </c>
      <c r="I59" s="4">
        <v>2585725.64</v>
      </c>
      <c r="J59" s="4">
        <v>2593725.88</v>
      </c>
      <c r="K59" s="4">
        <v>2601721.5099999998</v>
      </c>
      <c r="L59" s="4">
        <v>2609721.7599999998</v>
      </c>
      <c r="M59" s="4">
        <v>2617717.39</v>
      </c>
      <c r="N59" s="4">
        <v>2625697.16</v>
      </c>
      <c r="O59" s="4">
        <v>2633665.0499999998</v>
      </c>
      <c r="P59" s="4">
        <f t="shared" si="0"/>
        <v>2591431.4041666663</v>
      </c>
    </row>
    <row r="60" spans="1:16" x14ac:dyDescent="0.3">
      <c r="A60" s="84">
        <v>363.12</v>
      </c>
      <c r="B60" t="s">
        <v>385</v>
      </c>
      <c r="C60" s="4">
        <v>7204459.4000000004</v>
      </c>
      <c r="D60" s="4">
        <v>7211839.5899999999</v>
      </c>
      <c r="E60" s="4">
        <v>7219221.7400000002</v>
      </c>
      <c r="F60" s="4">
        <v>7149990.4199999999</v>
      </c>
      <c r="G60" s="4">
        <v>7157315.6299999999</v>
      </c>
      <c r="H60" s="4">
        <v>7164658.5300000003</v>
      </c>
      <c r="I60" s="4">
        <v>7171983.7300000004</v>
      </c>
      <c r="J60" s="4">
        <v>7179314.8600000003</v>
      </c>
      <c r="K60" s="4">
        <v>7186640.0599999996</v>
      </c>
      <c r="L60" s="4">
        <v>7193971.1399999997</v>
      </c>
      <c r="M60" s="4">
        <v>7201296.3799999999</v>
      </c>
      <c r="N60" s="4">
        <v>7208621.6299999999</v>
      </c>
      <c r="O60" s="4">
        <v>7215952.6200000001</v>
      </c>
      <c r="P60" s="4">
        <f t="shared" si="0"/>
        <v>7187921.6433333335</v>
      </c>
    </row>
    <row r="61" spans="1:16" x14ac:dyDescent="0.3">
      <c r="A61" s="84">
        <v>363.21</v>
      </c>
      <c r="B61" t="s">
        <v>386</v>
      </c>
      <c r="C61" s="4">
        <v>2699020.89</v>
      </c>
      <c r="D61" s="4">
        <v>2705661.36</v>
      </c>
      <c r="E61" s="4">
        <v>2712303.66</v>
      </c>
      <c r="F61" s="4">
        <v>2396494.42</v>
      </c>
      <c r="G61" s="4">
        <v>2401695.4</v>
      </c>
      <c r="H61" s="4">
        <v>2406900.15</v>
      </c>
      <c r="I61" s="4">
        <v>2412101.11</v>
      </c>
      <c r="J61" s="4">
        <v>2417303.2400000002</v>
      </c>
      <c r="K61" s="4">
        <v>2422504.44</v>
      </c>
      <c r="L61" s="4">
        <v>2427706.42</v>
      </c>
      <c r="M61" s="4">
        <v>2432907.4300000002</v>
      </c>
      <c r="N61" s="4">
        <v>2438108.36</v>
      </c>
      <c r="O61" s="4">
        <v>2443310.7000000002</v>
      </c>
      <c r="P61" s="4">
        <f t="shared" si="0"/>
        <v>2478737.6487500002</v>
      </c>
    </row>
    <row r="62" spans="1:16" x14ac:dyDescent="0.3">
      <c r="A62" s="84">
        <v>363.22</v>
      </c>
      <c r="B62" t="s">
        <v>387</v>
      </c>
      <c r="C62" s="4">
        <v>2618112.64</v>
      </c>
      <c r="D62" s="4">
        <v>2618514.27</v>
      </c>
      <c r="E62" s="4">
        <v>2619043.6800000002</v>
      </c>
      <c r="F62" s="4">
        <v>290733.14</v>
      </c>
      <c r="G62" s="4">
        <v>291010.08</v>
      </c>
      <c r="H62" s="4">
        <v>291287</v>
      </c>
      <c r="I62" s="4">
        <v>291563.96999999997</v>
      </c>
      <c r="J62" s="4">
        <v>291840.89</v>
      </c>
      <c r="K62" s="4">
        <v>292117.8</v>
      </c>
      <c r="L62" s="4">
        <v>292394.75</v>
      </c>
      <c r="M62" s="4">
        <v>292671.71999999997</v>
      </c>
      <c r="N62" s="4">
        <v>292948.65000000002</v>
      </c>
      <c r="O62" s="4">
        <v>293225.59999999998</v>
      </c>
      <c r="P62" s="4">
        <f t="shared" si="0"/>
        <v>776649.58916666673</v>
      </c>
    </row>
    <row r="63" spans="1:16" x14ac:dyDescent="0.3">
      <c r="A63" s="84">
        <v>363.31</v>
      </c>
      <c r="B63" t="s">
        <v>388</v>
      </c>
      <c r="C63" s="4">
        <v>206896.94</v>
      </c>
      <c r="D63" s="4">
        <v>206896.94</v>
      </c>
      <c r="E63" s="4">
        <v>206896.94</v>
      </c>
      <c r="F63" s="4">
        <v>206896.94</v>
      </c>
      <c r="G63" s="4">
        <v>206896.94</v>
      </c>
      <c r="H63" s="4">
        <v>206896.94</v>
      </c>
      <c r="I63" s="4">
        <v>206896.94</v>
      </c>
      <c r="J63" s="4">
        <v>206896.94</v>
      </c>
      <c r="K63" s="4">
        <v>206896.94</v>
      </c>
      <c r="L63" s="4">
        <v>206896.94</v>
      </c>
      <c r="M63" s="4">
        <v>206896.94</v>
      </c>
      <c r="N63" s="4">
        <v>206896.94</v>
      </c>
      <c r="O63" s="4">
        <v>206896.94</v>
      </c>
      <c r="P63" s="4">
        <f t="shared" si="0"/>
        <v>206896.93999999997</v>
      </c>
    </row>
    <row r="64" spans="1:16" x14ac:dyDescent="0.3">
      <c r="A64" s="84">
        <v>363.32</v>
      </c>
      <c r="B64" t="s">
        <v>389</v>
      </c>
      <c r="C64" s="4">
        <v>502019.61</v>
      </c>
      <c r="D64" s="4">
        <v>519114.17</v>
      </c>
      <c r="E64" s="4">
        <v>536230.19999999995</v>
      </c>
      <c r="F64" s="4">
        <v>553366.04</v>
      </c>
      <c r="G64" s="4">
        <v>570503.97</v>
      </c>
      <c r="H64" s="4">
        <v>587649.07999999996</v>
      </c>
      <c r="I64" s="4">
        <v>604787.02</v>
      </c>
      <c r="J64" s="4">
        <v>621927.32999999996</v>
      </c>
      <c r="K64" s="4">
        <v>639065.22</v>
      </c>
      <c r="L64" s="4">
        <v>656205.56000000006</v>
      </c>
      <c r="M64" s="4">
        <v>673343.44</v>
      </c>
      <c r="N64" s="4">
        <v>690481.35</v>
      </c>
      <c r="O64" s="4">
        <v>707989.08</v>
      </c>
      <c r="P64" s="4">
        <f t="shared" si="0"/>
        <v>604806.47708333319</v>
      </c>
    </row>
    <row r="65" spans="1:16" x14ac:dyDescent="0.3">
      <c r="A65" s="84">
        <v>363.41</v>
      </c>
      <c r="B65" t="s">
        <v>390</v>
      </c>
      <c r="C65" s="4">
        <v>605139.64</v>
      </c>
      <c r="D65" s="4">
        <v>605183.05000000005</v>
      </c>
      <c r="E65" s="4">
        <v>605226.5</v>
      </c>
      <c r="F65" s="4">
        <v>610580.92000000004</v>
      </c>
      <c r="G65" s="4">
        <v>610662.63</v>
      </c>
      <c r="H65" s="4">
        <v>610750.39</v>
      </c>
      <c r="I65" s="4">
        <v>610844.11</v>
      </c>
      <c r="J65" s="4">
        <v>610937.88</v>
      </c>
      <c r="K65" s="4">
        <v>611031.63</v>
      </c>
      <c r="L65" s="4">
        <v>611125.42000000004</v>
      </c>
      <c r="M65" s="4">
        <v>611219.17000000004</v>
      </c>
      <c r="N65" s="4">
        <v>611312.92000000004</v>
      </c>
      <c r="O65" s="4">
        <v>611406.65</v>
      </c>
      <c r="P65" s="4">
        <f t="shared" si="0"/>
        <v>609762.31375000009</v>
      </c>
    </row>
    <row r="66" spans="1:16" x14ac:dyDescent="0.3">
      <c r="A66" s="84">
        <v>363.42</v>
      </c>
      <c r="B66" t="s">
        <v>390</v>
      </c>
      <c r="C66" s="4">
        <v>182978.05</v>
      </c>
      <c r="D66" s="4">
        <v>188494.59</v>
      </c>
      <c r="E66" s="4">
        <v>194006.29</v>
      </c>
      <c r="F66" s="4">
        <v>190154.82</v>
      </c>
      <c r="G66" s="4">
        <v>196500.32</v>
      </c>
      <c r="H66" s="4">
        <v>202848.52</v>
      </c>
      <c r="I66" s="4">
        <v>209199.72</v>
      </c>
      <c r="J66" s="4">
        <v>215550.84</v>
      </c>
      <c r="K66" s="4">
        <v>221899.41</v>
      </c>
      <c r="L66" s="4">
        <v>228245.29</v>
      </c>
      <c r="M66" s="4">
        <v>234591.19</v>
      </c>
      <c r="N66" s="4">
        <v>240937.11</v>
      </c>
      <c r="O66" s="4">
        <v>247282.99</v>
      </c>
      <c r="P66" s="4">
        <f t="shared" si="0"/>
        <v>211463.21833333335</v>
      </c>
    </row>
    <row r="67" spans="1:16" x14ac:dyDescent="0.3">
      <c r="A67" s="84">
        <v>363.5</v>
      </c>
      <c r="B67" t="s">
        <v>391</v>
      </c>
      <c r="C67" s="4">
        <v>1384330.83</v>
      </c>
      <c r="D67" s="4">
        <v>1386975.3</v>
      </c>
      <c r="E67" s="4">
        <v>1389619.78</v>
      </c>
      <c r="F67" s="4">
        <v>1392264.24</v>
      </c>
      <c r="G67" s="4">
        <v>1394908.66</v>
      </c>
      <c r="H67" s="4">
        <v>1397553.17</v>
      </c>
      <c r="I67" s="4">
        <v>1400197.61</v>
      </c>
      <c r="J67" s="4">
        <v>1402842.05</v>
      </c>
      <c r="K67" s="4">
        <v>1405486.47</v>
      </c>
      <c r="L67" s="4">
        <v>1408130.98</v>
      </c>
      <c r="M67" s="4">
        <v>1410775.43</v>
      </c>
      <c r="N67" s="4">
        <v>1413419.89</v>
      </c>
      <c r="O67" s="4">
        <v>1416064.31</v>
      </c>
      <c r="P67" s="4">
        <f t="shared" si="0"/>
        <v>1400197.5958333334</v>
      </c>
    </row>
    <row r="68" spans="1:16" x14ac:dyDescent="0.3">
      <c r="A68" s="84">
        <v>363.6</v>
      </c>
      <c r="B68" t="s">
        <v>392</v>
      </c>
      <c r="C68" s="4">
        <v>739473</v>
      </c>
      <c r="D68" s="4">
        <v>739473</v>
      </c>
      <c r="E68" s="4">
        <v>739473</v>
      </c>
      <c r="F68" s="4">
        <v>739473</v>
      </c>
      <c r="G68" s="4">
        <v>739473</v>
      </c>
      <c r="H68" s="4">
        <v>739473</v>
      </c>
      <c r="I68" s="4">
        <v>739473</v>
      </c>
      <c r="J68" s="4">
        <v>739473</v>
      </c>
      <c r="K68" s="4">
        <v>739473</v>
      </c>
      <c r="L68" s="4">
        <v>739473</v>
      </c>
      <c r="M68" s="4">
        <v>739473</v>
      </c>
      <c r="N68" s="4">
        <v>739473</v>
      </c>
      <c r="O68" s="4">
        <v>739473</v>
      </c>
      <c r="P68" s="4">
        <f t="shared" si="0"/>
        <v>739473</v>
      </c>
    </row>
    <row r="69" spans="1:16" x14ac:dyDescent="0.3">
      <c r="A69" s="84">
        <v>365.1</v>
      </c>
      <c r="B69" t="s">
        <v>327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f t="shared" si="0"/>
        <v>0</v>
      </c>
    </row>
    <row r="70" spans="1:16" x14ac:dyDescent="0.3">
      <c r="A70" s="84">
        <v>365.2</v>
      </c>
      <c r="B70" t="s">
        <v>328</v>
      </c>
      <c r="C70" s="4">
        <v>1977833.98</v>
      </c>
      <c r="D70" s="4">
        <v>1988000.9</v>
      </c>
      <c r="E70" s="4">
        <v>1998167.8</v>
      </c>
      <c r="F70" s="4">
        <v>2008334.72</v>
      </c>
      <c r="G70" s="4">
        <v>2018501.64</v>
      </c>
      <c r="H70" s="4">
        <v>2028668.55</v>
      </c>
      <c r="I70" s="4">
        <v>2038835.44</v>
      </c>
      <c r="J70" s="4">
        <v>2049002.34</v>
      </c>
      <c r="K70" s="4">
        <v>2059169.25</v>
      </c>
      <c r="L70" s="4">
        <v>2069336.15</v>
      </c>
      <c r="M70" s="4">
        <v>2079503.04</v>
      </c>
      <c r="N70" s="4">
        <v>2089669.94</v>
      </c>
      <c r="O70" s="4">
        <v>2099836.84</v>
      </c>
      <c r="P70" s="4">
        <f t="shared" si="0"/>
        <v>2038835.4316666666</v>
      </c>
    </row>
    <row r="71" spans="1:16" x14ac:dyDescent="0.3">
      <c r="A71" s="84">
        <v>366.3</v>
      </c>
      <c r="B71" t="s">
        <v>380</v>
      </c>
      <c r="C71" s="4">
        <v>321587.03999999998</v>
      </c>
      <c r="D71" s="4">
        <v>324099.42</v>
      </c>
      <c r="E71" s="4">
        <v>326611.78999999998</v>
      </c>
      <c r="F71" s="4">
        <v>329124.17</v>
      </c>
      <c r="G71" s="4">
        <v>331636.52</v>
      </c>
      <c r="H71" s="4">
        <v>334148.90999999997</v>
      </c>
      <c r="I71" s="4">
        <v>336661.27</v>
      </c>
      <c r="J71" s="4">
        <v>339173.65</v>
      </c>
      <c r="K71" s="4">
        <v>341686.01</v>
      </c>
      <c r="L71" s="4">
        <v>344198.38</v>
      </c>
      <c r="M71" s="4">
        <v>346710.74</v>
      </c>
      <c r="N71" s="4">
        <v>349223.11</v>
      </c>
      <c r="O71" s="4">
        <v>351735.47</v>
      </c>
      <c r="P71" s="4">
        <f t="shared" si="0"/>
        <v>336661.26874999999</v>
      </c>
    </row>
    <row r="72" spans="1:16" x14ac:dyDescent="0.3">
      <c r="A72" s="84">
        <v>367</v>
      </c>
      <c r="B72" t="s">
        <v>326</v>
      </c>
      <c r="C72" s="4">
        <v>31232069.420000002</v>
      </c>
      <c r="D72" s="4">
        <v>31621896.25</v>
      </c>
      <c r="E72" s="4">
        <v>32012463.789999999</v>
      </c>
      <c r="F72" s="4">
        <v>32404167.82</v>
      </c>
      <c r="G72" s="4">
        <v>32797590.899999999</v>
      </c>
      <c r="H72" s="4">
        <v>33192399.649999999</v>
      </c>
      <c r="I72" s="4">
        <v>33587391.119999997</v>
      </c>
      <c r="J72" s="4">
        <v>33984382.979999997</v>
      </c>
      <c r="K72" s="4">
        <v>34381408.740000002</v>
      </c>
      <c r="L72" s="4">
        <v>34779800.810000002</v>
      </c>
      <c r="M72" s="4">
        <v>35178378.32</v>
      </c>
      <c r="N72" s="4">
        <v>35577086.490000002</v>
      </c>
      <c r="O72" s="4">
        <v>35976265.450000003</v>
      </c>
      <c r="P72" s="4">
        <f t="shared" ref="P72:P135" si="1">(C72/2+O72/2+SUM(D72:N72))/12</f>
        <v>33593427.858750001</v>
      </c>
    </row>
    <row r="73" spans="1:16" x14ac:dyDescent="0.3">
      <c r="A73" s="84">
        <v>367.21</v>
      </c>
      <c r="B73" t="s">
        <v>393</v>
      </c>
      <c r="C73" s="4">
        <v>1117425.8600000001</v>
      </c>
      <c r="D73" s="4">
        <v>1121594.47</v>
      </c>
      <c r="E73" s="4">
        <v>1125767.45</v>
      </c>
      <c r="F73" s="4">
        <v>1129935.99</v>
      </c>
      <c r="G73" s="4">
        <v>1134104.53</v>
      </c>
      <c r="H73" s="4">
        <v>1138286.3</v>
      </c>
      <c r="I73" s="4">
        <v>1142454.82</v>
      </c>
      <c r="J73" s="4">
        <v>1146627.75</v>
      </c>
      <c r="K73" s="4">
        <v>1150796.26</v>
      </c>
      <c r="L73" s="4">
        <v>1154969.21</v>
      </c>
      <c r="M73" s="4">
        <v>1159137.68</v>
      </c>
      <c r="N73" s="4">
        <v>1163306.17</v>
      </c>
      <c r="O73" s="4">
        <v>1167479.03</v>
      </c>
      <c r="P73" s="4">
        <f t="shared" si="1"/>
        <v>1142452.7562500001</v>
      </c>
    </row>
    <row r="74" spans="1:16" x14ac:dyDescent="0.3">
      <c r="A74" s="84">
        <v>367.22</v>
      </c>
      <c r="B74" t="s">
        <v>394</v>
      </c>
      <c r="C74" s="4">
        <v>10577131.15</v>
      </c>
      <c r="D74" s="4">
        <v>10607751.029999999</v>
      </c>
      <c r="E74" s="4">
        <v>10638403.800000001</v>
      </c>
      <c r="F74" s="4">
        <v>10669023.51</v>
      </c>
      <c r="G74" s="4">
        <v>10699643.140000001</v>
      </c>
      <c r="H74" s="4">
        <v>10730361.75</v>
      </c>
      <c r="I74" s="4">
        <v>10760981.220000001</v>
      </c>
      <c r="J74" s="4">
        <v>10791633.699999999</v>
      </c>
      <c r="K74" s="4">
        <v>10822253.08</v>
      </c>
      <c r="L74" s="4">
        <v>10852905.41</v>
      </c>
      <c r="M74" s="4">
        <v>10883524.619999999</v>
      </c>
      <c r="N74" s="4">
        <v>10914143.800000001</v>
      </c>
      <c r="O74" s="4">
        <v>10944795.9</v>
      </c>
      <c r="P74" s="4">
        <f t="shared" si="1"/>
        <v>10760965.715416666</v>
      </c>
    </row>
    <row r="75" spans="1:16" x14ac:dyDescent="0.3">
      <c r="A75" s="84">
        <v>367.23</v>
      </c>
      <c r="B75" t="s">
        <v>394</v>
      </c>
      <c r="C75" s="4">
        <v>13455811.98</v>
      </c>
      <c r="D75" s="4">
        <v>13533362.140000001</v>
      </c>
      <c r="E75" s="4">
        <v>13610989.140000001</v>
      </c>
      <c r="F75" s="4">
        <v>13688538.960000001</v>
      </c>
      <c r="G75" s="4">
        <v>13766088.630000001</v>
      </c>
      <c r="H75" s="4">
        <v>13843869.16</v>
      </c>
      <c r="I75" s="4">
        <v>13921418.51</v>
      </c>
      <c r="J75" s="4">
        <v>13999044.75</v>
      </c>
      <c r="K75" s="4">
        <v>14076593.810000001</v>
      </c>
      <c r="L75" s="4">
        <v>14154219.73</v>
      </c>
      <c r="M75" s="4">
        <v>14231768.439999999</v>
      </c>
      <c r="N75" s="4">
        <v>14309317.02</v>
      </c>
      <c r="O75" s="4">
        <v>14386942.470000001</v>
      </c>
      <c r="P75" s="4">
        <f t="shared" si="1"/>
        <v>13921382.292916669</v>
      </c>
    </row>
    <row r="76" spans="1:16" x14ac:dyDescent="0.3">
      <c r="A76" s="84">
        <v>367.24</v>
      </c>
      <c r="B76" t="s">
        <v>395</v>
      </c>
      <c r="C76" s="4">
        <v>5611188.8600000003</v>
      </c>
      <c r="D76" s="4">
        <v>5648856.1699999999</v>
      </c>
      <c r="E76" s="4">
        <v>5686561.9299999997</v>
      </c>
      <c r="F76" s="4">
        <v>5724229.0800000001</v>
      </c>
      <c r="G76" s="4">
        <v>5761896.1399999997</v>
      </c>
      <c r="H76" s="4">
        <v>5799678.7800000003</v>
      </c>
      <c r="I76" s="4">
        <v>5837345.6900000004</v>
      </c>
      <c r="J76" s="4">
        <v>5875051.0700000003</v>
      </c>
      <c r="K76" s="4">
        <v>5912717.8099999996</v>
      </c>
      <c r="L76" s="4">
        <v>5950423.04</v>
      </c>
      <c r="M76" s="4">
        <v>5988089.6299999999</v>
      </c>
      <c r="N76" s="4">
        <v>6025756.1399999997</v>
      </c>
      <c r="O76" s="4">
        <v>6063461.1299999999</v>
      </c>
      <c r="P76" s="4">
        <f t="shared" si="1"/>
        <v>5837327.5395833338</v>
      </c>
    </row>
    <row r="77" spans="1:16" x14ac:dyDescent="0.3">
      <c r="A77" s="84">
        <v>367.25</v>
      </c>
      <c r="B77" t="s">
        <v>396</v>
      </c>
      <c r="C77" s="4">
        <v>5671679.25</v>
      </c>
      <c r="D77" s="4">
        <v>5712131.4299999997</v>
      </c>
      <c r="E77" s="4">
        <v>5752624.5800000001</v>
      </c>
      <c r="F77" s="4">
        <v>5793076.5499999998</v>
      </c>
      <c r="G77" s="4">
        <v>5833528.4400000004</v>
      </c>
      <c r="H77" s="4">
        <v>5874103.54</v>
      </c>
      <c r="I77" s="4">
        <v>5914555.2699999996</v>
      </c>
      <c r="J77" s="4">
        <v>5955048</v>
      </c>
      <c r="K77" s="4">
        <v>5995499.5499999998</v>
      </c>
      <c r="L77" s="4">
        <v>6035992.1600000001</v>
      </c>
      <c r="M77" s="4">
        <v>6076443.54</v>
      </c>
      <c r="N77" s="4">
        <v>6116894.8499999996</v>
      </c>
      <c r="O77" s="4">
        <v>6157387.1699999999</v>
      </c>
      <c r="P77" s="4">
        <f t="shared" si="1"/>
        <v>5914535.9266666658</v>
      </c>
    </row>
    <row r="78" spans="1:16" x14ac:dyDescent="0.3">
      <c r="A78" s="84">
        <v>367.26</v>
      </c>
      <c r="B78" t="s">
        <v>397</v>
      </c>
      <c r="C78" s="4">
        <v>20977894.23</v>
      </c>
      <c r="D78" s="4">
        <v>21125612.359999999</v>
      </c>
      <c r="E78" s="4">
        <v>21273480.809999999</v>
      </c>
      <c r="F78" s="4">
        <v>21421198.32</v>
      </c>
      <c r="G78" s="4">
        <v>21568915.539999999</v>
      </c>
      <c r="H78" s="4">
        <v>21717084.289999999</v>
      </c>
      <c r="I78" s="4">
        <v>21864800.93</v>
      </c>
      <c r="J78" s="4">
        <v>22012667.84</v>
      </c>
      <c r="K78" s="4">
        <v>22160383.809999999</v>
      </c>
      <c r="L78" s="4">
        <v>22308250.149999999</v>
      </c>
      <c r="M78" s="4">
        <v>22455965.510000002</v>
      </c>
      <c r="N78" s="4">
        <v>22603680.539999999</v>
      </c>
      <c r="O78" s="4">
        <v>22751545.98</v>
      </c>
      <c r="P78" s="4">
        <f t="shared" si="1"/>
        <v>21864730.017083332</v>
      </c>
    </row>
    <row r="79" spans="1:16" x14ac:dyDescent="0.3">
      <c r="A79" s="84">
        <v>368</v>
      </c>
      <c r="B79" t="s">
        <v>398</v>
      </c>
      <c r="C79" s="4">
        <v>-8.81</v>
      </c>
      <c r="D79" s="4">
        <v>-8.81</v>
      </c>
      <c r="E79" s="4">
        <v>-8.81</v>
      </c>
      <c r="F79" s="4">
        <v>-8.81</v>
      </c>
      <c r="G79" s="4">
        <v>-8.81</v>
      </c>
      <c r="H79" s="4">
        <v>-8.81</v>
      </c>
      <c r="I79" s="4">
        <v>-8.81</v>
      </c>
      <c r="J79" s="4">
        <v>-8.81</v>
      </c>
      <c r="K79" s="4">
        <v>-8.81</v>
      </c>
      <c r="L79" s="4">
        <v>-8.81</v>
      </c>
      <c r="M79" s="4">
        <v>-8.81</v>
      </c>
      <c r="N79" s="4">
        <v>-8.81</v>
      </c>
      <c r="O79" s="4">
        <v>-8.81</v>
      </c>
      <c r="P79" s="4">
        <f t="shared" si="1"/>
        <v>-8.81</v>
      </c>
    </row>
    <row r="80" spans="1:16" x14ac:dyDescent="0.3">
      <c r="A80" s="84">
        <v>369</v>
      </c>
      <c r="B80" t="s">
        <v>399</v>
      </c>
      <c r="C80" s="4">
        <v>1524766.39</v>
      </c>
      <c r="D80" s="4">
        <v>1533628.7</v>
      </c>
      <c r="E80" s="4">
        <v>1542495.39</v>
      </c>
      <c r="F80" s="4">
        <v>1551357.7</v>
      </c>
      <c r="G80" s="4">
        <v>1560220.06</v>
      </c>
      <c r="H80" s="4">
        <v>1569095.44</v>
      </c>
      <c r="I80" s="4">
        <v>1577957.77</v>
      </c>
      <c r="J80" s="4">
        <v>1586824.4</v>
      </c>
      <c r="K80" s="4">
        <v>1595686.73</v>
      </c>
      <c r="L80" s="4">
        <v>1604553.39</v>
      </c>
      <c r="M80" s="4">
        <v>1613415.68</v>
      </c>
      <c r="N80" s="4">
        <v>1622277.99</v>
      </c>
      <c r="O80" s="4">
        <v>1631144.67</v>
      </c>
      <c r="P80" s="4">
        <f t="shared" si="1"/>
        <v>1577955.7316666667</v>
      </c>
    </row>
    <row r="81" spans="1:16" x14ac:dyDescent="0.3">
      <c r="A81" s="84">
        <v>374.1</v>
      </c>
      <c r="B81" t="s">
        <v>327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f t="shared" si="1"/>
        <v>0</v>
      </c>
    </row>
    <row r="82" spans="1:16" x14ac:dyDescent="0.3">
      <c r="A82" s="84">
        <v>374.2</v>
      </c>
      <c r="B82" t="s">
        <v>328</v>
      </c>
      <c r="C82" s="4">
        <v>1504260.16</v>
      </c>
      <c r="D82" s="4">
        <v>1515860.68</v>
      </c>
      <c r="E82" s="4">
        <v>1527461.19</v>
      </c>
      <c r="F82" s="4">
        <v>1539061.82</v>
      </c>
      <c r="G82" s="4">
        <v>1550662.36</v>
      </c>
      <c r="H82" s="4">
        <v>1562262.9</v>
      </c>
      <c r="I82" s="4">
        <v>1573863.4</v>
      </c>
      <c r="J82" s="4">
        <v>1585464.05</v>
      </c>
      <c r="K82" s="4">
        <v>1597064.45</v>
      </c>
      <c r="L82" s="4">
        <v>1608665.02</v>
      </c>
      <c r="M82" s="4">
        <v>1620268.91</v>
      </c>
      <c r="N82" s="4">
        <v>1631880.28</v>
      </c>
      <c r="O82" s="4">
        <v>1643495.76</v>
      </c>
      <c r="P82" s="4">
        <f t="shared" si="1"/>
        <v>1573866.0850000002</v>
      </c>
    </row>
    <row r="83" spans="1:16" x14ac:dyDescent="0.3">
      <c r="A83" s="84">
        <v>375</v>
      </c>
      <c r="B83" t="s">
        <v>329</v>
      </c>
      <c r="C83" s="4">
        <v>49873.79</v>
      </c>
      <c r="D83" s="4">
        <v>49890.48</v>
      </c>
      <c r="E83" s="4">
        <v>49907.17</v>
      </c>
      <c r="F83" s="4">
        <v>49923.839999999997</v>
      </c>
      <c r="G83" s="4">
        <v>49940.53</v>
      </c>
      <c r="H83" s="4">
        <v>49957.22</v>
      </c>
      <c r="I83" s="4">
        <v>49973.88</v>
      </c>
      <c r="J83" s="4">
        <v>49990.55</v>
      </c>
      <c r="K83" s="4">
        <v>50007.26</v>
      </c>
      <c r="L83" s="4">
        <v>50023.95</v>
      </c>
      <c r="M83" s="4">
        <v>50040.65</v>
      </c>
      <c r="N83" s="4">
        <v>50057.32</v>
      </c>
      <c r="O83" s="4">
        <v>50074.01</v>
      </c>
      <c r="P83" s="4">
        <f t="shared" si="1"/>
        <v>49973.895833333336</v>
      </c>
    </row>
    <row r="84" spans="1:16" x14ac:dyDescent="0.3">
      <c r="A84" s="84">
        <v>376.11</v>
      </c>
      <c r="B84" t="s">
        <v>330</v>
      </c>
      <c r="C84" s="4">
        <v>284586015.67000002</v>
      </c>
      <c r="D84" s="4">
        <v>285513353.39999998</v>
      </c>
      <c r="E84" s="4">
        <v>286485000.77999997</v>
      </c>
      <c r="F84" s="4">
        <v>287421562.30000001</v>
      </c>
      <c r="G84" s="4">
        <v>288343978.32999998</v>
      </c>
      <c r="H84" s="4">
        <v>289401847.92000002</v>
      </c>
      <c r="I84" s="4">
        <v>290402918.70999998</v>
      </c>
      <c r="J84" s="4">
        <v>291389506.69999999</v>
      </c>
      <c r="K84" s="4">
        <v>292417794.58999997</v>
      </c>
      <c r="L84" s="4">
        <v>293309836.61000001</v>
      </c>
      <c r="M84" s="4">
        <v>294307591.07999998</v>
      </c>
      <c r="N84" s="4">
        <v>295346861.31999999</v>
      </c>
      <c r="O84" s="4">
        <v>296306231.43000001</v>
      </c>
      <c r="P84" s="4">
        <f t="shared" si="1"/>
        <v>290398864.60750002</v>
      </c>
    </row>
    <row r="85" spans="1:16" x14ac:dyDescent="0.3">
      <c r="A85" s="84">
        <v>376.12</v>
      </c>
      <c r="B85" t="s">
        <v>331</v>
      </c>
      <c r="C85" s="4">
        <v>193369573.08000001</v>
      </c>
      <c r="D85" s="4">
        <v>194296639.94</v>
      </c>
      <c r="E85" s="4">
        <v>195186295.94999999</v>
      </c>
      <c r="F85" s="4">
        <v>195761129.03</v>
      </c>
      <c r="G85" s="4">
        <v>196607751.09</v>
      </c>
      <c r="H85" s="4">
        <v>197489280.22999999</v>
      </c>
      <c r="I85" s="4">
        <v>198411998.18000001</v>
      </c>
      <c r="J85" s="4">
        <v>199332291</v>
      </c>
      <c r="K85" s="4">
        <v>200258256.78</v>
      </c>
      <c r="L85" s="4">
        <v>201142234.03999999</v>
      </c>
      <c r="M85" s="4">
        <v>202052212.09999999</v>
      </c>
      <c r="N85" s="4">
        <v>202898526.58000001</v>
      </c>
      <c r="O85" s="4">
        <v>203632221.74000001</v>
      </c>
      <c r="P85" s="4">
        <f t="shared" si="1"/>
        <v>198494792.69416666</v>
      </c>
    </row>
    <row r="86" spans="1:16" x14ac:dyDescent="0.3">
      <c r="A86" s="84">
        <v>377</v>
      </c>
      <c r="B86" t="s">
        <v>373</v>
      </c>
      <c r="C86" s="4">
        <v>644698.4</v>
      </c>
      <c r="D86" s="4">
        <v>646287.42000000004</v>
      </c>
      <c r="E86" s="4">
        <v>647876.44999999995</v>
      </c>
      <c r="F86" s="4">
        <v>649465.47</v>
      </c>
      <c r="G86" s="4">
        <v>651054.49</v>
      </c>
      <c r="H86" s="4">
        <v>652643.51</v>
      </c>
      <c r="I86" s="4">
        <v>654232.53</v>
      </c>
      <c r="J86" s="4">
        <v>655821.56000000006</v>
      </c>
      <c r="K86" s="4">
        <v>657410.56999999995</v>
      </c>
      <c r="L86" s="4">
        <v>658999.59</v>
      </c>
      <c r="M86" s="4">
        <v>660588.62</v>
      </c>
      <c r="N86" s="4">
        <v>662177.64</v>
      </c>
      <c r="O86" s="4">
        <v>663766.66</v>
      </c>
      <c r="P86" s="4">
        <f t="shared" si="1"/>
        <v>654232.53166666662</v>
      </c>
    </row>
    <row r="87" spans="1:16" x14ac:dyDescent="0.3">
      <c r="A87" s="84">
        <v>378</v>
      </c>
      <c r="B87" t="s">
        <v>332</v>
      </c>
      <c r="C87" s="4">
        <v>11198159.65</v>
      </c>
      <c r="D87" s="4">
        <v>11254950.1</v>
      </c>
      <c r="E87" s="4">
        <v>11311871.689999999</v>
      </c>
      <c r="F87" s="4">
        <v>11368994.6</v>
      </c>
      <c r="G87" s="4">
        <v>11426455.43</v>
      </c>
      <c r="H87" s="4">
        <v>11484240.949999999</v>
      </c>
      <c r="I87" s="4">
        <v>11541965.16</v>
      </c>
      <c r="J87" s="4">
        <v>11599839.77</v>
      </c>
      <c r="K87" s="4">
        <v>11657755.210000001</v>
      </c>
      <c r="L87" s="4">
        <v>11715807.619999999</v>
      </c>
      <c r="M87" s="4">
        <v>11773913.67</v>
      </c>
      <c r="N87" s="4">
        <v>11832084.98</v>
      </c>
      <c r="O87" s="4">
        <v>11890481.49</v>
      </c>
      <c r="P87" s="4">
        <f t="shared" si="1"/>
        <v>11542683.3125</v>
      </c>
    </row>
    <row r="88" spans="1:16" x14ac:dyDescent="0.3">
      <c r="A88" s="84">
        <v>379</v>
      </c>
      <c r="B88" t="s">
        <v>333</v>
      </c>
      <c r="C88" s="4">
        <v>1609501.06</v>
      </c>
      <c r="D88" s="4">
        <v>1641493.66</v>
      </c>
      <c r="E88" s="4">
        <v>1674323</v>
      </c>
      <c r="F88" s="4">
        <v>1708054.69</v>
      </c>
      <c r="G88" s="4">
        <v>1743144.77</v>
      </c>
      <c r="H88" s="4">
        <v>1779248.29</v>
      </c>
      <c r="I88" s="4">
        <v>1815993.22</v>
      </c>
      <c r="J88" s="4">
        <v>1853530.18</v>
      </c>
      <c r="K88" s="4">
        <v>1891659.89</v>
      </c>
      <c r="L88" s="4">
        <v>1930217.88</v>
      </c>
      <c r="M88" s="4">
        <v>1969006.1</v>
      </c>
      <c r="N88" s="4">
        <v>2008659.54</v>
      </c>
      <c r="O88" s="4">
        <v>2050043.5</v>
      </c>
      <c r="P88" s="4">
        <f t="shared" si="1"/>
        <v>1820425.291666667</v>
      </c>
    </row>
    <row r="89" spans="1:16" x14ac:dyDescent="0.3">
      <c r="A89" s="84">
        <v>380</v>
      </c>
      <c r="B89" t="s">
        <v>334</v>
      </c>
      <c r="C89" s="4">
        <v>368658177.06999999</v>
      </c>
      <c r="D89" s="4">
        <v>370160825.07999998</v>
      </c>
      <c r="E89" s="4">
        <v>371634400.36000001</v>
      </c>
      <c r="F89" s="4">
        <v>373083169.61000001</v>
      </c>
      <c r="G89" s="4">
        <v>373801233.33999997</v>
      </c>
      <c r="H89" s="4">
        <v>374812975.02999997</v>
      </c>
      <c r="I89" s="4">
        <v>375488536.72000003</v>
      </c>
      <c r="J89" s="4">
        <v>376551871.66000003</v>
      </c>
      <c r="K89" s="4">
        <v>378085247.56999999</v>
      </c>
      <c r="L89" s="4">
        <v>379313658.48000002</v>
      </c>
      <c r="M89" s="4">
        <v>380843728.79000002</v>
      </c>
      <c r="N89" s="4">
        <v>382405159.06</v>
      </c>
      <c r="O89" s="4">
        <v>383969283.87</v>
      </c>
      <c r="P89" s="4">
        <f t="shared" si="1"/>
        <v>376041211.34750003</v>
      </c>
    </row>
    <row r="90" spans="1:16" x14ac:dyDescent="0.3">
      <c r="A90" s="84">
        <v>381</v>
      </c>
      <c r="B90" t="s">
        <v>335</v>
      </c>
      <c r="C90" s="4">
        <v>20091544.440000001</v>
      </c>
      <c r="D90" s="4">
        <v>20203337.82</v>
      </c>
      <c r="E90" s="4">
        <v>20301337.66</v>
      </c>
      <c r="F90" s="4">
        <v>20358390.109999999</v>
      </c>
      <c r="G90" s="4">
        <v>20454017.120000001</v>
      </c>
      <c r="H90" s="4">
        <v>20529996.07</v>
      </c>
      <c r="I90" s="4">
        <v>20608502.949999999</v>
      </c>
      <c r="J90" s="4">
        <v>20612452.93</v>
      </c>
      <c r="K90" s="4">
        <v>20635075.649999999</v>
      </c>
      <c r="L90" s="4">
        <v>20565715.25</v>
      </c>
      <c r="M90" s="4">
        <v>20602944.800000001</v>
      </c>
      <c r="N90" s="4">
        <v>20556236.039999999</v>
      </c>
      <c r="O90" s="4">
        <v>20525782.43</v>
      </c>
      <c r="P90" s="4">
        <f t="shared" si="1"/>
        <v>20478055.819583334</v>
      </c>
    </row>
    <row r="91" spans="1:16" x14ac:dyDescent="0.3">
      <c r="A91" s="84">
        <v>381.1</v>
      </c>
      <c r="B91" t="s">
        <v>401</v>
      </c>
      <c r="C91" s="4">
        <v>1568174.23</v>
      </c>
      <c r="D91" s="4">
        <v>1596460.4</v>
      </c>
      <c r="E91" s="4">
        <v>1624746.59</v>
      </c>
      <c r="F91" s="4">
        <v>1653032.74</v>
      </c>
      <c r="G91" s="4">
        <v>1681318.91</v>
      </c>
      <c r="H91" s="4">
        <v>1709605.07</v>
      </c>
      <c r="I91" s="4">
        <v>1737891.25</v>
      </c>
      <c r="J91" s="4">
        <v>1766177.42</v>
      </c>
      <c r="K91" s="4">
        <v>1794463.6</v>
      </c>
      <c r="L91" s="4">
        <v>1822749.75</v>
      </c>
      <c r="M91" s="4">
        <v>1851035.93</v>
      </c>
      <c r="N91" s="4">
        <v>1879322.1</v>
      </c>
      <c r="O91" s="4">
        <v>1907608.25</v>
      </c>
      <c r="P91" s="4">
        <f t="shared" si="1"/>
        <v>1737891.25</v>
      </c>
    </row>
    <row r="92" spans="1:16" x14ac:dyDescent="0.3">
      <c r="A92" s="84">
        <v>381.2</v>
      </c>
      <c r="B92" t="s">
        <v>336</v>
      </c>
      <c r="C92" s="4">
        <v>16247913.93</v>
      </c>
      <c r="D92" s="4">
        <v>16413034.199999999</v>
      </c>
      <c r="E92" s="4">
        <v>16579516.890000001</v>
      </c>
      <c r="F92" s="4">
        <v>16808280.460000001</v>
      </c>
      <c r="G92" s="4">
        <v>16916412.620000001</v>
      </c>
      <c r="H92" s="4">
        <v>17011019.050000001</v>
      </c>
      <c r="I92" s="4">
        <v>17180698.850000001</v>
      </c>
      <c r="J92" s="4">
        <v>17264246.73</v>
      </c>
      <c r="K92" s="4">
        <v>17411872.300000001</v>
      </c>
      <c r="L92" s="4">
        <v>17497383.210000001</v>
      </c>
      <c r="M92" s="4">
        <v>17607360.949999999</v>
      </c>
      <c r="N92" s="4">
        <v>17718445.440000001</v>
      </c>
      <c r="O92" s="4">
        <v>17845496.149999999</v>
      </c>
      <c r="P92" s="4">
        <f t="shared" si="1"/>
        <v>17121247.978333332</v>
      </c>
    </row>
    <row r="93" spans="1:16" x14ac:dyDescent="0.3">
      <c r="A93" s="84">
        <v>382</v>
      </c>
      <c r="B93" t="s">
        <v>337</v>
      </c>
      <c r="C93" s="4">
        <v>5690572.8600000003</v>
      </c>
      <c r="D93" s="4">
        <v>5709055.1399999997</v>
      </c>
      <c r="E93" s="4">
        <v>5683556.3799999999</v>
      </c>
      <c r="F93" s="4">
        <v>5690273.0700000003</v>
      </c>
      <c r="G93" s="4">
        <v>5674424.25</v>
      </c>
      <c r="H93" s="4">
        <v>5564672.2800000003</v>
      </c>
      <c r="I93" s="4">
        <v>5569080.2000000002</v>
      </c>
      <c r="J93" s="4">
        <v>5473616.5199999996</v>
      </c>
      <c r="K93" s="4">
        <v>5378065.9699999997</v>
      </c>
      <c r="L93" s="4">
        <v>5112977.3</v>
      </c>
      <c r="M93" s="4">
        <v>5025512.6500000004</v>
      </c>
      <c r="N93" s="4">
        <v>4782801.82</v>
      </c>
      <c r="O93" s="4">
        <v>4571968.8899999997</v>
      </c>
      <c r="P93" s="4">
        <f t="shared" si="1"/>
        <v>5399608.8712499999</v>
      </c>
    </row>
    <row r="94" spans="1:16" x14ac:dyDescent="0.3">
      <c r="A94" s="84">
        <v>382.1</v>
      </c>
      <c r="B94" t="s">
        <v>402</v>
      </c>
      <c r="C94" s="4">
        <v>60641.94</v>
      </c>
      <c r="D94" s="4">
        <v>61599.43</v>
      </c>
      <c r="E94" s="4">
        <v>62556.95</v>
      </c>
      <c r="F94" s="4">
        <v>63514.45</v>
      </c>
      <c r="G94" s="4">
        <v>64471.95</v>
      </c>
      <c r="H94" s="4">
        <v>65429.46</v>
      </c>
      <c r="I94" s="4">
        <v>66386.960000000006</v>
      </c>
      <c r="J94" s="4">
        <v>67344.460000000006</v>
      </c>
      <c r="K94" s="4">
        <v>68301.97</v>
      </c>
      <c r="L94" s="4">
        <v>69259.48</v>
      </c>
      <c r="M94" s="4">
        <v>70216.98</v>
      </c>
      <c r="N94" s="4">
        <v>71174.490000000005</v>
      </c>
      <c r="O94" s="4">
        <v>72131.990000000005</v>
      </c>
      <c r="P94" s="4">
        <f t="shared" si="1"/>
        <v>66386.962083333332</v>
      </c>
    </row>
    <row r="95" spans="1:16" x14ac:dyDescent="0.3">
      <c r="A95" s="84">
        <v>382.2</v>
      </c>
      <c r="B95" t="s">
        <v>338</v>
      </c>
      <c r="C95" s="4">
        <v>4676622.74</v>
      </c>
      <c r="D95" s="4">
        <v>4718228.99</v>
      </c>
      <c r="E95" s="4">
        <v>4759765.0199999996</v>
      </c>
      <c r="F95" s="4">
        <v>4802307.72</v>
      </c>
      <c r="G95" s="4">
        <v>4844371.08</v>
      </c>
      <c r="H95" s="4">
        <v>4880652.55</v>
      </c>
      <c r="I95" s="4">
        <v>4921824.83</v>
      </c>
      <c r="J95" s="4">
        <v>4954068.0199999996</v>
      </c>
      <c r="K95" s="4">
        <v>4990958.21</v>
      </c>
      <c r="L95" s="4">
        <v>5021205.8899999997</v>
      </c>
      <c r="M95" s="4">
        <v>5056518.46</v>
      </c>
      <c r="N95" s="4">
        <v>5088188.91</v>
      </c>
      <c r="O95" s="4">
        <v>5121010.29</v>
      </c>
      <c r="P95" s="4">
        <f t="shared" si="1"/>
        <v>4911408.8495833343</v>
      </c>
    </row>
    <row r="96" spans="1:16" x14ac:dyDescent="0.3">
      <c r="A96" s="84">
        <v>383</v>
      </c>
      <c r="B96" t="s">
        <v>339</v>
      </c>
      <c r="C96" s="4">
        <v>244176.41</v>
      </c>
      <c r="D96" s="4">
        <v>248338.25</v>
      </c>
      <c r="E96" s="4">
        <v>252591.56</v>
      </c>
      <c r="F96" s="4">
        <v>256939.51</v>
      </c>
      <c r="G96" s="4">
        <v>261372.84</v>
      </c>
      <c r="H96" s="4">
        <v>265864.93</v>
      </c>
      <c r="I96" s="4">
        <v>270369.98</v>
      </c>
      <c r="J96" s="4">
        <v>274932.08</v>
      </c>
      <c r="K96" s="4">
        <v>279631.08</v>
      </c>
      <c r="L96" s="4">
        <v>284462.43</v>
      </c>
      <c r="M96" s="4">
        <v>289333.99</v>
      </c>
      <c r="N96" s="4">
        <v>294220.21000000002</v>
      </c>
      <c r="O96" s="4">
        <v>299147.07</v>
      </c>
      <c r="P96" s="4">
        <f t="shared" si="1"/>
        <v>270809.88333333336</v>
      </c>
    </row>
    <row r="97" spans="1:16" x14ac:dyDescent="0.3">
      <c r="A97" s="84">
        <v>386</v>
      </c>
      <c r="B97" t="s">
        <v>403</v>
      </c>
      <c r="C97" s="4">
        <v>0</v>
      </c>
      <c r="D97" s="4">
        <v>0</v>
      </c>
      <c r="E97" s="4">
        <v>0</v>
      </c>
      <c r="F97" s="4">
        <v>0</v>
      </c>
      <c r="G97" s="4">
        <v>10835.76</v>
      </c>
      <c r="H97" s="4">
        <v>22794.26</v>
      </c>
      <c r="I97" s="4">
        <v>34750.6</v>
      </c>
      <c r="J97" s="4">
        <v>46683.05</v>
      </c>
      <c r="K97" s="4">
        <v>58682.73</v>
      </c>
      <c r="L97" s="4">
        <v>70721.19</v>
      </c>
      <c r="M97" s="4">
        <v>82731.17</v>
      </c>
      <c r="N97" s="4">
        <v>94741.14</v>
      </c>
      <c r="O97" s="4">
        <v>106751.13</v>
      </c>
      <c r="P97" s="4">
        <f t="shared" si="1"/>
        <v>39609.622083333335</v>
      </c>
    </row>
    <row r="98" spans="1:16" x14ac:dyDescent="0.3">
      <c r="A98" s="84">
        <v>386.1</v>
      </c>
      <c r="B98" t="s">
        <v>1914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14.92</v>
      </c>
      <c r="L98" s="4">
        <v>44.76</v>
      </c>
      <c r="M98" s="4">
        <v>74.599999999999994</v>
      </c>
      <c r="N98" s="4">
        <v>104.45</v>
      </c>
      <c r="O98" s="4">
        <v>215.35</v>
      </c>
      <c r="P98" s="4">
        <f t="shared" si="1"/>
        <v>28.867083333333337</v>
      </c>
    </row>
    <row r="99" spans="1:16" x14ac:dyDescent="0.3">
      <c r="A99" s="84">
        <v>387.1</v>
      </c>
      <c r="B99" t="s">
        <v>404</v>
      </c>
      <c r="C99" s="4">
        <v>142148.56</v>
      </c>
      <c r="D99" s="4">
        <v>142228.25</v>
      </c>
      <c r="E99" s="4">
        <v>142307.94</v>
      </c>
      <c r="F99" s="4">
        <v>142387.63</v>
      </c>
      <c r="G99" s="4">
        <v>142467.31</v>
      </c>
      <c r="H99" s="4">
        <v>142547.01</v>
      </c>
      <c r="I99" s="4">
        <v>142626.69</v>
      </c>
      <c r="J99" s="4">
        <v>142706.38</v>
      </c>
      <c r="K99" s="4">
        <v>142786.07</v>
      </c>
      <c r="L99" s="4">
        <v>142865.74</v>
      </c>
      <c r="M99" s="4">
        <v>142945.42000000001</v>
      </c>
      <c r="N99" s="4">
        <v>143025.12</v>
      </c>
      <c r="O99" s="4">
        <v>143104.79</v>
      </c>
      <c r="P99" s="4">
        <f t="shared" si="1"/>
        <v>142626.68625</v>
      </c>
    </row>
    <row r="100" spans="1:16" x14ac:dyDescent="0.3">
      <c r="A100" s="84">
        <v>387.2</v>
      </c>
      <c r="B100" t="s">
        <v>340</v>
      </c>
      <c r="C100" s="4">
        <v>69794</v>
      </c>
      <c r="D100" s="4">
        <v>69794</v>
      </c>
      <c r="E100" s="4">
        <v>69794</v>
      </c>
      <c r="F100" s="4">
        <v>69794</v>
      </c>
      <c r="G100" s="4">
        <v>69794</v>
      </c>
      <c r="H100" s="4">
        <v>69794</v>
      </c>
      <c r="I100" s="4">
        <v>69794</v>
      </c>
      <c r="J100" s="4">
        <v>69794</v>
      </c>
      <c r="K100" s="4">
        <v>69794</v>
      </c>
      <c r="L100" s="4">
        <v>69794</v>
      </c>
      <c r="M100" s="4">
        <v>69794</v>
      </c>
      <c r="N100" s="4">
        <v>69794</v>
      </c>
      <c r="O100" s="4">
        <v>69794</v>
      </c>
      <c r="P100" s="4">
        <f t="shared" si="1"/>
        <v>69794</v>
      </c>
    </row>
    <row r="101" spans="1:16" x14ac:dyDescent="0.3">
      <c r="A101" s="84">
        <v>387.3</v>
      </c>
      <c r="B101" t="s">
        <v>405</v>
      </c>
      <c r="C101" s="4">
        <v>72671</v>
      </c>
      <c r="D101" s="4">
        <v>72671</v>
      </c>
      <c r="E101" s="4">
        <v>72671</v>
      </c>
      <c r="F101" s="4">
        <v>72671</v>
      </c>
      <c r="G101" s="4">
        <v>72671</v>
      </c>
      <c r="H101" s="4">
        <v>72671</v>
      </c>
      <c r="I101" s="4">
        <v>72671</v>
      </c>
      <c r="J101" s="4">
        <v>72671</v>
      </c>
      <c r="K101" s="4">
        <v>72671</v>
      </c>
      <c r="L101" s="4">
        <v>72671</v>
      </c>
      <c r="M101" s="4">
        <v>72671</v>
      </c>
      <c r="N101" s="4">
        <v>72671</v>
      </c>
      <c r="O101" s="4">
        <v>72671</v>
      </c>
      <c r="P101" s="4">
        <f t="shared" si="1"/>
        <v>72671</v>
      </c>
    </row>
    <row r="102" spans="1:16" x14ac:dyDescent="0.3">
      <c r="A102" s="84">
        <v>389</v>
      </c>
      <c r="B102" t="s">
        <v>327</v>
      </c>
      <c r="C102" s="4">
        <v>437351</v>
      </c>
      <c r="D102" s="4">
        <v>437351</v>
      </c>
      <c r="E102" s="4">
        <v>437351</v>
      </c>
      <c r="F102" s="4">
        <v>437351</v>
      </c>
      <c r="G102" s="4">
        <v>437351</v>
      </c>
      <c r="H102" s="4">
        <v>437351</v>
      </c>
      <c r="I102" s="4">
        <v>437351</v>
      </c>
      <c r="J102" s="4">
        <v>437351</v>
      </c>
      <c r="K102" s="4">
        <v>437351</v>
      </c>
      <c r="L102" s="4">
        <v>437351</v>
      </c>
      <c r="M102" s="4">
        <v>437351</v>
      </c>
      <c r="N102" s="4">
        <v>437351</v>
      </c>
      <c r="O102" s="4">
        <v>437351</v>
      </c>
      <c r="P102" s="4">
        <f t="shared" si="1"/>
        <v>437351</v>
      </c>
    </row>
    <row r="103" spans="1:16" x14ac:dyDescent="0.3">
      <c r="A103" s="84">
        <v>390</v>
      </c>
      <c r="B103" t="s">
        <v>329</v>
      </c>
      <c r="C103" s="4">
        <v>10289314.869999999</v>
      </c>
      <c r="D103" s="4">
        <v>10384442.220000001</v>
      </c>
      <c r="E103" s="4">
        <v>10479581.98</v>
      </c>
      <c r="F103" s="4">
        <v>10574957.220000001</v>
      </c>
      <c r="G103" s="4">
        <v>10670569.560000001</v>
      </c>
      <c r="H103" s="4">
        <v>10766189.869999999</v>
      </c>
      <c r="I103" s="4">
        <v>10861812.939999999</v>
      </c>
      <c r="J103" s="4">
        <v>10957439.23</v>
      </c>
      <c r="K103" s="4">
        <v>11053059.23</v>
      </c>
      <c r="L103" s="4">
        <v>11148718.43</v>
      </c>
      <c r="M103" s="4">
        <v>11244426.310000001</v>
      </c>
      <c r="N103" s="4">
        <v>11340145.470000001</v>
      </c>
      <c r="O103" s="4">
        <v>11435912.970000001</v>
      </c>
      <c r="P103" s="4">
        <f t="shared" si="1"/>
        <v>10861996.365</v>
      </c>
    </row>
    <row r="104" spans="1:16" x14ac:dyDescent="0.3">
      <c r="A104" s="84">
        <v>390.1</v>
      </c>
      <c r="B104" t="s">
        <v>341</v>
      </c>
      <c r="C104" s="4">
        <v>3895609.2</v>
      </c>
      <c r="D104" s="4">
        <v>3975994.92</v>
      </c>
      <c r="E104" s="4">
        <v>4056870.77</v>
      </c>
      <c r="F104" s="4">
        <v>4138256.78</v>
      </c>
      <c r="G104" s="4">
        <v>4219670.78</v>
      </c>
      <c r="H104" s="4">
        <v>4301092.6100000003</v>
      </c>
      <c r="I104" s="4">
        <v>4382514.12</v>
      </c>
      <c r="J104" s="4">
        <v>4463935.71</v>
      </c>
      <c r="K104" s="4">
        <v>4545357.3099999996</v>
      </c>
      <c r="L104" s="4">
        <v>4626778.92</v>
      </c>
      <c r="M104" s="4">
        <v>4708200.47</v>
      </c>
      <c r="N104" s="4">
        <v>4789622.07</v>
      </c>
      <c r="O104" s="4">
        <v>4871043.63</v>
      </c>
      <c r="P104" s="4">
        <f t="shared" si="1"/>
        <v>4382635.072916667</v>
      </c>
    </row>
    <row r="105" spans="1:16" x14ac:dyDescent="0.3">
      <c r="A105" s="84">
        <v>391.1</v>
      </c>
      <c r="B105" t="s">
        <v>342</v>
      </c>
      <c r="C105" s="4">
        <v>7964426.4100000001</v>
      </c>
      <c r="D105" s="4">
        <v>8038579.8099999996</v>
      </c>
      <c r="E105" s="4">
        <v>8112923.7000000002</v>
      </c>
      <c r="F105" s="4">
        <v>8188250.7199999997</v>
      </c>
      <c r="G105" s="4">
        <v>8264389.0899999999</v>
      </c>
      <c r="H105" s="4">
        <v>8340529.4400000004</v>
      </c>
      <c r="I105" s="4">
        <v>8416668.8000000007</v>
      </c>
      <c r="J105" s="4">
        <v>8492812</v>
      </c>
      <c r="K105" s="4">
        <v>8568952.7200000007</v>
      </c>
      <c r="L105" s="4">
        <v>8645279.2599999998</v>
      </c>
      <c r="M105" s="4">
        <v>8721787.4000000004</v>
      </c>
      <c r="N105" s="4">
        <v>8798298.5299999993</v>
      </c>
      <c r="O105" s="4">
        <v>8874808.2899999991</v>
      </c>
      <c r="P105" s="4">
        <f t="shared" si="1"/>
        <v>8417340.7350000013</v>
      </c>
    </row>
    <row r="106" spans="1:16" x14ac:dyDescent="0.3">
      <c r="A106" s="84">
        <v>391.2</v>
      </c>
      <c r="B106" t="s">
        <v>406</v>
      </c>
      <c r="C106" s="4">
        <v>19289350.780000001</v>
      </c>
      <c r="D106" s="4">
        <v>15520678.49</v>
      </c>
      <c r="E106" s="4">
        <v>15858723.130000001</v>
      </c>
      <c r="F106" s="4">
        <v>16217938.99</v>
      </c>
      <c r="G106" s="4">
        <v>16588672.460000001</v>
      </c>
      <c r="H106" s="4">
        <v>16964843.91</v>
      </c>
      <c r="I106" s="4">
        <v>17341039.420000002</v>
      </c>
      <c r="J106" s="4">
        <v>17717730.850000001</v>
      </c>
      <c r="K106" s="4">
        <v>18097978.27</v>
      </c>
      <c r="L106" s="4">
        <v>18515177.969999999</v>
      </c>
      <c r="M106" s="4">
        <v>18965613.010000002</v>
      </c>
      <c r="N106" s="4">
        <v>19415485.300000001</v>
      </c>
      <c r="O106" s="4">
        <v>19867135.27</v>
      </c>
      <c r="P106" s="4">
        <f t="shared" si="1"/>
        <v>17565177.068750001</v>
      </c>
    </row>
    <row r="107" spans="1:16" x14ac:dyDescent="0.3">
      <c r="A107" s="84">
        <v>392</v>
      </c>
      <c r="B107" t="s">
        <v>343</v>
      </c>
      <c r="C107" s="4">
        <v>9016070.8800000008</v>
      </c>
      <c r="D107" s="4">
        <v>9152716.9800000004</v>
      </c>
      <c r="E107" s="4">
        <v>9327282.3499999996</v>
      </c>
      <c r="F107" s="4">
        <v>9502771.5099999998</v>
      </c>
      <c r="G107" s="4">
        <v>9711376.8100000005</v>
      </c>
      <c r="H107" s="4">
        <v>9603626.9199999999</v>
      </c>
      <c r="I107" s="4">
        <v>9577967.5</v>
      </c>
      <c r="J107" s="4">
        <v>9753913.7200000007</v>
      </c>
      <c r="K107" s="4">
        <v>9728480.5899999999</v>
      </c>
      <c r="L107" s="4">
        <v>9881043.6300000008</v>
      </c>
      <c r="M107" s="4">
        <v>10060645.9</v>
      </c>
      <c r="N107" s="4">
        <v>10242437.789999999</v>
      </c>
      <c r="O107" s="4">
        <v>10311651.300000001</v>
      </c>
      <c r="P107" s="4">
        <f t="shared" si="1"/>
        <v>9683843.7324999999</v>
      </c>
    </row>
    <row r="108" spans="1:16" x14ac:dyDescent="0.3">
      <c r="A108" s="84">
        <v>393</v>
      </c>
      <c r="B108" t="s">
        <v>408</v>
      </c>
      <c r="C108" s="4">
        <v>119406</v>
      </c>
      <c r="D108" s="4">
        <v>119406</v>
      </c>
      <c r="E108" s="4">
        <v>119406</v>
      </c>
      <c r="F108" s="4">
        <v>119406</v>
      </c>
      <c r="G108" s="4">
        <v>119406</v>
      </c>
      <c r="H108" s="4">
        <v>119406</v>
      </c>
      <c r="I108" s="4">
        <v>119406</v>
      </c>
      <c r="J108" s="4">
        <v>119406</v>
      </c>
      <c r="K108" s="4">
        <v>119406</v>
      </c>
      <c r="L108" s="4">
        <v>119406</v>
      </c>
      <c r="M108" s="4">
        <v>119406</v>
      </c>
      <c r="N108" s="4">
        <v>119406</v>
      </c>
      <c r="O108" s="4">
        <v>119406</v>
      </c>
      <c r="P108" s="4">
        <f t="shared" si="1"/>
        <v>119406</v>
      </c>
    </row>
    <row r="109" spans="1:16" x14ac:dyDescent="0.3">
      <c r="A109" s="84">
        <v>394</v>
      </c>
      <c r="B109" t="s">
        <v>344</v>
      </c>
      <c r="C109" s="4">
        <v>3968787.34</v>
      </c>
      <c r="D109" s="4">
        <v>4036825.74</v>
      </c>
      <c r="E109" s="4">
        <v>4103516.7</v>
      </c>
      <c r="F109" s="4">
        <v>4171412.08</v>
      </c>
      <c r="G109" s="4">
        <v>4240580.59</v>
      </c>
      <c r="H109" s="4">
        <v>4311602</v>
      </c>
      <c r="I109" s="4">
        <v>4382078.47</v>
      </c>
      <c r="J109" s="4">
        <v>4453116.1900000004</v>
      </c>
      <c r="K109" s="4">
        <v>4527984.7</v>
      </c>
      <c r="L109" s="4">
        <v>4600076.59</v>
      </c>
      <c r="M109" s="4">
        <v>4673004.21</v>
      </c>
      <c r="N109" s="4">
        <v>4746861.3499999996</v>
      </c>
      <c r="O109" s="4">
        <v>4820902.05</v>
      </c>
      <c r="P109" s="4">
        <f t="shared" si="1"/>
        <v>4386825.2762500001</v>
      </c>
    </row>
    <row r="110" spans="1:16" x14ac:dyDescent="0.3">
      <c r="A110" s="84">
        <v>395</v>
      </c>
      <c r="B110" t="s">
        <v>409</v>
      </c>
      <c r="C110" s="4">
        <v>68293</v>
      </c>
      <c r="D110" s="4">
        <v>68293</v>
      </c>
      <c r="E110" s="4">
        <v>68293</v>
      </c>
      <c r="F110" s="4">
        <v>68293</v>
      </c>
      <c r="G110" s="4">
        <v>68293</v>
      </c>
      <c r="H110" s="4">
        <v>68293</v>
      </c>
      <c r="I110" s="4">
        <v>68293</v>
      </c>
      <c r="J110" s="4">
        <v>68293</v>
      </c>
      <c r="K110" s="4">
        <v>68293</v>
      </c>
      <c r="L110" s="4">
        <v>68293</v>
      </c>
      <c r="M110" s="4">
        <v>68293</v>
      </c>
      <c r="N110" s="4">
        <v>68293</v>
      </c>
      <c r="O110" s="4">
        <v>68293</v>
      </c>
      <c r="P110" s="4">
        <f t="shared" si="1"/>
        <v>68293</v>
      </c>
    </row>
    <row r="111" spans="1:16" x14ac:dyDescent="0.3">
      <c r="A111" s="84">
        <v>396</v>
      </c>
      <c r="B111" t="s">
        <v>345</v>
      </c>
      <c r="C111" s="4">
        <v>2596273.3199999998</v>
      </c>
      <c r="D111" s="4">
        <v>2657238.83</v>
      </c>
      <c r="E111" s="4">
        <v>2673671.06</v>
      </c>
      <c r="F111" s="4">
        <v>2690055.93</v>
      </c>
      <c r="G111" s="4">
        <v>2706458.83</v>
      </c>
      <c r="H111" s="4">
        <v>2682791.6</v>
      </c>
      <c r="I111" s="4">
        <v>2692842.98</v>
      </c>
      <c r="J111" s="4">
        <v>2710126.47</v>
      </c>
      <c r="K111" s="4">
        <v>2576559.7200000002</v>
      </c>
      <c r="L111" s="4">
        <v>2594516.33</v>
      </c>
      <c r="M111" s="4">
        <v>2612434.5</v>
      </c>
      <c r="N111" s="4">
        <v>2630640.2999999998</v>
      </c>
      <c r="O111" s="4">
        <v>2649053.84</v>
      </c>
      <c r="P111" s="4">
        <f t="shared" si="1"/>
        <v>2654166.6775000002</v>
      </c>
    </row>
    <row r="112" spans="1:16" x14ac:dyDescent="0.3">
      <c r="A112" s="84">
        <v>397</v>
      </c>
      <c r="B112" t="s">
        <v>410</v>
      </c>
      <c r="C112" s="4">
        <v>38562.85</v>
      </c>
      <c r="D112" s="4">
        <v>39108.239999999998</v>
      </c>
      <c r="E112" s="4">
        <v>39653.64</v>
      </c>
      <c r="F112" s="4">
        <v>40199.040000000001</v>
      </c>
      <c r="G112" s="4">
        <v>40744.44</v>
      </c>
      <c r="H112" s="4">
        <v>41289.82</v>
      </c>
      <c r="I112" s="4">
        <v>41835.22</v>
      </c>
      <c r="J112" s="4">
        <v>42380.6</v>
      </c>
      <c r="K112" s="4">
        <v>42926</v>
      </c>
      <c r="L112" s="4">
        <v>43471.37</v>
      </c>
      <c r="M112" s="4">
        <v>44016.78</v>
      </c>
      <c r="N112" s="4">
        <v>44562.15</v>
      </c>
      <c r="O112" s="4">
        <v>45107.54</v>
      </c>
      <c r="P112" s="4">
        <f t="shared" si="1"/>
        <v>41835.207916666674</v>
      </c>
    </row>
    <row r="113" spans="1:19" x14ac:dyDescent="0.3">
      <c r="A113" s="84">
        <v>397.1</v>
      </c>
      <c r="B113" t="s">
        <v>411</v>
      </c>
      <c r="C113" s="4">
        <v>410050.31</v>
      </c>
      <c r="D113" s="4">
        <v>410319.86</v>
      </c>
      <c r="E113" s="4">
        <v>410589.35</v>
      </c>
      <c r="F113" s="4">
        <v>410858.88</v>
      </c>
      <c r="G113" s="4">
        <v>411143.66</v>
      </c>
      <c r="H113" s="4">
        <v>411443.77</v>
      </c>
      <c r="I113" s="4">
        <v>411743.94</v>
      </c>
      <c r="J113" s="4">
        <v>412044.28</v>
      </c>
      <c r="K113" s="4">
        <v>412344.56</v>
      </c>
      <c r="L113" s="4">
        <v>412644.89</v>
      </c>
      <c r="M113" s="4">
        <v>412945.23</v>
      </c>
      <c r="N113" s="4">
        <v>413245.55</v>
      </c>
      <c r="O113" s="4">
        <v>413545.87</v>
      </c>
      <c r="P113" s="4">
        <f t="shared" si="1"/>
        <v>411760.17166666669</v>
      </c>
    </row>
    <row r="114" spans="1:19" x14ac:dyDescent="0.3">
      <c r="A114" s="84">
        <v>397.2</v>
      </c>
      <c r="B114" t="s">
        <v>412</v>
      </c>
      <c r="C114" s="4">
        <v>1690853.65</v>
      </c>
      <c r="D114" s="4">
        <v>1690853.65</v>
      </c>
      <c r="E114" s="4">
        <v>1690853.65</v>
      </c>
      <c r="F114" s="4">
        <v>1690853.65</v>
      </c>
      <c r="G114" s="4">
        <v>1690853.65</v>
      </c>
      <c r="H114" s="4">
        <v>1690853.65</v>
      </c>
      <c r="I114" s="4">
        <v>1690853.65</v>
      </c>
      <c r="J114" s="4">
        <v>1690853.65</v>
      </c>
      <c r="K114" s="4">
        <v>1690853.65</v>
      </c>
      <c r="L114" s="4">
        <v>1690853.65</v>
      </c>
      <c r="M114" s="4">
        <v>1690853.65</v>
      </c>
      <c r="N114" s="4">
        <v>1690853.65</v>
      </c>
      <c r="O114" s="4">
        <v>1690853.65</v>
      </c>
      <c r="P114" s="4">
        <f t="shared" si="1"/>
        <v>1690853.6499999997</v>
      </c>
    </row>
    <row r="115" spans="1:19" x14ac:dyDescent="0.3">
      <c r="A115" s="84">
        <v>397.3</v>
      </c>
      <c r="B115" t="s">
        <v>346</v>
      </c>
      <c r="C115" s="4">
        <v>2980886.14</v>
      </c>
      <c r="D115" s="4">
        <v>2981155.16</v>
      </c>
      <c r="E115" s="4">
        <v>2981424.09</v>
      </c>
      <c r="F115" s="4">
        <v>2981693.2</v>
      </c>
      <c r="G115" s="4">
        <v>2981962.16</v>
      </c>
      <c r="H115" s="4">
        <v>2982231.19</v>
      </c>
      <c r="I115" s="4">
        <v>2982500.15</v>
      </c>
      <c r="J115" s="4">
        <v>2982769.16</v>
      </c>
      <c r="K115" s="4">
        <v>2983038.07</v>
      </c>
      <c r="L115" s="4">
        <v>2983304.49</v>
      </c>
      <c r="M115" s="4">
        <v>2983570.61</v>
      </c>
      <c r="N115" s="4">
        <v>2983836.95</v>
      </c>
      <c r="O115" s="4">
        <v>2984103.16</v>
      </c>
      <c r="P115" s="4">
        <f t="shared" si="1"/>
        <v>2982498.3233333337</v>
      </c>
    </row>
    <row r="116" spans="1:19" x14ac:dyDescent="0.3">
      <c r="A116" s="84">
        <v>397.4</v>
      </c>
      <c r="B116" t="s">
        <v>413</v>
      </c>
      <c r="C116" s="4">
        <v>968844.98</v>
      </c>
      <c r="D116" s="4">
        <v>971315.78</v>
      </c>
      <c r="E116" s="4">
        <v>973786.64</v>
      </c>
      <c r="F116" s="4">
        <v>976257.91</v>
      </c>
      <c r="G116" s="4">
        <v>978730.33</v>
      </c>
      <c r="H116" s="4">
        <v>981202.72</v>
      </c>
      <c r="I116" s="4">
        <v>983675.19</v>
      </c>
      <c r="J116" s="4">
        <v>986147.61</v>
      </c>
      <c r="K116" s="4">
        <v>988620.03</v>
      </c>
      <c r="L116" s="4">
        <v>991092.45</v>
      </c>
      <c r="M116" s="4">
        <v>993564.85</v>
      </c>
      <c r="N116" s="4">
        <v>996037.3</v>
      </c>
      <c r="O116" s="4">
        <v>998509.74</v>
      </c>
      <c r="P116" s="4">
        <f t="shared" si="1"/>
        <v>983675.68083333329</v>
      </c>
    </row>
    <row r="117" spans="1:19" x14ac:dyDescent="0.3">
      <c r="A117" s="84">
        <v>397.5</v>
      </c>
      <c r="B117" t="s">
        <v>414</v>
      </c>
      <c r="C117" s="4">
        <v>312057.69</v>
      </c>
      <c r="D117" s="4">
        <v>318703.49</v>
      </c>
      <c r="E117" s="4">
        <v>325349.28000000003</v>
      </c>
      <c r="F117" s="4">
        <v>331995.08</v>
      </c>
      <c r="G117" s="4">
        <v>338640.88</v>
      </c>
      <c r="H117" s="4">
        <v>345286.67</v>
      </c>
      <c r="I117" s="4">
        <v>351932.46</v>
      </c>
      <c r="J117" s="4">
        <v>358578.26</v>
      </c>
      <c r="K117" s="4">
        <v>365224.05</v>
      </c>
      <c r="L117" s="4">
        <v>371869.85</v>
      </c>
      <c r="M117" s="4">
        <v>378515.66</v>
      </c>
      <c r="N117" s="4">
        <v>385161.45</v>
      </c>
      <c r="O117" s="4">
        <v>391807.25</v>
      </c>
      <c r="P117" s="4">
        <f t="shared" si="1"/>
        <v>351932.46666666673</v>
      </c>
    </row>
    <row r="118" spans="1:19" x14ac:dyDescent="0.3">
      <c r="A118" s="84">
        <v>398</v>
      </c>
      <c r="B118" t="s">
        <v>415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f t="shared" si="1"/>
        <v>0</v>
      </c>
    </row>
    <row r="119" spans="1:19" x14ac:dyDescent="0.3">
      <c r="A119" s="84">
        <v>398.1</v>
      </c>
      <c r="B119" t="s">
        <v>416</v>
      </c>
      <c r="C119" s="4">
        <v>83249.31</v>
      </c>
      <c r="D119" s="4">
        <v>83249.31</v>
      </c>
      <c r="E119" s="4">
        <v>83249.31</v>
      </c>
      <c r="F119" s="4">
        <v>83249.31</v>
      </c>
      <c r="G119" s="4">
        <v>83249.31</v>
      </c>
      <c r="H119" s="4">
        <v>83249.31</v>
      </c>
      <c r="I119" s="4">
        <v>83249.31</v>
      </c>
      <c r="J119" s="4">
        <v>83249.31</v>
      </c>
      <c r="K119" s="4">
        <v>83249.31</v>
      </c>
      <c r="L119" s="4">
        <v>83249.31</v>
      </c>
      <c r="M119" s="4">
        <v>83249.31</v>
      </c>
      <c r="N119" s="4">
        <v>83249.31</v>
      </c>
      <c r="O119" s="4">
        <v>83249.31</v>
      </c>
      <c r="P119" s="4">
        <f t="shared" si="1"/>
        <v>83249.310000000012</v>
      </c>
    </row>
    <row r="120" spans="1:19" x14ac:dyDescent="0.3">
      <c r="A120" s="84">
        <v>398.2</v>
      </c>
      <c r="B120" t="s">
        <v>417</v>
      </c>
      <c r="C120" s="4">
        <v>4005.49</v>
      </c>
      <c r="D120" s="4">
        <v>4049.27</v>
      </c>
      <c r="E120" s="4">
        <v>4093.04</v>
      </c>
      <c r="F120" s="4">
        <v>4136.82</v>
      </c>
      <c r="G120" s="4">
        <v>4180.6000000000004</v>
      </c>
      <c r="H120" s="4">
        <v>4224.37</v>
      </c>
      <c r="I120" s="4">
        <v>4268.1499999999996</v>
      </c>
      <c r="J120" s="4">
        <v>4311.92</v>
      </c>
      <c r="K120" s="4">
        <v>4355.7</v>
      </c>
      <c r="L120" s="4">
        <v>4399.4799999999996</v>
      </c>
      <c r="M120" s="4">
        <v>4443.25</v>
      </c>
      <c r="N120" s="4">
        <v>4487.03</v>
      </c>
      <c r="O120" s="4">
        <v>4530.8</v>
      </c>
      <c r="P120" s="4">
        <f t="shared" si="1"/>
        <v>4268.1479166666659</v>
      </c>
    </row>
    <row r="121" spans="1:19" x14ac:dyDescent="0.3">
      <c r="A121" s="84">
        <v>398.3</v>
      </c>
      <c r="B121" t="s">
        <v>418</v>
      </c>
      <c r="C121" s="4">
        <v>14873</v>
      </c>
      <c r="D121" s="4">
        <v>14873</v>
      </c>
      <c r="E121" s="4">
        <v>14873</v>
      </c>
      <c r="F121" s="4">
        <v>14873</v>
      </c>
      <c r="G121" s="4">
        <v>14873</v>
      </c>
      <c r="H121" s="4">
        <v>14873</v>
      </c>
      <c r="I121" s="4">
        <v>14873</v>
      </c>
      <c r="J121" s="4">
        <v>14873</v>
      </c>
      <c r="K121" s="4">
        <v>14873</v>
      </c>
      <c r="L121" s="4">
        <v>14873</v>
      </c>
      <c r="M121" s="4">
        <v>14873</v>
      </c>
      <c r="N121" s="4">
        <v>14873</v>
      </c>
      <c r="O121" s="4">
        <v>14873</v>
      </c>
      <c r="P121" s="4">
        <f t="shared" si="1"/>
        <v>14873</v>
      </c>
    </row>
    <row r="122" spans="1:19" x14ac:dyDescent="0.3">
      <c r="A122" s="84">
        <v>398.4</v>
      </c>
      <c r="B122" t="s">
        <v>347</v>
      </c>
      <c r="C122" s="4">
        <v>5393</v>
      </c>
      <c r="D122" s="4">
        <v>5393</v>
      </c>
      <c r="E122" s="4">
        <v>5393</v>
      </c>
      <c r="F122" s="4">
        <v>5393</v>
      </c>
      <c r="G122" s="4">
        <v>5393</v>
      </c>
      <c r="H122" s="4">
        <v>5393</v>
      </c>
      <c r="I122" s="4">
        <v>5393</v>
      </c>
      <c r="J122" s="4">
        <v>5393</v>
      </c>
      <c r="K122" s="4">
        <v>5393</v>
      </c>
      <c r="L122" s="4">
        <v>5393</v>
      </c>
      <c r="M122" s="4">
        <v>5393</v>
      </c>
      <c r="N122" s="4">
        <v>5393</v>
      </c>
      <c r="O122" s="4">
        <v>5393</v>
      </c>
      <c r="P122" s="4">
        <f t="shared" si="1"/>
        <v>5393</v>
      </c>
    </row>
    <row r="123" spans="1:19" x14ac:dyDescent="0.3">
      <c r="A123" s="84">
        <v>398.5</v>
      </c>
      <c r="B123" t="s">
        <v>419</v>
      </c>
      <c r="C123" s="158">
        <v>66739</v>
      </c>
      <c r="D123" s="158">
        <v>66739</v>
      </c>
      <c r="E123" s="158">
        <v>66739</v>
      </c>
      <c r="F123" s="158">
        <v>66739</v>
      </c>
      <c r="G123" s="158">
        <v>66739</v>
      </c>
      <c r="H123" s="158">
        <v>66739</v>
      </c>
      <c r="I123" s="158">
        <v>66739</v>
      </c>
      <c r="J123" s="158">
        <v>66739</v>
      </c>
      <c r="K123" s="158">
        <v>66739</v>
      </c>
      <c r="L123" s="158">
        <v>66739</v>
      </c>
      <c r="M123" s="158">
        <v>66739</v>
      </c>
      <c r="N123" s="158">
        <v>66739</v>
      </c>
      <c r="O123" s="158">
        <v>66739</v>
      </c>
      <c r="P123" s="158">
        <f t="shared" si="1"/>
        <v>66739</v>
      </c>
    </row>
    <row r="124" spans="1:19" x14ac:dyDescent="0.3">
      <c r="B124" t="s">
        <v>420</v>
      </c>
      <c r="C124" s="122">
        <v>-26061210.492499996</v>
      </c>
      <c r="D124" s="122">
        <v>-26660164.449999999</v>
      </c>
      <c r="E124" s="122">
        <v>-27056576.649999999</v>
      </c>
      <c r="F124" s="122">
        <v>-27441562.25</v>
      </c>
      <c r="G124" s="122">
        <v>-27550590.899999999</v>
      </c>
      <c r="H124" s="122">
        <v>-27785883.099999998</v>
      </c>
      <c r="I124" s="122">
        <v>-27917910.299999997</v>
      </c>
      <c r="J124" s="122">
        <v>-28073911.699999999</v>
      </c>
      <c r="K124" s="122">
        <v>-28524464.399999999</v>
      </c>
      <c r="L124" s="122">
        <v>-28861726.75</v>
      </c>
      <c r="M124" s="122">
        <v>-29864602.799999997</v>
      </c>
      <c r="N124" s="122">
        <v>-30684174.449999999</v>
      </c>
      <c r="O124" s="122">
        <v>-30778455.299999997</v>
      </c>
      <c r="P124" s="122">
        <f t="shared" si="1"/>
        <v>-28236783.387187496</v>
      </c>
    </row>
    <row r="125" spans="1:19" x14ac:dyDescent="0.3">
      <c r="B125" t="s">
        <v>421</v>
      </c>
      <c r="C125" s="4">
        <f>SUM(C6:C124)</f>
        <v>1183606995.9775</v>
      </c>
      <c r="D125" s="4">
        <f t="shared" ref="D125:P125" si="2">SUM(D6:D124)</f>
        <v>1184869869.8000002</v>
      </c>
      <c r="E125" s="4">
        <f t="shared" si="2"/>
        <v>1190361737.0100002</v>
      </c>
      <c r="F125" s="4">
        <f t="shared" si="2"/>
        <v>1192303483.0400002</v>
      </c>
      <c r="G125" s="4">
        <f t="shared" si="2"/>
        <v>1197277912.9599993</v>
      </c>
      <c r="H125" s="4">
        <f t="shared" si="2"/>
        <v>1202118220.3399997</v>
      </c>
      <c r="I125" s="4">
        <f t="shared" si="2"/>
        <v>1207026251.3000007</v>
      </c>
      <c r="J125" s="4">
        <f t="shared" si="2"/>
        <v>1212225002.48</v>
      </c>
      <c r="K125" s="4">
        <f t="shared" si="2"/>
        <v>1217389636.7599998</v>
      </c>
      <c r="L125" s="4">
        <f t="shared" si="2"/>
        <v>1222223103.3000002</v>
      </c>
      <c r="M125" s="4">
        <f t="shared" si="2"/>
        <v>1227202069.8900003</v>
      </c>
      <c r="N125" s="4">
        <f t="shared" si="2"/>
        <v>1232135771.7599998</v>
      </c>
      <c r="O125" s="4">
        <f t="shared" si="2"/>
        <v>1237571679.4200001</v>
      </c>
      <c r="P125" s="4">
        <f t="shared" si="2"/>
        <v>1207976866.3615623</v>
      </c>
    </row>
    <row r="126" spans="1:19" x14ac:dyDescent="0.3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9" x14ac:dyDescent="0.3">
      <c r="A127" s="84" t="s">
        <v>147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643" t="s">
        <v>1922</v>
      </c>
    </row>
    <row r="128" spans="1:19" x14ac:dyDescent="0.3">
      <c r="A128" s="84">
        <v>301</v>
      </c>
      <c r="B128" t="s">
        <v>323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f t="shared" si="1"/>
        <v>0</v>
      </c>
      <c r="Q128" s="127">
        <f>A128</f>
        <v>301</v>
      </c>
      <c r="R128" s="4">
        <f>+O128</f>
        <v>0</v>
      </c>
      <c r="S128" s="4">
        <f>+P128</f>
        <v>0</v>
      </c>
    </row>
    <row r="129" spans="1:19" x14ac:dyDescent="0.3">
      <c r="A129" s="84">
        <v>302</v>
      </c>
      <c r="B129" t="s">
        <v>324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 t="shared" si="1"/>
        <v>0</v>
      </c>
      <c r="Q129" s="127">
        <f t="shared" ref="Q129:Q190" si="3">A129</f>
        <v>302</v>
      </c>
      <c r="R129" s="4">
        <f>+O129</f>
        <v>0</v>
      </c>
      <c r="S129" s="4">
        <f>+P129</f>
        <v>0</v>
      </c>
    </row>
    <row r="130" spans="1:19" x14ac:dyDescent="0.3">
      <c r="A130" s="84">
        <v>303.10000000000002</v>
      </c>
      <c r="B130" t="s">
        <v>348</v>
      </c>
      <c r="C130" s="4">
        <v>3143.64</v>
      </c>
      <c r="D130" s="4">
        <v>3143.64</v>
      </c>
      <c r="E130" s="4">
        <v>3143.64</v>
      </c>
      <c r="F130" s="4">
        <v>3143.64</v>
      </c>
      <c r="G130" s="4">
        <v>3143.64</v>
      </c>
      <c r="H130" s="4">
        <v>3143.64</v>
      </c>
      <c r="I130" s="4">
        <v>3143.64</v>
      </c>
      <c r="J130" s="4">
        <v>3143.64</v>
      </c>
      <c r="K130" s="4">
        <v>3143.64</v>
      </c>
      <c r="L130" s="4">
        <v>3143.64</v>
      </c>
      <c r="M130" s="4">
        <v>3143.64</v>
      </c>
      <c r="N130" s="4">
        <v>3143.64</v>
      </c>
      <c r="O130" s="4">
        <v>3143.64</v>
      </c>
      <c r="P130" s="4">
        <f t="shared" si="1"/>
        <v>3143.64</v>
      </c>
      <c r="Q130" s="127">
        <f t="shared" si="3"/>
        <v>303.10000000000002</v>
      </c>
      <c r="R130" s="4">
        <v>3157502.018544001</v>
      </c>
      <c r="S130" s="4">
        <v>2991202.9204125009</v>
      </c>
    </row>
    <row r="131" spans="1:19" x14ac:dyDescent="0.3">
      <c r="A131" s="84">
        <v>303.2</v>
      </c>
      <c r="B131" t="s">
        <v>325</v>
      </c>
      <c r="C131" s="4">
        <v>1863072.66</v>
      </c>
      <c r="D131" s="4">
        <v>1863072.66</v>
      </c>
      <c r="E131" s="4">
        <v>1863072.66</v>
      </c>
      <c r="F131" s="4">
        <v>1863072.66</v>
      </c>
      <c r="G131" s="4">
        <v>1863072.66</v>
      </c>
      <c r="H131" s="4">
        <v>1863072.66</v>
      </c>
      <c r="I131" s="4">
        <v>1863072.66</v>
      </c>
      <c r="J131" s="4">
        <v>1863072.66</v>
      </c>
      <c r="K131" s="4">
        <v>1863072.66</v>
      </c>
      <c r="L131" s="4">
        <v>1863072.66</v>
      </c>
      <c r="M131" s="4">
        <v>1863072.66</v>
      </c>
      <c r="N131" s="4">
        <v>1863072.66</v>
      </c>
      <c r="O131" s="4">
        <v>1863072.66</v>
      </c>
      <c r="P131" s="4">
        <f t="shared" si="1"/>
        <v>1863072.66</v>
      </c>
      <c r="Q131" s="127">
        <f t="shared" si="3"/>
        <v>303.2</v>
      </c>
      <c r="R131" s="4">
        <v>3610055.5186680011</v>
      </c>
      <c r="S131" s="4">
        <v>3610055.5186680015</v>
      </c>
    </row>
    <row r="132" spans="1:19" x14ac:dyDescent="0.3">
      <c r="A132" s="84">
        <v>303.3</v>
      </c>
      <c r="B132" t="s">
        <v>349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f t="shared" si="1"/>
        <v>0</v>
      </c>
      <c r="Q132" s="127">
        <f t="shared" si="3"/>
        <v>303.3</v>
      </c>
      <c r="R132" s="4">
        <v>462799.73160000012</v>
      </c>
      <c r="S132" s="4">
        <v>462799.73160000012</v>
      </c>
    </row>
    <row r="133" spans="1:19" x14ac:dyDescent="0.3">
      <c r="A133" s="84">
        <v>303.39999999999998</v>
      </c>
      <c r="B133" t="s">
        <v>350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f t="shared" si="1"/>
        <v>0</v>
      </c>
      <c r="Q133" s="127">
        <f t="shared" si="3"/>
        <v>303.39999999999998</v>
      </c>
      <c r="R133" s="4">
        <v>76210.805232000028</v>
      </c>
      <c r="S133" s="4">
        <v>76210.805232000013</v>
      </c>
    </row>
    <row r="134" spans="1:19" x14ac:dyDescent="0.3">
      <c r="A134" s="84">
        <v>303.5</v>
      </c>
      <c r="B134" t="s">
        <v>351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f t="shared" si="1"/>
        <v>0</v>
      </c>
      <c r="Q134" s="127">
        <f t="shared" si="3"/>
        <v>303.5</v>
      </c>
    </row>
    <row r="135" spans="1:19" x14ac:dyDescent="0.3">
      <c r="A135" s="84">
        <v>304.10000000000002</v>
      </c>
      <c r="B135" t="s">
        <v>327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f t="shared" si="1"/>
        <v>0</v>
      </c>
      <c r="Q135" s="127">
        <f t="shared" si="3"/>
        <v>304.10000000000002</v>
      </c>
      <c r="R135" s="4"/>
      <c r="S135" s="4"/>
    </row>
    <row r="136" spans="1:19" x14ac:dyDescent="0.3">
      <c r="A136" s="84">
        <v>305.2</v>
      </c>
      <c r="B136" t="s">
        <v>352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f t="shared" ref="P136:P199" si="4">(C136/2+O136/2+SUM(D136:N136))/12</f>
        <v>0</v>
      </c>
      <c r="Q136" s="127">
        <f t="shared" si="3"/>
        <v>305.2</v>
      </c>
      <c r="R136" s="4"/>
      <c r="S136" s="4"/>
    </row>
    <row r="137" spans="1:19" x14ac:dyDescent="0.3">
      <c r="A137" s="84">
        <v>305.5</v>
      </c>
      <c r="B137" t="s">
        <v>353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f t="shared" si="4"/>
        <v>0</v>
      </c>
      <c r="Q137" s="127">
        <f t="shared" si="3"/>
        <v>305.5</v>
      </c>
      <c r="R137" s="4"/>
      <c r="S137" s="4"/>
    </row>
    <row r="138" spans="1:19" x14ac:dyDescent="0.3">
      <c r="A138" s="84">
        <v>312.3</v>
      </c>
      <c r="B138" t="s">
        <v>354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f t="shared" si="4"/>
        <v>0</v>
      </c>
      <c r="Q138" s="127">
        <f t="shared" si="3"/>
        <v>312.3</v>
      </c>
      <c r="R138" s="4"/>
      <c r="S138" s="4"/>
    </row>
    <row r="139" spans="1:19" x14ac:dyDescent="0.3">
      <c r="A139" s="84">
        <v>318.3</v>
      </c>
      <c r="B139" t="s">
        <v>355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f t="shared" si="4"/>
        <v>0</v>
      </c>
      <c r="Q139" s="127">
        <f t="shared" si="3"/>
        <v>318.3</v>
      </c>
      <c r="R139" s="4"/>
      <c r="S139" s="4"/>
    </row>
    <row r="140" spans="1:19" x14ac:dyDescent="0.3">
      <c r="A140" s="84">
        <v>318.5</v>
      </c>
      <c r="B140" t="s">
        <v>356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f t="shared" si="4"/>
        <v>0</v>
      </c>
      <c r="Q140" s="127">
        <f t="shared" si="3"/>
        <v>318.5</v>
      </c>
      <c r="R140" s="4"/>
      <c r="S140" s="4"/>
    </row>
    <row r="141" spans="1:19" x14ac:dyDescent="0.3">
      <c r="A141" s="84">
        <v>325</v>
      </c>
      <c r="B141" t="s">
        <v>357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f t="shared" si="4"/>
        <v>0</v>
      </c>
      <c r="Q141" s="127">
        <f t="shared" si="3"/>
        <v>325</v>
      </c>
      <c r="R141" s="4"/>
      <c r="S141" s="4"/>
    </row>
    <row r="142" spans="1:19" x14ac:dyDescent="0.3">
      <c r="A142" s="84">
        <v>327</v>
      </c>
      <c r="B142" t="s">
        <v>358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f t="shared" si="4"/>
        <v>0</v>
      </c>
      <c r="Q142" s="127">
        <f t="shared" si="3"/>
        <v>327</v>
      </c>
      <c r="R142" s="4"/>
      <c r="S142" s="4"/>
    </row>
    <row r="143" spans="1:19" x14ac:dyDescent="0.3">
      <c r="A143" s="84">
        <v>328</v>
      </c>
      <c r="B143" t="s">
        <v>357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f t="shared" si="4"/>
        <v>0</v>
      </c>
      <c r="Q143" s="127">
        <f t="shared" si="3"/>
        <v>328</v>
      </c>
      <c r="R143" s="4"/>
      <c r="S143" s="4"/>
    </row>
    <row r="144" spans="1:19" x14ac:dyDescent="0.3">
      <c r="A144" s="84">
        <v>331</v>
      </c>
      <c r="B144" t="s">
        <v>358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f t="shared" si="4"/>
        <v>0</v>
      </c>
      <c r="Q144" s="127">
        <f t="shared" si="3"/>
        <v>331</v>
      </c>
      <c r="R144" s="4"/>
      <c r="S144" s="4"/>
    </row>
    <row r="145" spans="1:19" x14ac:dyDescent="0.3">
      <c r="A145" s="84">
        <v>332</v>
      </c>
      <c r="B145" t="s">
        <v>358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f t="shared" si="4"/>
        <v>0</v>
      </c>
      <c r="Q145" s="127">
        <f t="shared" si="3"/>
        <v>332</v>
      </c>
      <c r="R145" s="4"/>
      <c r="S145" s="4"/>
    </row>
    <row r="146" spans="1:19" x14ac:dyDescent="0.3">
      <c r="A146" s="84">
        <v>333</v>
      </c>
      <c r="B146" t="s">
        <v>358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f t="shared" si="4"/>
        <v>0</v>
      </c>
      <c r="Q146" s="127">
        <f t="shared" si="3"/>
        <v>333</v>
      </c>
      <c r="R146" s="4"/>
      <c r="S146" s="4"/>
    </row>
    <row r="147" spans="1:19" x14ac:dyDescent="0.3">
      <c r="A147" s="84">
        <v>334</v>
      </c>
      <c r="B147" t="s">
        <v>358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f t="shared" si="4"/>
        <v>0</v>
      </c>
      <c r="Q147" s="127">
        <f t="shared" si="3"/>
        <v>334</v>
      </c>
      <c r="R147" s="4"/>
      <c r="S147" s="4"/>
    </row>
    <row r="148" spans="1:19" x14ac:dyDescent="0.3">
      <c r="A148" s="84">
        <v>305.11</v>
      </c>
      <c r="B148" t="s">
        <v>359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f t="shared" si="4"/>
        <v>0</v>
      </c>
      <c r="Q148" s="127">
        <f t="shared" si="3"/>
        <v>305.11</v>
      </c>
      <c r="R148" s="4"/>
      <c r="S148" s="4"/>
    </row>
    <row r="149" spans="1:19" x14ac:dyDescent="0.3">
      <c r="A149" s="84">
        <v>305.17</v>
      </c>
      <c r="B149" t="s">
        <v>360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f t="shared" si="4"/>
        <v>0</v>
      </c>
      <c r="Q149" s="127">
        <f t="shared" si="3"/>
        <v>305.17</v>
      </c>
      <c r="R149" s="4"/>
      <c r="S149" s="4"/>
    </row>
    <row r="150" spans="1:19" x14ac:dyDescent="0.3">
      <c r="A150" s="84">
        <v>311</v>
      </c>
      <c r="B150" t="s">
        <v>361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f t="shared" si="4"/>
        <v>0</v>
      </c>
      <c r="Q150" s="127">
        <f t="shared" si="3"/>
        <v>311</v>
      </c>
      <c r="R150" s="4"/>
      <c r="S150" s="4"/>
    </row>
    <row r="151" spans="1:19" x14ac:dyDescent="0.3">
      <c r="A151" s="84">
        <v>311.39999999999998</v>
      </c>
      <c r="B151" t="s">
        <v>362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f t="shared" si="4"/>
        <v>0</v>
      </c>
      <c r="Q151" s="127">
        <f t="shared" si="3"/>
        <v>311.39999999999998</v>
      </c>
      <c r="R151" s="4"/>
      <c r="S151" s="4"/>
    </row>
    <row r="152" spans="1:19" x14ac:dyDescent="0.3">
      <c r="A152" s="84">
        <v>311.7</v>
      </c>
      <c r="B152" t="s">
        <v>363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f t="shared" si="4"/>
        <v>0</v>
      </c>
      <c r="Q152" s="127">
        <f t="shared" si="3"/>
        <v>311.7</v>
      </c>
      <c r="R152" s="4"/>
      <c r="S152" s="4"/>
    </row>
    <row r="153" spans="1:19" x14ac:dyDescent="0.3">
      <c r="A153" s="84">
        <v>311.8</v>
      </c>
      <c r="B153" t="s">
        <v>364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f t="shared" si="4"/>
        <v>0</v>
      </c>
      <c r="Q153" s="127">
        <f t="shared" si="3"/>
        <v>311.8</v>
      </c>
      <c r="R153" s="4"/>
      <c r="S153" s="4"/>
    </row>
    <row r="154" spans="1:19" x14ac:dyDescent="0.3">
      <c r="A154" s="84">
        <v>319</v>
      </c>
      <c r="B154" t="s">
        <v>365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f t="shared" si="4"/>
        <v>0</v>
      </c>
      <c r="Q154" s="127">
        <f t="shared" si="3"/>
        <v>319</v>
      </c>
      <c r="R154" s="4"/>
      <c r="S154" s="4"/>
    </row>
    <row r="155" spans="1:19" x14ac:dyDescent="0.3">
      <c r="A155" s="84">
        <v>350.1</v>
      </c>
      <c r="B155" t="s">
        <v>327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f t="shared" si="4"/>
        <v>0</v>
      </c>
      <c r="Q155" s="127" t="str">
        <f>LEFT(A155,3)</f>
        <v>350</v>
      </c>
      <c r="R155" s="4">
        <v>0</v>
      </c>
      <c r="S155" s="4">
        <v>0</v>
      </c>
    </row>
    <row r="156" spans="1:19" x14ac:dyDescent="0.3">
      <c r="A156" s="84">
        <v>350.2</v>
      </c>
      <c r="B156" t="s">
        <v>366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f t="shared" si="4"/>
        <v>0</v>
      </c>
      <c r="Q156" s="127" t="str">
        <f>LEFT(A156,3)</f>
        <v>350</v>
      </c>
      <c r="R156" s="4">
        <v>3128.8040219999989</v>
      </c>
      <c r="S156" s="4">
        <v>3036.2780255833322</v>
      </c>
    </row>
    <row r="157" spans="1:19" x14ac:dyDescent="0.3">
      <c r="A157" s="84">
        <v>351</v>
      </c>
      <c r="B157" t="s">
        <v>367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f t="shared" si="4"/>
        <v>0</v>
      </c>
      <c r="Q157" s="127">
        <f t="shared" si="3"/>
        <v>351</v>
      </c>
      <c r="R157" s="4">
        <v>301188.99547999987</v>
      </c>
      <c r="S157" s="4">
        <v>294086.26834308321</v>
      </c>
    </row>
    <row r="158" spans="1:19" x14ac:dyDescent="0.3">
      <c r="A158" s="84">
        <v>352</v>
      </c>
      <c r="B158" t="s">
        <v>368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f t="shared" si="4"/>
        <v>0</v>
      </c>
      <c r="Q158" s="127" t="str">
        <f>LEFT(A158,3)</f>
        <v>352</v>
      </c>
      <c r="R158" s="4">
        <v>1266808.5094599996</v>
      </c>
      <c r="S158" s="4">
        <v>1242271.9597549993</v>
      </c>
    </row>
    <row r="159" spans="1:19" x14ac:dyDescent="0.3">
      <c r="A159" s="84">
        <v>352.1</v>
      </c>
      <c r="B159" t="s">
        <v>369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f t="shared" si="4"/>
        <v>0</v>
      </c>
      <c r="Q159" s="127" t="str">
        <f>LEFT(A159,3)</f>
        <v>352</v>
      </c>
      <c r="R159" s="4">
        <v>180059.39953399994</v>
      </c>
      <c r="S159" s="4">
        <v>176058.09122633323</v>
      </c>
    </row>
    <row r="160" spans="1:19" x14ac:dyDescent="0.3">
      <c r="A160" s="84">
        <v>352.2</v>
      </c>
      <c r="B160" t="s">
        <v>370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f t="shared" si="4"/>
        <v>0</v>
      </c>
      <c r="Q160" s="127" t="str">
        <f>LEFT(A160,3)</f>
        <v>352</v>
      </c>
      <c r="R160" s="4">
        <v>275149.33837199991</v>
      </c>
      <c r="S160" s="4">
        <v>267533.45015766652</v>
      </c>
    </row>
    <row r="161" spans="1:19" x14ac:dyDescent="0.3">
      <c r="A161" s="84">
        <v>352.3</v>
      </c>
      <c r="B161" t="s">
        <v>371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f t="shared" si="4"/>
        <v>0</v>
      </c>
      <c r="Q161" s="127" t="str">
        <f>LEFT(A161,3)</f>
        <v>352</v>
      </c>
      <c r="R161" s="4">
        <v>368003.25045199989</v>
      </c>
      <c r="S161" s="4">
        <v>361694.52818341646</v>
      </c>
    </row>
    <row r="162" spans="1:19" x14ac:dyDescent="0.3">
      <c r="A162" s="84">
        <v>353</v>
      </c>
      <c r="B162" t="s">
        <v>372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f t="shared" si="4"/>
        <v>0</v>
      </c>
      <c r="Q162" s="127">
        <f t="shared" si="3"/>
        <v>353</v>
      </c>
      <c r="R162" s="4">
        <v>341527.04952799983</v>
      </c>
      <c r="S162" s="4">
        <v>334464.53165149986</v>
      </c>
    </row>
    <row r="163" spans="1:19" x14ac:dyDescent="0.3">
      <c r="A163" s="84">
        <v>354</v>
      </c>
      <c r="B163" t="s">
        <v>373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f t="shared" si="4"/>
        <v>0</v>
      </c>
      <c r="Q163" s="127" t="str">
        <f t="shared" ref="Q163:Q168" si="5">LEFT(A163,3)</f>
        <v>354</v>
      </c>
      <c r="R163" s="4">
        <v>0</v>
      </c>
      <c r="S163" s="4">
        <v>0</v>
      </c>
    </row>
    <row r="164" spans="1:19" x14ac:dyDescent="0.3">
      <c r="A164" s="84">
        <v>354.1</v>
      </c>
      <c r="B164" t="s">
        <v>1909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>
        <f t="shared" si="4"/>
        <v>0</v>
      </c>
      <c r="Q164" s="127" t="str">
        <f t="shared" si="5"/>
        <v>354</v>
      </c>
      <c r="R164" s="4">
        <v>350390.8642079999</v>
      </c>
      <c r="S164" s="4">
        <v>344633.5273540832</v>
      </c>
    </row>
    <row r="165" spans="1:19" x14ac:dyDescent="0.3">
      <c r="A165" s="84">
        <v>354.2</v>
      </c>
      <c r="B165" t="s">
        <v>1910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>
        <f t="shared" si="4"/>
        <v>0</v>
      </c>
      <c r="Q165" s="127" t="str">
        <f t="shared" si="5"/>
        <v>354</v>
      </c>
      <c r="R165" s="4">
        <v>359014.49892999983</v>
      </c>
      <c r="S165" s="4">
        <v>353257.16372591659</v>
      </c>
    </row>
    <row r="166" spans="1:19" x14ac:dyDescent="0.3">
      <c r="A166" s="84">
        <v>354.3</v>
      </c>
      <c r="B166" t="s">
        <v>1911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>
        <f t="shared" si="4"/>
        <v>0</v>
      </c>
      <c r="Q166" s="127" t="str">
        <f t="shared" si="5"/>
        <v>354</v>
      </c>
      <c r="R166" s="4">
        <v>1134315.5596539995</v>
      </c>
      <c r="S166" s="4">
        <v>1107098.8971184995</v>
      </c>
    </row>
    <row r="167" spans="1:19" x14ac:dyDescent="0.3">
      <c r="A167" s="84">
        <v>354.4</v>
      </c>
      <c r="B167" t="s">
        <v>1912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>
        <f t="shared" si="4"/>
        <v>0</v>
      </c>
      <c r="Q167" s="127" t="str">
        <f t="shared" si="5"/>
        <v>354</v>
      </c>
      <c r="R167" s="4">
        <v>169127.26903799991</v>
      </c>
      <c r="S167" s="4">
        <v>164531.91475024994</v>
      </c>
    </row>
    <row r="168" spans="1:19" x14ac:dyDescent="0.3">
      <c r="A168" s="84">
        <v>354.6</v>
      </c>
      <c r="B168" t="s">
        <v>1913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>
        <f t="shared" si="4"/>
        <v>0</v>
      </c>
      <c r="Q168" s="127" t="str">
        <f t="shared" si="5"/>
        <v>354</v>
      </c>
      <c r="R168" s="4">
        <v>5144.3737979999978</v>
      </c>
      <c r="S168" s="4">
        <v>4242.100484083332</v>
      </c>
    </row>
    <row r="169" spans="1:19" x14ac:dyDescent="0.3">
      <c r="A169" s="84">
        <v>355</v>
      </c>
      <c r="B169" t="s">
        <v>374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f t="shared" si="4"/>
        <v>0</v>
      </c>
      <c r="Q169" s="127">
        <f t="shared" si="3"/>
        <v>355</v>
      </c>
      <c r="R169" s="4">
        <v>490185.69986999978</v>
      </c>
      <c r="S169" s="4">
        <v>481810.49210183311</v>
      </c>
    </row>
    <row r="170" spans="1:19" x14ac:dyDescent="0.3">
      <c r="A170" s="84">
        <v>356</v>
      </c>
      <c r="B170" t="s">
        <v>375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f t="shared" si="4"/>
        <v>0</v>
      </c>
      <c r="Q170" s="127">
        <f t="shared" si="3"/>
        <v>356</v>
      </c>
      <c r="R170" s="4">
        <v>24846.915135999989</v>
      </c>
      <c r="S170" s="4">
        <v>24420.288033999983</v>
      </c>
    </row>
    <row r="171" spans="1:19" x14ac:dyDescent="0.3">
      <c r="A171" s="84">
        <v>357</v>
      </c>
      <c r="B171" t="s">
        <v>376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f t="shared" si="4"/>
        <v>0</v>
      </c>
      <c r="Q171" s="127">
        <f t="shared" si="3"/>
        <v>357</v>
      </c>
      <c r="R171" s="4">
        <v>92462.275337999963</v>
      </c>
      <c r="S171" s="4">
        <v>90275.030504666633</v>
      </c>
    </row>
    <row r="172" spans="1:19" x14ac:dyDescent="0.3">
      <c r="A172" s="84">
        <v>360.11</v>
      </c>
      <c r="B172" t="s">
        <v>377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f t="shared" si="4"/>
        <v>0</v>
      </c>
      <c r="Q172" s="127" t="str">
        <f t="shared" ref="Q172:Q180" si="6">LEFT(A172,3)</f>
        <v>360</v>
      </c>
      <c r="R172" s="4">
        <v>0</v>
      </c>
      <c r="S172" s="4">
        <v>0</v>
      </c>
    </row>
    <row r="173" spans="1:19" x14ac:dyDescent="0.3">
      <c r="A173" s="84">
        <v>360.12</v>
      </c>
      <c r="B173" t="s">
        <v>378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f t="shared" si="4"/>
        <v>0</v>
      </c>
      <c r="Q173" s="127" t="str">
        <f t="shared" si="6"/>
        <v>360</v>
      </c>
      <c r="R173" s="4">
        <v>0</v>
      </c>
      <c r="S173" s="4">
        <v>0</v>
      </c>
    </row>
    <row r="174" spans="1:19" x14ac:dyDescent="0.3">
      <c r="A174" s="84">
        <v>360.2</v>
      </c>
      <c r="B174" t="s">
        <v>379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f t="shared" si="4"/>
        <v>0</v>
      </c>
      <c r="Q174" s="127" t="str">
        <f t="shared" si="6"/>
        <v>360</v>
      </c>
      <c r="R174" s="4">
        <v>0</v>
      </c>
      <c r="S174" s="4">
        <v>0</v>
      </c>
    </row>
    <row r="175" spans="1:19" x14ac:dyDescent="0.3">
      <c r="A175" s="84">
        <v>361.11</v>
      </c>
      <c r="B175" t="s">
        <v>329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 t="shared" si="4"/>
        <v>0</v>
      </c>
      <c r="Q175" s="127" t="str">
        <f t="shared" si="6"/>
        <v>361</v>
      </c>
      <c r="R175" s="4">
        <v>277008.39766399987</v>
      </c>
      <c r="S175" s="4">
        <v>262385.11163649993</v>
      </c>
    </row>
    <row r="176" spans="1:19" x14ac:dyDescent="0.3">
      <c r="A176" s="84">
        <v>361.12</v>
      </c>
      <c r="B176" t="s">
        <v>329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f t="shared" si="4"/>
        <v>0</v>
      </c>
      <c r="Q176" s="127" t="str">
        <f t="shared" si="6"/>
        <v>361</v>
      </c>
      <c r="R176" s="4">
        <v>261362.48007199992</v>
      </c>
      <c r="S176" s="4">
        <v>255949.35163683325</v>
      </c>
    </row>
    <row r="177" spans="1:19" x14ac:dyDescent="0.3">
      <c r="A177" s="84">
        <v>361.2</v>
      </c>
      <c r="B177" t="s">
        <v>380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f t="shared" si="4"/>
        <v>0</v>
      </c>
      <c r="Q177" s="127" t="str">
        <f t="shared" si="6"/>
        <v>361</v>
      </c>
      <c r="R177" s="4">
        <v>1226.8205819999994</v>
      </c>
      <c r="S177" s="4">
        <v>1202.5643415833326</v>
      </c>
    </row>
    <row r="178" spans="1:19" x14ac:dyDescent="0.3">
      <c r="A178" s="84">
        <v>362.11</v>
      </c>
      <c r="B178" t="s">
        <v>381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f t="shared" si="4"/>
        <v>0</v>
      </c>
      <c r="Q178" s="127" t="str">
        <f t="shared" si="6"/>
        <v>362</v>
      </c>
      <c r="R178" s="4">
        <v>252596.96350399993</v>
      </c>
      <c r="S178" s="4">
        <v>247023.45789649989</v>
      </c>
    </row>
    <row r="179" spans="1:19" x14ac:dyDescent="0.3">
      <c r="A179" s="84">
        <v>362.12</v>
      </c>
      <c r="B179" t="s">
        <v>382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f t="shared" si="4"/>
        <v>0</v>
      </c>
      <c r="Q179" s="127" t="str">
        <f t="shared" si="6"/>
        <v>362</v>
      </c>
      <c r="R179" s="4">
        <v>610245.87975399976</v>
      </c>
      <c r="S179" s="4">
        <v>601850.23250458296</v>
      </c>
    </row>
    <row r="180" spans="1:19" x14ac:dyDescent="0.3">
      <c r="A180" s="84">
        <v>362.2</v>
      </c>
      <c r="B180" t="s">
        <v>383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f t="shared" si="4"/>
        <v>0</v>
      </c>
      <c r="Q180" s="127" t="str">
        <f t="shared" si="6"/>
        <v>362</v>
      </c>
      <c r="R180" s="4">
        <v>128.07742999999996</v>
      </c>
      <c r="S180" s="4">
        <v>126.9874545833333</v>
      </c>
    </row>
    <row r="181" spans="1:19" x14ac:dyDescent="0.3">
      <c r="A181" s="84">
        <v>363.11</v>
      </c>
      <c r="B181" t="s">
        <v>384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f t="shared" si="4"/>
        <v>0</v>
      </c>
      <c r="Q181" s="127" t="str">
        <f>LEFT(A181,5)</f>
        <v>363.1</v>
      </c>
      <c r="R181" s="4">
        <v>274427.8982099999</v>
      </c>
      <c r="S181" s="4">
        <v>270027.15231416654</v>
      </c>
    </row>
    <row r="182" spans="1:19" x14ac:dyDescent="0.3">
      <c r="A182" s="84">
        <v>363.12</v>
      </c>
      <c r="B182" t="s">
        <v>385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f t="shared" si="4"/>
        <v>0</v>
      </c>
      <c r="Q182" s="127" t="str">
        <f t="shared" ref="Q182:Q188" si="7">LEFT(A182,5)</f>
        <v>363.1</v>
      </c>
      <c r="R182" s="4">
        <v>751902.26300399972</v>
      </c>
      <c r="S182" s="4">
        <v>748981.43523533305</v>
      </c>
    </row>
    <row r="183" spans="1:19" x14ac:dyDescent="0.3">
      <c r="A183" s="84">
        <v>363.21</v>
      </c>
      <c r="B183" t="s">
        <v>386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f t="shared" si="4"/>
        <v>0</v>
      </c>
      <c r="Q183" s="127" t="str">
        <f t="shared" si="7"/>
        <v>363.2</v>
      </c>
      <c r="R183" s="4">
        <v>254592.97493999993</v>
      </c>
      <c r="S183" s="4">
        <v>258284.46299974993</v>
      </c>
    </row>
    <row r="184" spans="1:19" x14ac:dyDescent="0.3">
      <c r="A184" s="84">
        <v>363.22</v>
      </c>
      <c r="B184" t="s">
        <v>387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f t="shared" si="4"/>
        <v>0</v>
      </c>
      <c r="Q184" s="127" t="str">
        <f t="shared" si="7"/>
        <v>363.2</v>
      </c>
      <c r="R184" s="4">
        <v>30554.107519999987</v>
      </c>
      <c r="S184" s="4">
        <v>80926.887191166636</v>
      </c>
    </row>
    <row r="185" spans="1:19" x14ac:dyDescent="0.3">
      <c r="A185" s="84">
        <v>363.31</v>
      </c>
      <c r="B185" t="s">
        <v>388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f t="shared" si="4"/>
        <v>0</v>
      </c>
      <c r="Q185" s="127" t="str">
        <f t="shared" si="7"/>
        <v>363.3</v>
      </c>
      <c r="R185" s="4">
        <v>21558.661147999992</v>
      </c>
      <c r="S185" s="4">
        <v>21558.661147999988</v>
      </c>
    </row>
    <row r="186" spans="1:19" x14ac:dyDescent="0.3">
      <c r="A186" s="84">
        <v>363.32</v>
      </c>
      <c r="B186" t="s">
        <v>389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f t="shared" si="4"/>
        <v>0</v>
      </c>
      <c r="Q186" s="127" t="str">
        <f t="shared" si="7"/>
        <v>363.3</v>
      </c>
      <c r="R186" s="4">
        <v>73772.462135999973</v>
      </c>
      <c r="S186" s="4">
        <v>63020.834912083294</v>
      </c>
    </row>
    <row r="187" spans="1:19" x14ac:dyDescent="0.3">
      <c r="A187" s="84">
        <v>363.41</v>
      </c>
      <c r="B187" t="s">
        <v>390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f t="shared" si="4"/>
        <v>0</v>
      </c>
      <c r="Q187" s="127" t="str">
        <f t="shared" si="7"/>
        <v>363.4</v>
      </c>
      <c r="R187" s="4">
        <v>63708.57292999998</v>
      </c>
      <c r="S187" s="4">
        <v>63537.233092749986</v>
      </c>
    </row>
    <row r="188" spans="1:19" x14ac:dyDescent="0.3">
      <c r="A188" s="84">
        <v>363.42</v>
      </c>
      <c r="B188" t="s">
        <v>390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f t="shared" si="4"/>
        <v>0</v>
      </c>
      <c r="Q188" s="127" t="str">
        <f t="shared" si="7"/>
        <v>363.4</v>
      </c>
      <c r="R188" s="4">
        <v>25766.887557999988</v>
      </c>
      <c r="S188" s="4">
        <v>22034.467350333325</v>
      </c>
    </row>
    <row r="189" spans="1:19" x14ac:dyDescent="0.3">
      <c r="A189" s="84">
        <v>363.5</v>
      </c>
      <c r="B189" t="s">
        <v>391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f t="shared" si="4"/>
        <v>0</v>
      </c>
      <c r="Q189" s="127">
        <f t="shared" si="3"/>
        <v>363.5</v>
      </c>
      <c r="R189" s="4">
        <v>158740.80915099996</v>
      </c>
      <c r="S189" s="4">
        <v>156962.15049291664</v>
      </c>
    </row>
    <row r="190" spans="1:19" x14ac:dyDescent="0.3">
      <c r="A190" s="84">
        <v>363.6</v>
      </c>
      <c r="B190" t="s">
        <v>392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f t="shared" si="4"/>
        <v>0</v>
      </c>
      <c r="Q190" s="127">
        <f t="shared" si="3"/>
        <v>363.6</v>
      </c>
      <c r="R190" s="4">
        <v>82894.92329999998</v>
      </c>
      <c r="S190" s="4">
        <v>82894.92329999998</v>
      </c>
    </row>
    <row r="191" spans="1:19" x14ac:dyDescent="0.3">
      <c r="A191" s="84">
        <v>365.1</v>
      </c>
      <c r="B191" t="s">
        <v>327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f t="shared" si="4"/>
        <v>0</v>
      </c>
      <c r="Q191" s="127" t="str">
        <f>LEFT(A191,3)</f>
        <v>365</v>
      </c>
      <c r="R191" s="4"/>
      <c r="S191" s="4"/>
    </row>
    <row r="192" spans="1:19" x14ac:dyDescent="0.3">
      <c r="A192" s="84">
        <v>365.2</v>
      </c>
      <c r="B192" t="s">
        <v>328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f t="shared" si="4"/>
        <v>0</v>
      </c>
      <c r="Q192" s="127" t="str">
        <f>LEFT(A192,3)</f>
        <v>365</v>
      </c>
      <c r="R192" s="4"/>
      <c r="S192" s="4"/>
    </row>
    <row r="193" spans="1:19" x14ac:dyDescent="0.3">
      <c r="A193" s="84">
        <v>366.3</v>
      </c>
      <c r="B193" t="s">
        <v>380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f t="shared" si="4"/>
        <v>0</v>
      </c>
      <c r="Q193" s="127" t="str">
        <f>LEFT(A193,3)</f>
        <v>366</v>
      </c>
      <c r="R193" s="4"/>
      <c r="S193" s="4"/>
    </row>
    <row r="194" spans="1:19" x14ac:dyDescent="0.3">
      <c r="A194" s="84">
        <v>367</v>
      </c>
      <c r="B194" t="s">
        <v>326</v>
      </c>
      <c r="C194" s="4">
        <v>142343.25</v>
      </c>
      <c r="D194" s="4">
        <v>144247.47</v>
      </c>
      <c r="E194" s="4">
        <v>146151.71</v>
      </c>
      <c r="F194" s="4">
        <v>148055.94</v>
      </c>
      <c r="G194" s="4">
        <v>149960.45000000001</v>
      </c>
      <c r="H194" s="4">
        <v>151865.25</v>
      </c>
      <c r="I194" s="4">
        <v>153770.06</v>
      </c>
      <c r="J194" s="4">
        <v>155674.84</v>
      </c>
      <c r="K194" s="4">
        <v>157579.62</v>
      </c>
      <c r="L194" s="4">
        <v>159484.42000000001</v>
      </c>
      <c r="M194" s="4">
        <v>161389.22</v>
      </c>
      <c r="N194" s="4">
        <v>163293.99</v>
      </c>
      <c r="O194" s="4">
        <v>165198.81</v>
      </c>
      <c r="P194" s="4">
        <f t="shared" si="4"/>
        <v>153770.33333333334</v>
      </c>
      <c r="Q194" s="127">
        <f t="shared" ref="Q194:Q246" si="8">A194</f>
        <v>367</v>
      </c>
      <c r="R194" s="4">
        <f>+O194</f>
        <v>165198.81</v>
      </c>
      <c r="S194" s="4">
        <f>+P194</f>
        <v>153770.33333333334</v>
      </c>
    </row>
    <row r="195" spans="1:19" x14ac:dyDescent="0.3">
      <c r="A195" s="84">
        <v>367.21</v>
      </c>
      <c r="B195" t="s">
        <v>393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f t="shared" si="4"/>
        <v>0</v>
      </c>
      <c r="Q195" s="127" t="str">
        <f t="shared" ref="Q195:Q200" si="9">LEFT(A195,5)</f>
        <v>367.2</v>
      </c>
      <c r="R195" s="4">
        <v>121651.31492599995</v>
      </c>
      <c r="S195" s="4">
        <v>119043.57720124997</v>
      </c>
    </row>
    <row r="196" spans="1:19" x14ac:dyDescent="0.3">
      <c r="A196" s="84">
        <v>367.22</v>
      </c>
      <c r="B196" t="s">
        <v>394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f t="shared" si="4"/>
        <v>0</v>
      </c>
      <c r="Q196" s="127" t="str">
        <f t="shared" si="9"/>
        <v>367.2</v>
      </c>
      <c r="R196" s="4">
        <v>1140447.7327799995</v>
      </c>
      <c r="S196" s="4">
        <v>1121292.6275464161</v>
      </c>
    </row>
    <row r="197" spans="1:19" x14ac:dyDescent="0.3">
      <c r="A197" s="84">
        <v>367.23</v>
      </c>
      <c r="B197" t="s">
        <v>394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f t="shared" si="4"/>
        <v>0</v>
      </c>
      <c r="Q197" s="127" t="str">
        <f t="shared" si="9"/>
        <v>367.2</v>
      </c>
      <c r="R197" s="4">
        <v>1499119.4053739994</v>
      </c>
      <c r="S197" s="4">
        <v>1450608.0349219162</v>
      </c>
    </row>
    <row r="198" spans="1:19" x14ac:dyDescent="0.3">
      <c r="A198" s="84">
        <v>367.24</v>
      </c>
      <c r="B198" t="s">
        <v>395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f t="shared" si="4"/>
        <v>0</v>
      </c>
      <c r="Q198" s="127" t="str">
        <f t="shared" si="9"/>
        <v>367.2</v>
      </c>
      <c r="R198" s="4">
        <v>631812.64974599972</v>
      </c>
      <c r="S198" s="4">
        <v>608249.52962458308</v>
      </c>
    </row>
    <row r="199" spans="1:19" x14ac:dyDescent="0.3">
      <c r="A199" s="84">
        <v>367.25</v>
      </c>
      <c r="B199" t="s">
        <v>396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f t="shared" si="4"/>
        <v>0</v>
      </c>
      <c r="Q199" s="127" t="str">
        <f t="shared" si="9"/>
        <v>367.2</v>
      </c>
      <c r="R199" s="4">
        <v>641599.74311399972</v>
      </c>
      <c r="S199" s="4">
        <v>616294.64355866634</v>
      </c>
    </row>
    <row r="200" spans="1:19" x14ac:dyDescent="0.3">
      <c r="A200" s="84">
        <v>367.26</v>
      </c>
      <c r="B200" t="s">
        <v>397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f t="shared" ref="P200:P263" si="10">(C200/2+O200/2+SUM(D200:N200))/12</f>
        <v>0</v>
      </c>
      <c r="Q200" s="127" t="str">
        <f t="shared" si="9"/>
        <v>367.2</v>
      </c>
      <c r="R200" s="4">
        <v>1217806.8631159996</v>
      </c>
      <c r="S200" s="4">
        <v>1170102.4397800828</v>
      </c>
    </row>
    <row r="201" spans="1:19" x14ac:dyDescent="0.3">
      <c r="A201" s="84">
        <v>368</v>
      </c>
      <c r="B201" t="s">
        <v>398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f t="shared" si="10"/>
        <v>0</v>
      </c>
      <c r="Q201" s="127">
        <f t="shared" si="8"/>
        <v>368</v>
      </c>
      <c r="R201" s="4"/>
      <c r="S201" s="4"/>
    </row>
    <row r="202" spans="1:19" x14ac:dyDescent="0.3">
      <c r="A202" s="84">
        <v>369</v>
      </c>
      <c r="B202" t="s">
        <v>399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f t="shared" si="10"/>
        <v>0</v>
      </c>
      <c r="Q202" s="127">
        <f t="shared" si="8"/>
        <v>369</v>
      </c>
      <c r="R202" s="4"/>
      <c r="S202" s="4"/>
    </row>
    <row r="203" spans="1:19" x14ac:dyDescent="0.3">
      <c r="A203" s="84">
        <v>374.1</v>
      </c>
      <c r="B203" t="s">
        <v>327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f t="shared" si="10"/>
        <v>0</v>
      </c>
      <c r="Q203" s="127">
        <f t="shared" si="8"/>
        <v>374.1</v>
      </c>
      <c r="R203" s="4">
        <f>+O203</f>
        <v>0</v>
      </c>
      <c r="S203" s="4">
        <f>+P203</f>
        <v>0</v>
      </c>
    </row>
    <row r="204" spans="1:19" x14ac:dyDescent="0.3">
      <c r="A204" s="84">
        <v>374.2</v>
      </c>
      <c r="B204" t="s">
        <v>328</v>
      </c>
      <c r="C204" s="4">
        <v>22040.36</v>
      </c>
      <c r="D204" s="4">
        <v>22213.34</v>
      </c>
      <c r="E204" s="4">
        <v>22386.35</v>
      </c>
      <c r="F204" s="4">
        <v>22559.35</v>
      </c>
      <c r="G204" s="4">
        <v>22732.37</v>
      </c>
      <c r="H204" s="4">
        <v>22905.34</v>
      </c>
      <c r="I204" s="4">
        <v>23078.35</v>
      </c>
      <c r="J204" s="4">
        <v>23251.35</v>
      </c>
      <c r="K204" s="4">
        <v>23424.33</v>
      </c>
      <c r="L204" s="4">
        <v>23597.32</v>
      </c>
      <c r="M204" s="4">
        <v>23770.31</v>
      </c>
      <c r="N204" s="4">
        <v>23943.3</v>
      </c>
      <c r="O204" s="4">
        <v>24116.32</v>
      </c>
      <c r="P204" s="4">
        <f t="shared" si="10"/>
        <v>23078.337500000005</v>
      </c>
      <c r="Q204" s="127">
        <f t="shared" si="8"/>
        <v>374.2</v>
      </c>
      <c r="R204" s="4">
        <f t="shared" ref="R204:S223" si="11">+O204</f>
        <v>24116.32</v>
      </c>
      <c r="S204" s="4">
        <f t="shared" si="11"/>
        <v>23078.337500000005</v>
      </c>
    </row>
    <row r="205" spans="1:19" x14ac:dyDescent="0.3">
      <c r="A205" s="84">
        <v>375</v>
      </c>
      <c r="B205" t="s">
        <v>329</v>
      </c>
      <c r="C205" s="4">
        <v>35471.919999999998</v>
      </c>
      <c r="D205" s="4">
        <v>35952.53</v>
      </c>
      <c r="E205" s="4">
        <v>36442.730000000003</v>
      </c>
      <c r="F205" s="4">
        <v>36932.94</v>
      </c>
      <c r="G205" s="4">
        <v>37423.379999999997</v>
      </c>
      <c r="H205" s="4">
        <v>37913.81</v>
      </c>
      <c r="I205" s="4">
        <v>38404.26</v>
      </c>
      <c r="J205" s="4">
        <v>38894.69</v>
      </c>
      <c r="K205" s="4">
        <v>39385.129999999997</v>
      </c>
      <c r="L205" s="4">
        <v>39875.56</v>
      </c>
      <c r="M205" s="4">
        <v>40366.01</v>
      </c>
      <c r="N205" s="4">
        <v>40856.449999999997</v>
      </c>
      <c r="O205" s="4">
        <v>41346.879999999997</v>
      </c>
      <c r="P205" s="4">
        <f t="shared" si="10"/>
        <v>38404.740833333337</v>
      </c>
      <c r="Q205" s="127">
        <f t="shared" si="8"/>
        <v>375</v>
      </c>
      <c r="R205" s="4">
        <f t="shared" si="11"/>
        <v>41346.879999999997</v>
      </c>
      <c r="S205" s="4">
        <f t="shared" si="11"/>
        <v>38404.740833333337</v>
      </c>
    </row>
    <row r="206" spans="1:19" x14ac:dyDescent="0.3">
      <c r="A206" s="84">
        <v>376.11</v>
      </c>
      <c r="B206" t="s">
        <v>330</v>
      </c>
      <c r="C206" s="4">
        <v>37122174.960000001</v>
      </c>
      <c r="D206" s="4">
        <v>37292405.200000003</v>
      </c>
      <c r="E206" s="4">
        <v>37461147.039999999</v>
      </c>
      <c r="F206" s="4">
        <v>37627824.920000002</v>
      </c>
      <c r="G206" s="4">
        <v>37801235.93</v>
      </c>
      <c r="H206" s="4">
        <v>37976424.520000003</v>
      </c>
      <c r="I206" s="4">
        <v>38152485.439999998</v>
      </c>
      <c r="J206" s="4">
        <v>38329562.350000001</v>
      </c>
      <c r="K206" s="4">
        <v>38497812.039999999</v>
      </c>
      <c r="L206" s="4">
        <v>38666948.890000001</v>
      </c>
      <c r="M206" s="4">
        <v>38844660.530000001</v>
      </c>
      <c r="N206" s="4">
        <v>39026628.869999997</v>
      </c>
      <c r="O206" s="4">
        <v>39193675.950000003</v>
      </c>
      <c r="P206" s="4">
        <f t="shared" si="10"/>
        <v>38152921.765416667</v>
      </c>
      <c r="Q206" s="127">
        <f t="shared" si="8"/>
        <v>376.11</v>
      </c>
      <c r="R206" s="4">
        <f t="shared" si="11"/>
        <v>39193675.950000003</v>
      </c>
      <c r="S206" s="4">
        <f t="shared" si="11"/>
        <v>38152921.765416667</v>
      </c>
    </row>
    <row r="207" spans="1:19" x14ac:dyDescent="0.3">
      <c r="A207" s="84">
        <v>376.12</v>
      </c>
      <c r="B207" t="s">
        <v>331</v>
      </c>
      <c r="C207" s="4">
        <v>26983638.489999998</v>
      </c>
      <c r="D207" s="4">
        <v>27041908.440000001</v>
      </c>
      <c r="E207" s="4">
        <v>27162012.780000001</v>
      </c>
      <c r="F207" s="4">
        <v>27342291.510000002</v>
      </c>
      <c r="G207" s="4">
        <v>27524418.68</v>
      </c>
      <c r="H207" s="4">
        <v>27706691.899999999</v>
      </c>
      <c r="I207" s="4">
        <v>27889477.140000001</v>
      </c>
      <c r="J207" s="4">
        <v>28073276</v>
      </c>
      <c r="K207" s="4">
        <v>28230659.550000001</v>
      </c>
      <c r="L207" s="4">
        <v>28418004.84</v>
      </c>
      <c r="M207" s="4">
        <v>28231376.82</v>
      </c>
      <c r="N207" s="4">
        <v>28420802.140000001</v>
      </c>
      <c r="O207" s="4">
        <v>28598124.899999999</v>
      </c>
      <c r="P207" s="4">
        <f t="shared" si="10"/>
        <v>27819316.791250002</v>
      </c>
      <c r="Q207" s="127">
        <f t="shared" si="8"/>
        <v>376.12</v>
      </c>
      <c r="R207" s="4">
        <f t="shared" si="11"/>
        <v>28598124.899999999</v>
      </c>
      <c r="S207" s="4">
        <f t="shared" si="11"/>
        <v>27819316.791250002</v>
      </c>
    </row>
    <row r="208" spans="1:19" x14ac:dyDescent="0.3">
      <c r="A208" s="84">
        <v>377</v>
      </c>
      <c r="B208" t="s">
        <v>373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f t="shared" si="10"/>
        <v>0</v>
      </c>
      <c r="Q208" s="127">
        <f t="shared" si="8"/>
        <v>377</v>
      </c>
      <c r="R208" s="4">
        <f t="shared" si="11"/>
        <v>0</v>
      </c>
      <c r="S208" s="4">
        <f t="shared" si="11"/>
        <v>0</v>
      </c>
    </row>
    <row r="209" spans="1:27" x14ac:dyDescent="0.3">
      <c r="A209" s="84">
        <v>378</v>
      </c>
      <c r="B209" t="s">
        <v>332</v>
      </c>
      <c r="C209" s="4">
        <v>868598.9</v>
      </c>
      <c r="D209" s="4">
        <v>872685.08</v>
      </c>
      <c r="E209" s="4">
        <v>876772.81</v>
      </c>
      <c r="F209" s="4">
        <v>880861.94</v>
      </c>
      <c r="G209" s="4">
        <v>884958.59</v>
      </c>
      <c r="H209" s="4">
        <v>889062.42</v>
      </c>
      <c r="I209" s="4">
        <v>893841.19</v>
      </c>
      <c r="J209" s="4">
        <v>899325.32</v>
      </c>
      <c r="K209" s="4">
        <v>904863.43</v>
      </c>
      <c r="L209" s="4">
        <v>910450.72</v>
      </c>
      <c r="M209" s="4">
        <v>916055.43</v>
      </c>
      <c r="N209" s="4">
        <v>921678.61</v>
      </c>
      <c r="O209" s="4">
        <v>927324.37</v>
      </c>
      <c r="P209" s="4">
        <f t="shared" si="10"/>
        <v>895709.76458333328</v>
      </c>
      <c r="Q209" s="127">
        <f t="shared" si="8"/>
        <v>378</v>
      </c>
      <c r="R209" s="4">
        <f t="shared" si="11"/>
        <v>927324.37</v>
      </c>
      <c r="S209" s="4">
        <f t="shared" si="11"/>
        <v>895709.76458333328</v>
      </c>
    </row>
    <row r="210" spans="1:27" x14ac:dyDescent="0.3">
      <c r="A210" s="84">
        <v>379</v>
      </c>
      <c r="B210" t="s">
        <v>333</v>
      </c>
      <c r="C210" s="4">
        <v>732696.58</v>
      </c>
      <c r="D210" s="4">
        <v>737264.2</v>
      </c>
      <c r="E210" s="4">
        <v>741857.1</v>
      </c>
      <c r="F210" s="4">
        <v>746476.02</v>
      </c>
      <c r="G210" s="4">
        <v>751099.59</v>
      </c>
      <c r="H210" s="4">
        <v>755723.28</v>
      </c>
      <c r="I210" s="4">
        <v>760347.06</v>
      </c>
      <c r="J210" s="4">
        <v>765004.04</v>
      </c>
      <c r="K210" s="4">
        <v>769694.2</v>
      </c>
      <c r="L210" s="4">
        <v>774384.34</v>
      </c>
      <c r="M210" s="4">
        <v>779074.52</v>
      </c>
      <c r="N210" s="4">
        <v>783838.2</v>
      </c>
      <c r="O210" s="4">
        <v>788887.86</v>
      </c>
      <c r="P210" s="4">
        <f t="shared" si="10"/>
        <v>760462.89749999996</v>
      </c>
      <c r="Q210" s="127">
        <f t="shared" si="8"/>
        <v>379</v>
      </c>
      <c r="R210" s="4">
        <f t="shared" si="11"/>
        <v>788887.86</v>
      </c>
      <c r="S210" s="4">
        <f t="shared" si="11"/>
        <v>760462.89749999996</v>
      </c>
    </row>
    <row r="211" spans="1:27" x14ac:dyDescent="0.3">
      <c r="A211" s="84">
        <v>380</v>
      </c>
      <c r="B211" t="s">
        <v>334</v>
      </c>
      <c r="C211" s="4">
        <v>32716696.800000001</v>
      </c>
      <c r="D211" s="4">
        <v>32869524.030000001</v>
      </c>
      <c r="E211" s="4">
        <v>33024370.34</v>
      </c>
      <c r="F211" s="4">
        <v>33169057.52</v>
      </c>
      <c r="G211" s="4">
        <v>33277663.670000002</v>
      </c>
      <c r="H211" s="4">
        <v>33434845.079999998</v>
      </c>
      <c r="I211" s="4">
        <v>33584035.350000001</v>
      </c>
      <c r="J211" s="4">
        <v>33732484.520000003</v>
      </c>
      <c r="K211" s="4">
        <v>33895385.950000003</v>
      </c>
      <c r="L211" s="4">
        <v>34058547.200000003</v>
      </c>
      <c r="M211" s="4">
        <v>34222820.200000003</v>
      </c>
      <c r="N211" s="4">
        <v>34388120.369999997</v>
      </c>
      <c r="O211" s="4">
        <v>34553068.850000001</v>
      </c>
      <c r="P211" s="4">
        <f t="shared" si="10"/>
        <v>33607644.754583329</v>
      </c>
      <c r="Q211" s="127">
        <f t="shared" si="8"/>
        <v>380</v>
      </c>
      <c r="R211" s="4">
        <f>+O211</f>
        <v>34553068.850000001</v>
      </c>
      <c r="S211" s="4">
        <f>+P211</f>
        <v>33607644.754583329</v>
      </c>
    </row>
    <row r="212" spans="1:27" x14ac:dyDescent="0.3">
      <c r="A212" s="84">
        <v>381</v>
      </c>
      <c r="B212" t="s">
        <v>335</v>
      </c>
      <c r="C212" s="4">
        <v>2676936.12</v>
      </c>
      <c r="D212" s="4">
        <v>2693179.24</v>
      </c>
      <c r="E212" s="4">
        <v>2710265.76</v>
      </c>
      <c r="F212" s="4">
        <v>2721677.68</v>
      </c>
      <c r="G212" s="4">
        <v>2739163.74</v>
      </c>
      <c r="H212" s="4">
        <v>2760473.41</v>
      </c>
      <c r="I212" s="4">
        <v>2775998.65</v>
      </c>
      <c r="J212" s="4">
        <v>2787666.3</v>
      </c>
      <c r="K212" s="4">
        <v>2791839.99</v>
      </c>
      <c r="L212" s="4">
        <v>2790416.32</v>
      </c>
      <c r="M212" s="4">
        <v>2804348.77</v>
      </c>
      <c r="N212" s="4">
        <v>2813719.69</v>
      </c>
      <c r="O212" s="4">
        <v>2832090.38</v>
      </c>
      <c r="P212" s="4">
        <f t="shared" si="10"/>
        <v>2761938.5666666669</v>
      </c>
      <c r="Q212" s="127">
        <f t="shared" si="8"/>
        <v>381</v>
      </c>
      <c r="R212" s="4">
        <f t="shared" si="11"/>
        <v>2832090.38</v>
      </c>
      <c r="S212" s="4">
        <f t="shared" si="11"/>
        <v>2761938.5666666669</v>
      </c>
    </row>
    <row r="213" spans="1:27" x14ac:dyDescent="0.3">
      <c r="A213" s="84">
        <v>381.1</v>
      </c>
      <c r="B213" t="s">
        <v>401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f t="shared" si="10"/>
        <v>0</v>
      </c>
      <c r="Q213" s="127">
        <f t="shared" si="8"/>
        <v>381.1</v>
      </c>
      <c r="R213" s="4">
        <f t="shared" si="11"/>
        <v>0</v>
      </c>
      <c r="S213" s="4">
        <f t="shared" si="11"/>
        <v>0</v>
      </c>
    </row>
    <row r="214" spans="1:27" x14ac:dyDescent="0.3">
      <c r="A214" s="84">
        <v>381.2</v>
      </c>
      <c r="B214" t="s">
        <v>336</v>
      </c>
      <c r="C214" s="4">
        <v>4185308</v>
      </c>
      <c r="D214" s="4">
        <v>4218868.2699999996</v>
      </c>
      <c r="E214" s="4">
        <v>4253458.72</v>
      </c>
      <c r="F214" s="4">
        <v>4293762.8899999997</v>
      </c>
      <c r="G214" s="4">
        <v>4317774.6100000003</v>
      </c>
      <c r="H214" s="4">
        <v>4345084.6900000004</v>
      </c>
      <c r="I214" s="4">
        <v>4379615.34</v>
      </c>
      <c r="J214" s="4">
        <v>4399341.24</v>
      </c>
      <c r="K214" s="4">
        <v>4432251.83</v>
      </c>
      <c r="L214" s="4">
        <v>4451080.5599999996</v>
      </c>
      <c r="M214" s="4">
        <v>4476217.5599999996</v>
      </c>
      <c r="N214" s="4">
        <v>4510596.09</v>
      </c>
      <c r="O214" s="4">
        <v>4547760.6100000003</v>
      </c>
      <c r="P214" s="4">
        <f t="shared" si="10"/>
        <v>4370382.1754166661</v>
      </c>
      <c r="Q214" s="127">
        <f t="shared" si="8"/>
        <v>381.2</v>
      </c>
      <c r="R214" s="4">
        <f t="shared" si="11"/>
        <v>4547760.6100000003</v>
      </c>
      <c r="S214" s="4">
        <f t="shared" si="11"/>
        <v>4370382.1754166661</v>
      </c>
    </row>
    <row r="215" spans="1:27" x14ac:dyDescent="0.3">
      <c r="A215" s="84">
        <v>382</v>
      </c>
      <c r="B215" t="s">
        <v>337</v>
      </c>
      <c r="C215" s="4">
        <v>1295121.19</v>
      </c>
      <c r="D215" s="4">
        <v>1300555.51</v>
      </c>
      <c r="E215" s="4">
        <v>1305558.2</v>
      </c>
      <c r="F215" s="4">
        <v>1302949.22</v>
      </c>
      <c r="G215" s="4">
        <v>1308143.6200000001</v>
      </c>
      <c r="H215" s="4">
        <v>1296211.83</v>
      </c>
      <c r="I215" s="4">
        <v>1287146.1299999999</v>
      </c>
      <c r="J215" s="4">
        <v>1276814.82</v>
      </c>
      <c r="K215" s="4">
        <v>1256899.06</v>
      </c>
      <c r="L215" s="4">
        <v>1233362.1399999999</v>
      </c>
      <c r="M215" s="4">
        <v>1232019.6599999999</v>
      </c>
      <c r="N215" s="4">
        <v>1221259.24</v>
      </c>
      <c r="O215" s="4">
        <v>1229811.1200000001</v>
      </c>
      <c r="P215" s="4">
        <f t="shared" si="10"/>
        <v>1273615.4654166668</v>
      </c>
      <c r="Q215" s="127">
        <f t="shared" si="8"/>
        <v>382</v>
      </c>
      <c r="R215" s="4">
        <f t="shared" si="11"/>
        <v>1229811.1200000001</v>
      </c>
      <c r="S215" s="4">
        <f t="shared" si="11"/>
        <v>1273615.4654166668</v>
      </c>
    </row>
    <row r="216" spans="1:27" x14ac:dyDescent="0.3">
      <c r="A216" s="84">
        <v>382.1</v>
      </c>
      <c r="B216" t="s">
        <v>402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f t="shared" si="10"/>
        <v>0</v>
      </c>
      <c r="Q216" s="127">
        <f t="shared" si="8"/>
        <v>382.1</v>
      </c>
      <c r="R216" s="4">
        <f t="shared" si="11"/>
        <v>0</v>
      </c>
      <c r="S216" s="4">
        <f t="shared" si="11"/>
        <v>0</v>
      </c>
    </row>
    <row r="217" spans="1:27" x14ac:dyDescent="0.3">
      <c r="A217" s="84">
        <v>382.2</v>
      </c>
      <c r="B217" t="s">
        <v>338</v>
      </c>
      <c r="C217" s="4">
        <v>652234.81999999995</v>
      </c>
      <c r="D217" s="4">
        <v>657067.59</v>
      </c>
      <c r="E217" s="4">
        <v>661966.68000000005</v>
      </c>
      <c r="F217" s="4">
        <v>666832.17000000004</v>
      </c>
      <c r="G217" s="4">
        <v>671679.5</v>
      </c>
      <c r="H217" s="4">
        <v>676270.18</v>
      </c>
      <c r="I217" s="4">
        <v>680976.77</v>
      </c>
      <c r="J217" s="4">
        <v>684995.78</v>
      </c>
      <c r="K217" s="4">
        <v>689310.78</v>
      </c>
      <c r="L217" s="4">
        <v>693291.16</v>
      </c>
      <c r="M217" s="4">
        <v>697913.44</v>
      </c>
      <c r="N217" s="4">
        <v>702441.26</v>
      </c>
      <c r="O217" s="4">
        <v>707363.81</v>
      </c>
      <c r="P217" s="4">
        <f t="shared" si="10"/>
        <v>680212.05208333337</v>
      </c>
      <c r="Q217" s="127">
        <f t="shared" si="8"/>
        <v>382.2</v>
      </c>
      <c r="R217" s="4">
        <f t="shared" si="11"/>
        <v>707363.81</v>
      </c>
      <c r="S217" s="4">
        <f t="shared" si="11"/>
        <v>680212.05208333337</v>
      </c>
    </row>
    <row r="218" spans="1:27" x14ac:dyDescent="0.3">
      <c r="A218" s="84">
        <v>383</v>
      </c>
      <c r="B218" t="s">
        <v>339</v>
      </c>
      <c r="C218" s="4">
        <v>9135.68</v>
      </c>
      <c r="D218" s="4">
        <v>9274.18</v>
      </c>
      <c r="E218" s="4">
        <v>9426.8799999999992</v>
      </c>
      <c r="F218" s="4">
        <v>9592.73</v>
      </c>
      <c r="G218" s="4">
        <v>9803.0400000000009</v>
      </c>
      <c r="H218" s="4">
        <v>10043.11</v>
      </c>
      <c r="I218" s="4">
        <v>10283.58</v>
      </c>
      <c r="J218" s="4">
        <v>10539.16</v>
      </c>
      <c r="K218" s="4">
        <v>10809.34</v>
      </c>
      <c r="L218" s="4">
        <v>11079.51</v>
      </c>
      <c r="M218" s="4">
        <v>11349.71</v>
      </c>
      <c r="N218" s="4">
        <v>11659.92</v>
      </c>
      <c r="O218" s="4">
        <v>12017.72</v>
      </c>
      <c r="P218" s="4">
        <f t="shared" si="10"/>
        <v>10369.821666666665</v>
      </c>
      <c r="Q218" s="127">
        <f t="shared" si="8"/>
        <v>383</v>
      </c>
      <c r="R218" s="4">
        <f t="shared" si="11"/>
        <v>12017.72</v>
      </c>
      <c r="S218" s="4">
        <f t="shared" si="11"/>
        <v>10369.821666666665</v>
      </c>
    </row>
    <row r="219" spans="1:27" x14ac:dyDescent="0.3">
      <c r="A219" s="84">
        <v>386</v>
      </c>
      <c r="B219" t="s">
        <v>403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f t="shared" si="10"/>
        <v>0</v>
      </c>
      <c r="Q219" s="127">
        <f t="shared" si="8"/>
        <v>386</v>
      </c>
      <c r="R219" s="4">
        <f t="shared" si="11"/>
        <v>0</v>
      </c>
      <c r="S219" s="4">
        <f t="shared" si="11"/>
        <v>0</v>
      </c>
    </row>
    <row r="220" spans="1:27" x14ac:dyDescent="0.3">
      <c r="A220" s="84">
        <v>386.1</v>
      </c>
      <c r="B220" t="s">
        <v>1914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>
        <f t="shared" si="10"/>
        <v>0</v>
      </c>
      <c r="Q220" s="127">
        <f t="shared" si="8"/>
        <v>386.1</v>
      </c>
      <c r="R220" s="4">
        <f t="shared" si="11"/>
        <v>0</v>
      </c>
      <c r="S220" s="4">
        <f t="shared" si="11"/>
        <v>0</v>
      </c>
    </row>
    <row r="221" spans="1:27" x14ac:dyDescent="0.3">
      <c r="A221" s="84">
        <v>387.1</v>
      </c>
      <c r="B221" t="s">
        <v>404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f t="shared" si="10"/>
        <v>0</v>
      </c>
      <c r="Q221" s="127">
        <f t="shared" si="8"/>
        <v>387.1</v>
      </c>
      <c r="R221" s="4">
        <f t="shared" si="11"/>
        <v>0</v>
      </c>
      <c r="S221" s="4">
        <f t="shared" si="11"/>
        <v>0</v>
      </c>
    </row>
    <row r="222" spans="1:27" x14ac:dyDescent="0.3">
      <c r="A222" s="84">
        <v>387.2</v>
      </c>
      <c r="B222" t="s">
        <v>340</v>
      </c>
      <c r="C222" s="4">
        <v>26630</v>
      </c>
      <c r="D222" s="4">
        <v>26630</v>
      </c>
      <c r="E222" s="4">
        <v>26630</v>
      </c>
      <c r="F222" s="4">
        <v>26630</v>
      </c>
      <c r="G222" s="4">
        <v>26630</v>
      </c>
      <c r="H222" s="4">
        <v>26630</v>
      </c>
      <c r="I222" s="4">
        <v>26630</v>
      </c>
      <c r="J222" s="4">
        <v>26630</v>
      </c>
      <c r="K222" s="4">
        <v>26630</v>
      </c>
      <c r="L222" s="4">
        <v>26630</v>
      </c>
      <c r="M222" s="4">
        <v>26630</v>
      </c>
      <c r="N222" s="4">
        <v>26630</v>
      </c>
      <c r="O222" s="4">
        <v>26630</v>
      </c>
      <c r="P222" s="4">
        <f t="shared" si="10"/>
        <v>26630</v>
      </c>
      <c r="Q222" s="127">
        <f t="shared" si="8"/>
        <v>387.2</v>
      </c>
      <c r="R222" s="4">
        <f t="shared" si="11"/>
        <v>26630</v>
      </c>
      <c r="S222" s="4">
        <f t="shared" si="11"/>
        <v>26630</v>
      </c>
      <c r="X222" s="4"/>
      <c r="Z222" s="11"/>
      <c r="AA222" s="11"/>
    </row>
    <row r="223" spans="1:27" x14ac:dyDescent="0.3">
      <c r="A223" s="84">
        <v>387.3</v>
      </c>
      <c r="B223" t="s">
        <v>405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f t="shared" si="10"/>
        <v>0</v>
      </c>
      <c r="Q223" s="127">
        <f t="shared" si="8"/>
        <v>387.3</v>
      </c>
      <c r="R223" s="4">
        <f t="shared" si="11"/>
        <v>0</v>
      </c>
      <c r="S223" s="4">
        <f t="shared" si="11"/>
        <v>0</v>
      </c>
      <c r="X223" s="4"/>
      <c r="AA223" s="11"/>
    </row>
    <row r="224" spans="1:27" x14ac:dyDescent="0.3">
      <c r="A224" s="84">
        <v>389</v>
      </c>
      <c r="B224" t="s">
        <v>327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f t="shared" si="10"/>
        <v>0</v>
      </c>
      <c r="Q224" s="127">
        <f t="shared" si="8"/>
        <v>389</v>
      </c>
      <c r="R224" s="4">
        <v>80061.125888335082</v>
      </c>
      <c r="S224" s="4">
        <v>80061.125888335082</v>
      </c>
      <c r="X224" s="4"/>
      <c r="AA224" s="11"/>
    </row>
    <row r="225" spans="1:27" x14ac:dyDescent="0.3">
      <c r="A225" s="84">
        <v>390</v>
      </c>
      <c r="B225" t="s">
        <v>329</v>
      </c>
      <c r="C225" s="4">
        <v>54191.9</v>
      </c>
      <c r="D225" s="4">
        <v>56778.48</v>
      </c>
      <c r="E225" s="4">
        <v>59365.06</v>
      </c>
      <c r="F225" s="4">
        <v>61957.120000000003</v>
      </c>
      <c r="G225" s="4">
        <v>64554.65</v>
      </c>
      <c r="H225" s="4">
        <v>67152.2</v>
      </c>
      <c r="I225" s="4">
        <v>69749.72</v>
      </c>
      <c r="J225" s="4">
        <v>72347.259999999995</v>
      </c>
      <c r="K225" s="4">
        <v>74944.789999999994</v>
      </c>
      <c r="L225" s="4">
        <v>77542.33</v>
      </c>
      <c r="M225" s="4">
        <v>80139.86</v>
      </c>
      <c r="N225" s="4">
        <v>82737.39</v>
      </c>
      <c r="O225" s="4">
        <v>85334.94</v>
      </c>
      <c r="P225" s="4">
        <f t="shared" si="10"/>
        <v>69752.69</v>
      </c>
      <c r="Q225" s="127">
        <f t="shared" si="8"/>
        <v>390</v>
      </c>
      <c r="R225" s="4">
        <v>1048881.7879670446</v>
      </c>
      <c r="S225" s="4">
        <v>995214.4580157249</v>
      </c>
      <c r="X225" s="4"/>
      <c r="Z225" s="11"/>
      <c r="AA225" s="11"/>
    </row>
    <row r="226" spans="1:27" x14ac:dyDescent="0.3">
      <c r="A226" s="84">
        <v>390.1</v>
      </c>
      <c r="B226" t="s">
        <v>341</v>
      </c>
      <c r="C226" s="4">
        <v>121722.89</v>
      </c>
      <c r="D226" s="4">
        <v>124709</v>
      </c>
      <c r="E226" s="4">
        <v>127711.92</v>
      </c>
      <c r="F226" s="4">
        <v>130732.38</v>
      </c>
      <c r="G226" s="4">
        <v>133753.81</v>
      </c>
      <c r="H226" s="4">
        <v>136775.47</v>
      </c>
      <c r="I226" s="4">
        <v>139797.15</v>
      </c>
      <c r="J226" s="4">
        <v>142818.85999999999</v>
      </c>
      <c r="K226" s="4">
        <v>145840.53</v>
      </c>
      <c r="L226" s="4">
        <v>148862.23000000001</v>
      </c>
      <c r="M226" s="4">
        <v>151883.9</v>
      </c>
      <c r="N226" s="4">
        <v>154905.53</v>
      </c>
      <c r="O226" s="4">
        <v>157927.24</v>
      </c>
      <c r="P226" s="4">
        <f t="shared" si="10"/>
        <v>139801.32041666665</v>
      </c>
      <c r="Q226" s="127">
        <f t="shared" si="8"/>
        <v>390.1</v>
      </c>
      <c r="R226" s="4">
        <v>563747.6345269999</v>
      </c>
      <c r="S226" s="4">
        <v>506965.11969266657</v>
      </c>
      <c r="X226" s="4"/>
      <c r="Z226" s="11"/>
      <c r="AA226" s="11"/>
    </row>
    <row r="227" spans="1:27" x14ac:dyDescent="0.3">
      <c r="A227" s="84">
        <v>391.1</v>
      </c>
      <c r="B227" t="s">
        <v>342</v>
      </c>
      <c r="C227" s="4">
        <v>21579.21</v>
      </c>
      <c r="D227" s="4">
        <v>21688.94</v>
      </c>
      <c r="E227" s="4">
        <v>21798.68</v>
      </c>
      <c r="F227" s="4">
        <v>21908.41</v>
      </c>
      <c r="G227" s="4">
        <v>22018.14</v>
      </c>
      <c r="H227" s="4">
        <v>22127.87</v>
      </c>
      <c r="I227" s="4">
        <v>22237.599999999999</v>
      </c>
      <c r="J227" s="4">
        <v>22347.35</v>
      </c>
      <c r="K227" s="4">
        <v>22457.08</v>
      </c>
      <c r="L227" s="4">
        <v>22566.81</v>
      </c>
      <c r="M227" s="4">
        <v>22676.54</v>
      </c>
      <c r="N227" s="4">
        <v>22786.27</v>
      </c>
      <c r="O227" s="4">
        <v>22896</v>
      </c>
      <c r="P227" s="4">
        <f t="shared" si="10"/>
        <v>22237.607916666664</v>
      </c>
      <c r="Q227" s="127">
        <f t="shared" si="8"/>
        <v>391.1</v>
      </c>
      <c r="R227" s="4">
        <v>997432.65090899973</v>
      </c>
      <c r="S227" s="4">
        <v>946076.73224095802</v>
      </c>
      <c r="X227" s="4"/>
      <c r="Z227" s="11"/>
      <c r="AA227" s="11"/>
    </row>
    <row r="228" spans="1:27" x14ac:dyDescent="0.3">
      <c r="A228" s="84">
        <v>391.2</v>
      </c>
      <c r="B228" t="s">
        <v>406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f t="shared" si="10"/>
        <v>0</v>
      </c>
      <c r="Q228" s="127">
        <f t="shared" si="8"/>
        <v>391.2</v>
      </c>
      <c r="R228" s="4">
        <v>2227105.8637669994</v>
      </c>
      <c r="S228" s="4">
        <v>1969056.3494068747</v>
      </c>
      <c r="X228" s="4"/>
      <c r="Z228" s="11"/>
      <c r="AA228" s="11"/>
    </row>
    <row r="229" spans="1:27" x14ac:dyDescent="0.3">
      <c r="A229" s="84">
        <v>392</v>
      </c>
      <c r="B229" t="s">
        <v>343</v>
      </c>
      <c r="C229" s="4">
        <v>378190.57</v>
      </c>
      <c r="D229" s="4">
        <v>380897.13</v>
      </c>
      <c r="E229" s="4">
        <v>383603.67</v>
      </c>
      <c r="F229" s="4">
        <v>386310.24</v>
      </c>
      <c r="G229" s="4">
        <v>389016.78</v>
      </c>
      <c r="H229" s="4">
        <v>391723.35</v>
      </c>
      <c r="I229" s="4">
        <v>394429.89</v>
      </c>
      <c r="J229" s="4">
        <v>397136.44</v>
      </c>
      <c r="K229" s="4">
        <v>399842.98</v>
      </c>
      <c r="L229" s="4">
        <v>402549.56</v>
      </c>
      <c r="M229" s="4">
        <v>405256.1</v>
      </c>
      <c r="N229" s="4">
        <v>407962.67</v>
      </c>
      <c r="O229" s="4">
        <v>410669.22</v>
      </c>
      <c r="P229" s="4">
        <f t="shared" si="10"/>
        <v>394429.89208333334</v>
      </c>
      <c r="Q229" s="127">
        <f t="shared" si="8"/>
        <v>392</v>
      </c>
      <c r="R229" s="4">
        <v>1201972.130292</v>
      </c>
      <c r="S229" s="4">
        <v>1129774.4733157912</v>
      </c>
      <c r="X229" s="4"/>
      <c r="Z229" s="11"/>
      <c r="AA229" s="11"/>
    </row>
    <row r="230" spans="1:27" x14ac:dyDescent="0.3">
      <c r="A230" s="84">
        <v>393</v>
      </c>
      <c r="B230" t="s">
        <v>408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f t="shared" si="10"/>
        <v>0</v>
      </c>
      <c r="Q230" s="127">
        <f t="shared" si="8"/>
        <v>393</v>
      </c>
      <c r="R230" s="4">
        <v>13385.412599999998</v>
      </c>
      <c r="S230" s="4">
        <v>13385.412599999998</v>
      </c>
      <c r="X230" s="4"/>
      <c r="Z230" s="11"/>
      <c r="AA230" s="11"/>
    </row>
    <row r="231" spans="1:27" x14ac:dyDescent="0.3">
      <c r="A231" s="84">
        <v>394</v>
      </c>
      <c r="B231" t="s">
        <v>344</v>
      </c>
      <c r="C231" s="4">
        <v>32616.19</v>
      </c>
      <c r="D231" s="4">
        <v>33130.410000000003</v>
      </c>
      <c r="E231" s="4">
        <v>33644.629999999997</v>
      </c>
      <c r="F231" s="4">
        <v>34158.85</v>
      </c>
      <c r="G231" s="4">
        <v>34673.07</v>
      </c>
      <c r="H231" s="4">
        <v>35187.29</v>
      </c>
      <c r="I231" s="4">
        <v>35701.5</v>
      </c>
      <c r="J231" s="4">
        <v>36215.72</v>
      </c>
      <c r="K231" s="4">
        <v>36729.949999999997</v>
      </c>
      <c r="L231" s="4">
        <v>37244.18</v>
      </c>
      <c r="M231" s="4">
        <v>37758.400000000001</v>
      </c>
      <c r="N231" s="4">
        <v>38272.620000000003</v>
      </c>
      <c r="O231" s="4">
        <v>38786.83</v>
      </c>
      <c r="P231" s="4">
        <f t="shared" si="10"/>
        <v>35701.510833333341</v>
      </c>
      <c r="Q231" s="127">
        <f t="shared" si="8"/>
        <v>394</v>
      </c>
      <c r="R231" s="4">
        <v>544771.12344799982</v>
      </c>
      <c r="S231" s="4">
        <v>495765.25283204147</v>
      </c>
      <c r="X231" s="4"/>
      <c r="Z231" s="11"/>
      <c r="AA231" s="11"/>
    </row>
    <row r="232" spans="1:27" x14ac:dyDescent="0.3">
      <c r="A232" s="84">
        <v>395</v>
      </c>
      <c r="B232" t="s">
        <v>409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f t="shared" si="10"/>
        <v>0</v>
      </c>
      <c r="Q232" s="127">
        <f t="shared" si="8"/>
        <v>395</v>
      </c>
      <c r="R232" s="4">
        <v>7655.6452999999983</v>
      </c>
      <c r="S232" s="4">
        <v>7655.6452999999983</v>
      </c>
      <c r="X232" s="4"/>
    </row>
    <row r="233" spans="1:27" x14ac:dyDescent="0.3">
      <c r="A233" s="84">
        <v>396</v>
      </c>
      <c r="B233" t="s">
        <v>345</v>
      </c>
      <c r="C233" s="4">
        <v>116349.85</v>
      </c>
      <c r="D233" s="4">
        <v>116860.74</v>
      </c>
      <c r="E233" s="4">
        <v>117371.62</v>
      </c>
      <c r="F233" s="4">
        <v>117882.53</v>
      </c>
      <c r="G233" s="4">
        <v>118393.42</v>
      </c>
      <c r="H233" s="4">
        <v>118904.31</v>
      </c>
      <c r="I233" s="4">
        <v>119415.21</v>
      </c>
      <c r="J233" s="4">
        <v>119926.1</v>
      </c>
      <c r="K233" s="4">
        <v>108320.63</v>
      </c>
      <c r="L233" s="4">
        <v>108804.49</v>
      </c>
      <c r="M233" s="4">
        <v>109288.36</v>
      </c>
      <c r="N233" s="4">
        <v>109772.23</v>
      </c>
      <c r="O233" s="4">
        <v>110256.09</v>
      </c>
      <c r="P233" s="4">
        <f t="shared" si="10"/>
        <v>114853.55083333333</v>
      </c>
      <c r="Q233" s="127">
        <f t="shared" si="8"/>
        <v>396</v>
      </c>
      <c r="R233" s="4">
        <v>309318.64315299992</v>
      </c>
      <c r="S233" s="4">
        <v>310407.16759616666</v>
      </c>
      <c r="X233" s="4"/>
    </row>
    <row r="234" spans="1:27" x14ac:dyDescent="0.3">
      <c r="A234" s="84">
        <v>397</v>
      </c>
      <c r="B234" t="s">
        <v>410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f t="shared" si="10"/>
        <v>0</v>
      </c>
      <c r="Q234" s="127" t="str">
        <f>LEFT(A234,3)</f>
        <v>397</v>
      </c>
      <c r="R234" s="4">
        <v>5056.5552339999995</v>
      </c>
      <c r="S234" s="4">
        <v>4689.7268074583335</v>
      </c>
    </row>
    <row r="235" spans="1:27" x14ac:dyDescent="0.3">
      <c r="A235" s="84">
        <v>397.1</v>
      </c>
      <c r="B235" t="s">
        <v>411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f t="shared" si="10"/>
        <v>0</v>
      </c>
      <c r="Q235" s="127" t="str">
        <f t="shared" ref="Q235:Q245" si="12">LEFT(A235,3)</f>
        <v>397</v>
      </c>
      <c r="R235" s="4">
        <v>46358.492026999993</v>
      </c>
      <c r="S235" s="4">
        <v>46158.315243833327</v>
      </c>
    </row>
    <row r="236" spans="1:27" x14ac:dyDescent="0.3">
      <c r="A236" s="84">
        <v>397.2</v>
      </c>
      <c r="B236" t="s">
        <v>412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f t="shared" si="10"/>
        <v>0</v>
      </c>
      <c r="Q236" s="127" t="str">
        <f t="shared" si="12"/>
        <v>397</v>
      </c>
      <c r="R236" s="4">
        <v>189544.69416499996</v>
      </c>
      <c r="S236" s="4">
        <v>189544.69416499994</v>
      </c>
    </row>
    <row r="237" spans="1:27" x14ac:dyDescent="0.3">
      <c r="A237" s="84">
        <v>397.3</v>
      </c>
      <c r="B237" t="s">
        <v>346</v>
      </c>
      <c r="C237" s="4">
        <v>16336.48</v>
      </c>
      <c r="D237" s="4">
        <v>16342.36</v>
      </c>
      <c r="E237" s="4">
        <v>16348.28</v>
      </c>
      <c r="F237" s="4">
        <v>16354.17</v>
      </c>
      <c r="G237" s="4">
        <v>16360.05</v>
      </c>
      <c r="H237" s="4">
        <v>16365.96</v>
      </c>
      <c r="I237" s="4">
        <v>16371.86</v>
      </c>
      <c r="J237" s="4">
        <v>16377.76</v>
      </c>
      <c r="K237" s="4">
        <v>16383.66</v>
      </c>
      <c r="L237" s="4">
        <v>16389.54</v>
      </c>
      <c r="M237" s="4">
        <v>16398.169999999998</v>
      </c>
      <c r="N237" s="4">
        <v>16409.509999999998</v>
      </c>
      <c r="O237" s="4">
        <v>16420.89</v>
      </c>
      <c r="P237" s="4">
        <f t="shared" si="10"/>
        <v>16373.33375</v>
      </c>
      <c r="Q237" s="127">
        <f t="shared" si="8"/>
        <v>397.3</v>
      </c>
      <c r="R237" s="4">
        <v>336358.74600499996</v>
      </c>
      <c r="S237" s="4">
        <v>336173.51275904157</v>
      </c>
    </row>
    <row r="238" spans="1:27" x14ac:dyDescent="0.3">
      <c r="A238" s="84">
        <v>397.4</v>
      </c>
      <c r="B238" t="s">
        <v>413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f t="shared" si="10"/>
        <v>0</v>
      </c>
      <c r="Q238" s="127" t="str">
        <f t="shared" si="12"/>
        <v>397</v>
      </c>
      <c r="R238" s="4">
        <v>111932.94185399998</v>
      </c>
      <c r="S238" s="4">
        <v>110270.04382141664</v>
      </c>
    </row>
    <row r="239" spans="1:27" x14ac:dyDescent="0.3">
      <c r="A239" s="84">
        <v>397.5</v>
      </c>
      <c r="B239" t="s">
        <v>414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f t="shared" si="10"/>
        <v>0</v>
      </c>
      <c r="Q239" s="127" t="str">
        <f t="shared" si="12"/>
        <v>397</v>
      </c>
      <c r="R239" s="4">
        <v>43921.592724999988</v>
      </c>
      <c r="S239" s="4">
        <v>39451.629513333333</v>
      </c>
    </row>
    <row r="240" spans="1:27" x14ac:dyDescent="0.3">
      <c r="A240" s="84">
        <v>398</v>
      </c>
      <c r="B240" t="s">
        <v>415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f t="shared" si="10"/>
        <v>0</v>
      </c>
      <c r="Q240" s="127" t="str">
        <f t="shared" si="12"/>
        <v>398</v>
      </c>
      <c r="R240" s="4">
        <v>0</v>
      </c>
      <c r="S240" s="4">
        <v>0</v>
      </c>
    </row>
    <row r="241" spans="1:19" x14ac:dyDescent="0.3">
      <c r="A241" s="84">
        <v>398.1</v>
      </c>
      <c r="B241" t="s">
        <v>416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f t="shared" si="10"/>
        <v>0</v>
      </c>
      <c r="Q241" s="127" t="str">
        <f t="shared" si="12"/>
        <v>398</v>
      </c>
      <c r="R241" s="4">
        <v>9332.2476509999979</v>
      </c>
      <c r="S241" s="4">
        <v>9332.2476509999997</v>
      </c>
    </row>
    <row r="242" spans="1:19" x14ac:dyDescent="0.3">
      <c r="A242" s="84">
        <v>398.2</v>
      </c>
      <c r="B242" t="s">
        <v>417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f t="shared" si="10"/>
        <v>0</v>
      </c>
      <c r="Q242" s="127" t="str">
        <f t="shared" si="12"/>
        <v>398</v>
      </c>
      <c r="R242" s="4">
        <v>507.90267999999992</v>
      </c>
      <c r="S242" s="4">
        <v>478.45938145833316</v>
      </c>
    </row>
    <row r="243" spans="1:19" x14ac:dyDescent="0.3">
      <c r="A243" s="84">
        <v>398.3</v>
      </c>
      <c r="B243" t="s">
        <v>418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f t="shared" si="10"/>
        <v>0</v>
      </c>
      <c r="Q243" s="127" t="str">
        <f t="shared" si="12"/>
        <v>398</v>
      </c>
      <c r="R243" s="4">
        <v>1667.2632999999996</v>
      </c>
      <c r="S243" s="4">
        <v>1667.2632999999996</v>
      </c>
    </row>
    <row r="244" spans="1:19" x14ac:dyDescent="0.3">
      <c r="A244" s="84">
        <v>398.4</v>
      </c>
      <c r="B244" t="s">
        <v>347</v>
      </c>
      <c r="C244" s="4">
        <v>4727</v>
      </c>
      <c r="D244" s="4">
        <v>4727</v>
      </c>
      <c r="E244" s="4">
        <v>4727</v>
      </c>
      <c r="F244" s="4">
        <v>4727</v>
      </c>
      <c r="G244" s="4">
        <v>4727</v>
      </c>
      <c r="H244" s="4">
        <v>4727</v>
      </c>
      <c r="I244" s="4">
        <v>4727</v>
      </c>
      <c r="J244" s="4">
        <v>4727</v>
      </c>
      <c r="K244" s="4">
        <v>4727</v>
      </c>
      <c r="L244" s="4">
        <v>4727</v>
      </c>
      <c r="M244" s="4">
        <v>4727</v>
      </c>
      <c r="N244" s="4">
        <v>4727</v>
      </c>
      <c r="O244" s="4">
        <v>4727</v>
      </c>
      <c r="P244" s="4">
        <f t="shared" si="10"/>
        <v>4727</v>
      </c>
      <c r="Q244" s="127" t="str">
        <f t="shared" si="12"/>
        <v>398</v>
      </c>
      <c r="R244" s="4">
        <v>1134.4519999999998</v>
      </c>
      <c r="S244" s="4">
        <v>1134.4519999999998</v>
      </c>
    </row>
    <row r="245" spans="1:19" x14ac:dyDescent="0.3">
      <c r="A245" s="84">
        <v>398.5</v>
      </c>
      <c r="B245" t="s">
        <v>419</v>
      </c>
      <c r="C245" s="158">
        <v>0</v>
      </c>
      <c r="D245" s="158">
        <v>0</v>
      </c>
      <c r="E245" s="158">
        <v>0</v>
      </c>
      <c r="F245" s="158">
        <v>0</v>
      </c>
      <c r="G245" s="158">
        <v>0</v>
      </c>
      <c r="H245" s="158">
        <v>0</v>
      </c>
      <c r="I245" s="158">
        <v>0</v>
      </c>
      <c r="J245" s="158">
        <v>0</v>
      </c>
      <c r="K245" s="158">
        <v>0</v>
      </c>
      <c r="L245" s="158">
        <v>0</v>
      </c>
      <c r="M245" s="158">
        <v>0</v>
      </c>
      <c r="N245" s="158">
        <v>0</v>
      </c>
      <c r="O245" s="158">
        <v>0</v>
      </c>
      <c r="P245" s="158">
        <f t="shared" si="10"/>
        <v>0</v>
      </c>
      <c r="Q245" s="127" t="str">
        <f t="shared" si="12"/>
        <v>398</v>
      </c>
      <c r="R245" s="4">
        <v>7481.4418999999989</v>
      </c>
      <c r="S245" s="4">
        <v>7481.4418999999989</v>
      </c>
    </row>
    <row r="246" spans="1:19" x14ac:dyDescent="0.3">
      <c r="B246" t="s">
        <v>420</v>
      </c>
      <c r="C246" s="122">
        <v>-1371642.6575</v>
      </c>
      <c r="D246" s="122">
        <v>-1403166.55</v>
      </c>
      <c r="E246" s="122">
        <v>-1424030.35</v>
      </c>
      <c r="F246" s="122">
        <v>-1444292.75</v>
      </c>
      <c r="G246" s="122">
        <v>-1450031.1</v>
      </c>
      <c r="H246" s="122">
        <v>-1462414.9000000001</v>
      </c>
      <c r="I246" s="122">
        <v>-1469363.7000000002</v>
      </c>
      <c r="J246" s="122">
        <v>-1477574.3</v>
      </c>
      <c r="K246" s="122">
        <v>-1501287.6</v>
      </c>
      <c r="L246" s="122">
        <v>-1519038.25</v>
      </c>
      <c r="M246" s="122">
        <v>-1571821.2000000002</v>
      </c>
      <c r="N246" s="122">
        <v>-1614956.55</v>
      </c>
      <c r="O246" s="122">
        <v>-1619918.7000000002</v>
      </c>
      <c r="P246" s="122">
        <f t="shared" si="10"/>
        <v>-1486146.4940625003</v>
      </c>
      <c r="Q246" s="127">
        <f t="shared" si="8"/>
        <v>0</v>
      </c>
      <c r="R246" s="122">
        <f>+O246</f>
        <v>-1619918.7000000002</v>
      </c>
      <c r="S246" s="122">
        <f>+P246</f>
        <v>-1486146.4940625003</v>
      </c>
    </row>
    <row r="247" spans="1:19" x14ac:dyDescent="0.3">
      <c r="B247" t="s">
        <v>421</v>
      </c>
      <c r="C247" s="4">
        <f>SUM(C128:C246)</f>
        <v>108709314.80249999</v>
      </c>
      <c r="D247" s="4">
        <f t="shared" ref="D247:P247" si="13">SUM(D128:D246)</f>
        <v>109139958.89</v>
      </c>
      <c r="E247" s="4">
        <f t="shared" si="13"/>
        <v>109645203.91000003</v>
      </c>
      <c r="F247" s="4">
        <f t="shared" si="13"/>
        <v>110191459.08</v>
      </c>
      <c r="G247" s="4">
        <f t="shared" si="13"/>
        <v>110722369.29000002</v>
      </c>
      <c r="H247" s="4">
        <f t="shared" si="13"/>
        <v>111286909.67</v>
      </c>
      <c r="I247" s="4">
        <f t="shared" si="13"/>
        <v>111855371.84999999</v>
      </c>
      <c r="J247" s="4">
        <f t="shared" si="13"/>
        <v>112403998.89999998</v>
      </c>
      <c r="K247" s="4">
        <f t="shared" si="13"/>
        <v>112900720.57000002</v>
      </c>
      <c r="L247" s="4">
        <f t="shared" si="13"/>
        <v>113423017.17000002</v>
      </c>
      <c r="M247" s="4">
        <f t="shared" si="13"/>
        <v>113590515.61</v>
      </c>
      <c r="N247" s="4">
        <f t="shared" si="13"/>
        <v>114144301.10000001</v>
      </c>
      <c r="O247" s="4">
        <f t="shared" si="13"/>
        <v>114740733.39</v>
      </c>
      <c r="P247" s="4">
        <f t="shared" si="13"/>
        <v>111752404.17802082</v>
      </c>
      <c r="R247" s="4">
        <f t="shared" ref="R247:S247" si="14">SUM(R128:R246)</f>
        <v>140835973.99221548</v>
      </c>
      <c r="S247" s="4">
        <f t="shared" si="14"/>
        <v>136901094.75908703</v>
      </c>
    </row>
    <row r="249" spans="1:19" x14ac:dyDescent="0.3">
      <c r="A249" s="84" t="s">
        <v>146</v>
      </c>
    </row>
    <row r="250" spans="1:19" x14ac:dyDescent="0.3">
      <c r="A250" s="84">
        <v>301</v>
      </c>
      <c r="B250" t="s">
        <v>323</v>
      </c>
      <c r="C250" s="11">
        <f t="shared" ref="C250:O265" si="15">+C6+C128</f>
        <v>0</v>
      </c>
      <c r="D250" s="11">
        <f t="shared" si="15"/>
        <v>0</v>
      </c>
      <c r="E250" s="11">
        <f t="shared" si="15"/>
        <v>0</v>
      </c>
      <c r="F250" s="11">
        <f t="shared" si="15"/>
        <v>0</v>
      </c>
      <c r="G250" s="11">
        <f t="shared" si="15"/>
        <v>0</v>
      </c>
      <c r="H250" s="11">
        <f t="shared" si="15"/>
        <v>0</v>
      </c>
      <c r="I250" s="11">
        <f t="shared" si="15"/>
        <v>0</v>
      </c>
      <c r="J250" s="11">
        <f t="shared" si="15"/>
        <v>0</v>
      </c>
      <c r="K250" s="11">
        <f t="shared" si="15"/>
        <v>0</v>
      </c>
      <c r="L250" s="11">
        <f t="shared" si="15"/>
        <v>0</v>
      </c>
      <c r="M250" s="11">
        <f t="shared" si="15"/>
        <v>0</v>
      </c>
      <c r="N250" s="11">
        <f t="shared" si="15"/>
        <v>0</v>
      </c>
      <c r="O250" s="11">
        <f t="shared" si="15"/>
        <v>0</v>
      </c>
      <c r="P250" s="11">
        <f t="shared" si="10"/>
        <v>0</v>
      </c>
    </row>
    <row r="251" spans="1:19" x14ac:dyDescent="0.3">
      <c r="A251" s="84">
        <v>302</v>
      </c>
      <c r="B251" t="s">
        <v>324</v>
      </c>
      <c r="C251" s="11">
        <f t="shared" si="15"/>
        <v>0</v>
      </c>
      <c r="D251" s="11">
        <f t="shared" si="15"/>
        <v>0</v>
      </c>
      <c r="E251" s="11">
        <f t="shared" si="15"/>
        <v>0</v>
      </c>
      <c r="F251" s="11">
        <f t="shared" si="15"/>
        <v>0</v>
      </c>
      <c r="G251" s="11">
        <f t="shared" si="15"/>
        <v>0</v>
      </c>
      <c r="H251" s="11">
        <f t="shared" si="15"/>
        <v>0</v>
      </c>
      <c r="I251" s="11">
        <f t="shared" si="15"/>
        <v>0</v>
      </c>
      <c r="J251" s="11">
        <f t="shared" si="15"/>
        <v>0</v>
      </c>
      <c r="K251" s="11">
        <f t="shared" si="15"/>
        <v>0</v>
      </c>
      <c r="L251" s="11">
        <f t="shared" si="15"/>
        <v>0</v>
      </c>
      <c r="M251" s="11">
        <f t="shared" si="15"/>
        <v>0</v>
      </c>
      <c r="N251" s="11">
        <f t="shared" si="15"/>
        <v>0</v>
      </c>
      <c r="O251" s="11">
        <f t="shared" si="15"/>
        <v>0</v>
      </c>
      <c r="P251" s="11">
        <f t="shared" si="10"/>
        <v>0</v>
      </c>
    </row>
    <row r="252" spans="1:19" x14ac:dyDescent="0.3">
      <c r="A252" s="84">
        <v>303.10000000000002</v>
      </c>
      <c r="B252" t="s">
        <v>348</v>
      </c>
      <c r="C252" s="11">
        <f t="shared" si="15"/>
        <v>25346326.310000002</v>
      </c>
      <c r="D252" s="11">
        <f t="shared" si="15"/>
        <v>25581191.060000002</v>
      </c>
      <c r="E252" s="11">
        <f t="shared" si="15"/>
        <v>25818852.449999999</v>
      </c>
      <c r="F252" s="11">
        <f t="shared" si="15"/>
        <v>26060763.77</v>
      </c>
      <c r="G252" s="11">
        <f t="shared" si="15"/>
        <v>26305052.560000002</v>
      </c>
      <c r="H252" s="11">
        <f t="shared" si="15"/>
        <v>26550779.879999999</v>
      </c>
      <c r="I252" s="11">
        <f t="shared" si="15"/>
        <v>26797807.060000002</v>
      </c>
      <c r="J252" s="11">
        <f t="shared" si="15"/>
        <v>27044802.560000002</v>
      </c>
      <c r="K252" s="11">
        <f t="shared" si="15"/>
        <v>27291841.16</v>
      </c>
      <c r="L252" s="11">
        <f t="shared" si="15"/>
        <v>27539562.850000001</v>
      </c>
      <c r="M252" s="11">
        <f t="shared" si="15"/>
        <v>27787986.289999999</v>
      </c>
      <c r="N252" s="11">
        <f t="shared" si="15"/>
        <v>28036405.41</v>
      </c>
      <c r="O252" s="11">
        <f t="shared" si="15"/>
        <v>28293028.84</v>
      </c>
      <c r="P252" s="11">
        <f t="shared" si="10"/>
        <v>26802893.552083332</v>
      </c>
    </row>
    <row r="253" spans="1:19" x14ac:dyDescent="0.3">
      <c r="A253" s="84">
        <v>303.2</v>
      </c>
      <c r="B253" t="s">
        <v>325</v>
      </c>
      <c r="C253" s="11">
        <f t="shared" si="15"/>
        <v>32348167.73</v>
      </c>
      <c r="D253" s="11">
        <f t="shared" si="15"/>
        <v>32348167.73</v>
      </c>
      <c r="E253" s="11">
        <f t="shared" si="15"/>
        <v>32348167.73</v>
      </c>
      <c r="F253" s="11">
        <f t="shared" si="15"/>
        <v>32348167.73</v>
      </c>
      <c r="G253" s="11">
        <f t="shared" si="15"/>
        <v>32348167.73</v>
      </c>
      <c r="H253" s="11">
        <f t="shared" si="15"/>
        <v>32348167.73</v>
      </c>
      <c r="I253" s="11">
        <f t="shared" si="15"/>
        <v>32348167.73</v>
      </c>
      <c r="J253" s="11">
        <f t="shared" si="15"/>
        <v>32348167.73</v>
      </c>
      <c r="K253" s="11">
        <f t="shared" si="15"/>
        <v>32348167.73</v>
      </c>
      <c r="L253" s="11">
        <f t="shared" si="15"/>
        <v>32348167.73</v>
      </c>
      <c r="M253" s="11">
        <f t="shared" si="15"/>
        <v>32348167.73</v>
      </c>
      <c r="N253" s="11">
        <f t="shared" si="15"/>
        <v>32348167.73</v>
      </c>
      <c r="O253" s="11">
        <f t="shared" si="15"/>
        <v>32348167.73</v>
      </c>
      <c r="P253" s="11">
        <f t="shared" si="10"/>
        <v>32348167.730000004</v>
      </c>
    </row>
    <row r="254" spans="1:19" x14ac:dyDescent="0.3">
      <c r="A254" s="84">
        <v>303.3</v>
      </c>
      <c r="B254" t="s">
        <v>349</v>
      </c>
      <c r="C254" s="11">
        <f t="shared" si="15"/>
        <v>4146951</v>
      </c>
      <c r="D254" s="11">
        <f t="shared" si="15"/>
        <v>4146951</v>
      </c>
      <c r="E254" s="11">
        <f t="shared" si="15"/>
        <v>4146951</v>
      </c>
      <c r="F254" s="11">
        <f t="shared" si="15"/>
        <v>4146951</v>
      </c>
      <c r="G254" s="11">
        <f t="shared" si="15"/>
        <v>4146951</v>
      </c>
      <c r="H254" s="11">
        <f t="shared" si="15"/>
        <v>4146951</v>
      </c>
      <c r="I254" s="11">
        <f t="shared" si="15"/>
        <v>4146951</v>
      </c>
      <c r="J254" s="11">
        <f t="shared" si="15"/>
        <v>4146951</v>
      </c>
      <c r="K254" s="11">
        <f t="shared" si="15"/>
        <v>4146951</v>
      </c>
      <c r="L254" s="11">
        <f t="shared" si="15"/>
        <v>4146951</v>
      </c>
      <c r="M254" s="11">
        <f t="shared" si="15"/>
        <v>4146951</v>
      </c>
      <c r="N254" s="11">
        <f t="shared" si="15"/>
        <v>4146951</v>
      </c>
      <c r="O254" s="11">
        <f t="shared" si="15"/>
        <v>4146951</v>
      </c>
      <c r="P254" s="11">
        <f t="shared" si="10"/>
        <v>4146951</v>
      </c>
    </row>
    <row r="255" spans="1:19" x14ac:dyDescent="0.3">
      <c r="A255" s="84">
        <v>303.39999999999998</v>
      </c>
      <c r="B255" t="s">
        <v>350</v>
      </c>
      <c r="C255" s="11">
        <f t="shared" si="15"/>
        <v>682892.52</v>
      </c>
      <c r="D255" s="11">
        <f t="shared" si="15"/>
        <v>682892.52</v>
      </c>
      <c r="E255" s="11">
        <f t="shared" si="15"/>
        <v>682892.52</v>
      </c>
      <c r="F255" s="11">
        <f t="shared" si="15"/>
        <v>682892.52</v>
      </c>
      <c r="G255" s="11">
        <f t="shared" si="15"/>
        <v>682892.52</v>
      </c>
      <c r="H255" s="11">
        <f t="shared" si="15"/>
        <v>682892.52</v>
      </c>
      <c r="I255" s="11">
        <f t="shared" si="15"/>
        <v>682892.52</v>
      </c>
      <c r="J255" s="11">
        <f t="shared" si="15"/>
        <v>682892.52</v>
      </c>
      <c r="K255" s="11">
        <f t="shared" si="15"/>
        <v>682892.52</v>
      </c>
      <c r="L255" s="11">
        <f t="shared" si="15"/>
        <v>682892.52</v>
      </c>
      <c r="M255" s="11">
        <f t="shared" si="15"/>
        <v>682892.52</v>
      </c>
      <c r="N255" s="11">
        <f t="shared" si="15"/>
        <v>682892.52</v>
      </c>
      <c r="O255" s="11">
        <f t="shared" si="15"/>
        <v>682892.52</v>
      </c>
      <c r="P255" s="11">
        <f t="shared" si="10"/>
        <v>682892.5199999999</v>
      </c>
    </row>
    <row r="256" spans="1:19" x14ac:dyDescent="0.3">
      <c r="A256" s="84">
        <v>303.5</v>
      </c>
      <c r="B256" t="s">
        <v>351</v>
      </c>
      <c r="C256" s="11">
        <f t="shared" si="15"/>
        <v>0</v>
      </c>
      <c r="D256" s="11">
        <f t="shared" si="15"/>
        <v>0</v>
      </c>
      <c r="E256" s="11">
        <f t="shared" si="15"/>
        <v>0</v>
      </c>
      <c r="F256" s="11">
        <f t="shared" si="15"/>
        <v>0</v>
      </c>
      <c r="G256" s="11">
        <f t="shared" si="15"/>
        <v>0</v>
      </c>
      <c r="H256" s="11">
        <f t="shared" si="15"/>
        <v>0</v>
      </c>
      <c r="I256" s="11">
        <f t="shared" si="15"/>
        <v>0</v>
      </c>
      <c r="J256" s="11">
        <f t="shared" si="15"/>
        <v>0</v>
      </c>
      <c r="K256" s="11">
        <f t="shared" si="15"/>
        <v>0</v>
      </c>
      <c r="L256" s="11">
        <f t="shared" si="15"/>
        <v>0</v>
      </c>
      <c r="M256" s="11">
        <f t="shared" si="15"/>
        <v>0</v>
      </c>
      <c r="N256" s="11">
        <f t="shared" si="15"/>
        <v>0</v>
      </c>
      <c r="O256" s="11">
        <f t="shared" si="15"/>
        <v>0</v>
      </c>
      <c r="P256" s="11">
        <f t="shared" si="10"/>
        <v>0</v>
      </c>
    </row>
    <row r="257" spans="1:16" x14ac:dyDescent="0.3">
      <c r="A257" s="84">
        <v>304.10000000000002</v>
      </c>
      <c r="B257" t="s">
        <v>327</v>
      </c>
      <c r="C257" s="11">
        <f t="shared" si="15"/>
        <v>0</v>
      </c>
      <c r="D257" s="11">
        <f t="shared" si="15"/>
        <v>0</v>
      </c>
      <c r="E257" s="11">
        <f t="shared" si="15"/>
        <v>0</v>
      </c>
      <c r="F257" s="11">
        <f t="shared" si="15"/>
        <v>0</v>
      </c>
      <c r="G257" s="11">
        <f t="shared" si="15"/>
        <v>0</v>
      </c>
      <c r="H257" s="11">
        <f t="shared" si="15"/>
        <v>0</v>
      </c>
      <c r="I257" s="11">
        <f t="shared" si="15"/>
        <v>0</v>
      </c>
      <c r="J257" s="11">
        <f t="shared" si="15"/>
        <v>0</v>
      </c>
      <c r="K257" s="11">
        <f t="shared" si="15"/>
        <v>0</v>
      </c>
      <c r="L257" s="11">
        <f t="shared" si="15"/>
        <v>0</v>
      </c>
      <c r="M257" s="11">
        <f t="shared" si="15"/>
        <v>0</v>
      </c>
      <c r="N257" s="11">
        <f t="shared" si="15"/>
        <v>0</v>
      </c>
      <c r="O257" s="11">
        <f t="shared" si="15"/>
        <v>0</v>
      </c>
      <c r="P257" s="11">
        <f t="shared" si="10"/>
        <v>0</v>
      </c>
    </row>
    <row r="258" spans="1:16" x14ac:dyDescent="0.3">
      <c r="A258" s="84">
        <v>305.2</v>
      </c>
      <c r="B258" t="s">
        <v>352</v>
      </c>
      <c r="C258" s="11">
        <f t="shared" si="15"/>
        <v>0</v>
      </c>
      <c r="D258" s="11">
        <f t="shared" si="15"/>
        <v>0</v>
      </c>
      <c r="E258" s="11">
        <f t="shared" si="15"/>
        <v>0</v>
      </c>
      <c r="F258" s="11">
        <f t="shared" si="15"/>
        <v>0</v>
      </c>
      <c r="G258" s="11">
        <f t="shared" si="15"/>
        <v>0</v>
      </c>
      <c r="H258" s="11">
        <f t="shared" si="15"/>
        <v>0</v>
      </c>
      <c r="I258" s="11">
        <f t="shared" si="15"/>
        <v>0</v>
      </c>
      <c r="J258" s="11">
        <f t="shared" si="15"/>
        <v>0</v>
      </c>
      <c r="K258" s="11">
        <f t="shared" si="15"/>
        <v>0</v>
      </c>
      <c r="L258" s="11">
        <f t="shared" si="15"/>
        <v>0</v>
      </c>
      <c r="M258" s="11">
        <f t="shared" si="15"/>
        <v>0</v>
      </c>
      <c r="N258" s="11">
        <f t="shared" si="15"/>
        <v>0</v>
      </c>
      <c r="O258" s="11">
        <f t="shared" si="15"/>
        <v>0</v>
      </c>
      <c r="P258" s="11">
        <f t="shared" si="10"/>
        <v>0</v>
      </c>
    </row>
    <row r="259" spans="1:16" x14ac:dyDescent="0.3">
      <c r="A259" s="84">
        <v>305.5</v>
      </c>
      <c r="B259" t="s">
        <v>353</v>
      </c>
      <c r="C259" s="11">
        <f t="shared" si="15"/>
        <v>13813.8</v>
      </c>
      <c r="D259" s="11">
        <f t="shared" si="15"/>
        <v>13813.8</v>
      </c>
      <c r="E259" s="11">
        <f t="shared" si="15"/>
        <v>13813.8</v>
      </c>
      <c r="F259" s="11">
        <f t="shared" si="15"/>
        <v>13813.8</v>
      </c>
      <c r="G259" s="11">
        <f t="shared" si="15"/>
        <v>13813.8</v>
      </c>
      <c r="H259" s="11">
        <f t="shared" si="15"/>
        <v>13813.8</v>
      </c>
      <c r="I259" s="11">
        <f t="shared" si="15"/>
        <v>13813.8</v>
      </c>
      <c r="J259" s="11">
        <f t="shared" si="15"/>
        <v>13813.8</v>
      </c>
      <c r="K259" s="11">
        <f t="shared" si="15"/>
        <v>13813.8</v>
      </c>
      <c r="L259" s="11">
        <f t="shared" si="15"/>
        <v>13813.8</v>
      </c>
      <c r="M259" s="11">
        <f t="shared" si="15"/>
        <v>13813.8</v>
      </c>
      <c r="N259" s="11">
        <f t="shared" si="15"/>
        <v>13813.8</v>
      </c>
      <c r="O259" s="11">
        <f t="shared" si="15"/>
        <v>13813.8</v>
      </c>
      <c r="P259" s="11">
        <f t="shared" si="10"/>
        <v>13813.799999999997</v>
      </c>
    </row>
    <row r="260" spans="1:16" x14ac:dyDescent="0.3">
      <c r="A260" s="84">
        <v>312.3</v>
      </c>
      <c r="B260" t="s">
        <v>354</v>
      </c>
      <c r="C260" s="11">
        <f t="shared" si="15"/>
        <v>0</v>
      </c>
      <c r="D260" s="11">
        <f t="shared" si="15"/>
        <v>0</v>
      </c>
      <c r="E260" s="11">
        <f t="shared" si="15"/>
        <v>0</v>
      </c>
      <c r="F260" s="11">
        <f t="shared" si="15"/>
        <v>0</v>
      </c>
      <c r="G260" s="11">
        <f t="shared" si="15"/>
        <v>0</v>
      </c>
      <c r="H260" s="11">
        <f t="shared" si="15"/>
        <v>0</v>
      </c>
      <c r="I260" s="11">
        <f t="shared" si="15"/>
        <v>0</v>
      </c>
      <c r="J260" s="11">
        <f t="shared" si="15"/>
        <v>0</v>
      </c>
      <c r="K260" s="11">
        <f t="shared" si="15"/>
        <v>0</v>
      </c>
      <c r="L260" s="11">
        <f t="shared" si="15"/>
        <v>0</v>
      </c>
      <c r="M260" s="11">
        <f t="shared" si="15"/>
        <v>0</v>
      </c>
      <c r="N260" s="11">
        <f t="shared" si="15"/>
        <v>0</v>
      </c>
      <c r="O260" s="11">
        <f t="shared" si="15"/>
        <v>0</v>
      </c>
      <c r="P260" s="11">
        <f t="shared" si="10"/>
        <v>0</v>
      </c>
    </row>
    <row r="261" spans="1:16" x14ac:dyDescent="0.3">
      <c r="A261" s="84">
        <v>318.3</v>
      </c>
      <c r="B261" t="s">
        <v>355</v>
      </c>
      <c r="C261" s="11">
        <f t="shared" si="15"/>
        <v>152140.79999999999</v>
      </c>
      <c r="D261" s="11">
        <f t="shared" si="15"/>
        <v>152140.79999999999</v>
      </c>
      <c r="E261" s="11">
        <f t="shared" si="15"/>
        <v>152140.79999999999</v>
      </c>
      <c r="F261" s="11">
        <f t="shared" si="15"/>
        <v>152140.79999999999</v>
      </c>
      <c r="G261" s="11">
        <f t="shared" si="15"/>
        <v>152140.79999999999</v>
      </c>
      <c r="H261" s="11">
        <f t="shared" si="15"/>
        <v>152140.79999999999</v>
      </c>
      <c r="I261" s="11">
        <f t="shared" si="15"/>
        <v>152140.79999999999</v>
      </c>
      <c r="J261" s="11">
        <f t="shared" si="15"/>
        <v>152140.79999999999</v>
      </c>
      <c r="K261" s="11">
        <f t="shared" si="15"/>
        <v>152140.79999999999</v>
      </c>
      <c r="L261" s="11">
        <f t="shared" si="15"/>
        <v>152140.79999999999</v>
      </c>
      <c r="M261" s="11">
        <f t="shared" si="15"/>
        <v>152140.79999999999</v>
      </c>
      <c r="N261" s="11">
        <f t="shared" si="15"/>
        <v>152140.79999999999</v>
      </c>
      <c r="O261" s="11">
        <f t="shared" si="15"/>
        <v>152140.79999999999</v>
      </c>
      <c r="P261" s="11">
        <f t="shared" si="10"/>
        <v>152140.80000000002</v>
      </c>
    </row>
    <row r="262" spans="1:16" x14ac:dyDescent="0.3">
      <c r="A262" s="84">
        <v>318.5</v>
      </c>
      <c r="B262" t="s">
        <v>356</v>
      </c>
      <c r="C262" s="11">
        <f t="shared" si="15"/>
        <v>255728.55</v>
      </c>
      <c r="D262" s="11">
        <f t="shared" si="15"/>
        <v>255728.55</v>
      </c>
      <c r="E262" s="11">
        <f t="shared" si="15"/>
        <v>255728.55</v>
      </c>
      <c r="F262" s="11">
        <f t="shared" si="15"/>
        <v>255728.55</v>
      </c>
      <c r="G262" s="11">
        <f t="shared" si="15"/>
        <v>255728.55</v>
      </c>
      <c r="H262" s="11">
        <f t="shared" si="15"/>
        <v>255728.55</v>
      </c>
      <c r="I262" s="11">
        <f t="shared" si="15"/>
        <v>255728.55</v>
      </c>
      <c r="J262" s="11">
        <f t="shared" si="15"/>
        <v>255728.55</v>
      </c>
      <c r="K262" s="11">
        <f t="shared" si="15"/>
        <v>255728.55</v>
      </c>
      <c r="L262" s="11">
        <f t="shared" si="15"/>
        <v>255728.55</v>
      </c>
      <c r="M262" s="11">
        <f t="shared" si="15"/>
        <v>255728.55</v>
      </c>
      <c r="N262" s="11">
        <f t="shared" si="15"/>
        <v>255728.55</v>
      </c>
      <c r="O262" s="11">
        <f t="shared" si="15"/>
        <v>255728.55</v>
      </c>
      <c r="P262" s="11">
        <f t="shared" si="10"/>
        <v>255728.54999999996</v>
      </c>
    </row>
    <row r="263" spans="1:16" x14ac:dyDescent="0.3">
      <c r="A263" s="84">
        <v>325</v>
      </c>
      <c r="B263" t="s">
        <v>357</v>
      </c>
      <c r="C263" s="11">
        <f t="shared" si="15"/>
        <v>0</v>
      </c>
      <c r="D263" s="11">
        <f t="shared" si="15"/>
        <v>0</v>
      </c>
      <c r="E263" s="11">
        <f t="shared" si="15"/>
        <v>0</v>
      </c>
      <c r="F263" s="11">
        <f t="shared" si="15"/>
        <v>0</v>
      </c>
      <c r="G263" s="11">
        <f t="shared" si="15"/>
        <v>0</v>
      </c>
      <c r="H263" s="11">
        <f t="shared" si="15"/>
        <v>0</v>
      </c>
      <c r="I263" s="11">
        <f t="shared" si="15"/>
        <v>0</v>
      </c>
      <c r="J263" s="11">
        <f t="shared" si="15"/>
        <v>0</v>
      </c>
      <c r="K263" s="11">
        <f t="shared" si="15"/>
        <v>0</v>
      </c>
      <c r="L263" s="11">
        <f t="shared" si="15"/>
        <v>0</v>
      </c>
      <c r="M263" s="11">
        <f t="shared" si="15"/>
        <v>0</v>
      </c>
      <c r="N263" s="11">
        <f t="shared" si="15"/>
        <v>0</v>
      </c>
      <c r="O263" s="11">
        <f t="shared" si="15"/>
        <v>0</v>
      </c>
      <c r="P263" s="11">
        <f t="shared" si="10"/>
        <v>0</v>
      </c>
    </row>
    <row r="264" spans="1:16" x14ac:dyDescent="0.3">
      <c r="A264" s="84">
        <v>327</v>
      </c>
      <c r="B264" t="s">
        <v>358</v>
      </c>
      <c r="C264" s="11">
        <f t="shared" si="15"/>
        <v>0</v>
      </c>
      <c r="D264" s="11">
        <f t="shared" si="15"/>
        <v>0</v>
      </c>
      <c r="E264" s="11">
        <f t="shared" si="15"/>
        <v>0</v>
      </c>
      <c r="F264" s="11">
        <f t="shared" si="15"/>
        <v>0</v>
      </c>
      <c r="G264" s="11">
        <f t="shared" si="15"/>
        <v>0</v>
      </c>
      <c r="H264" s="11">
        <f t="shared" si="15"/>
        <v>0</v>
      </c>
      <c r="I264" s="11">
        <f t="shared" si="15"/>
        <v>0</v>
      </c>
      <c r="J264" s="11">
        <f t="shared" si="15"/>
        <v>0</v>
      </c>
      <c r="K264" s="11">
        <f t="shared" si="15"/>
        <v>0</v>
      </c>
      <c r="L264" s="11">
        <f t="shared" si="15"/>
        <v>0</v>
      </c>
      <c r="M264" s="11">
        <f t="shared" si="15"/>
        <v>0</v>
      </c>
      <c r="N264" s="11">
        <f t="shared" si="15"/>
        <v>0</v>
      </c>
      <c r="O264" s="11">
        <f t="shared" si="15"/>
        <v>0</v>
      </c>
      <c r="P264" s="11">
        <f t="shared" ref="P264:P327" si="16">(C264/2+O264/2+SUM(D264:N264))/12</f>
        <v>0</v>
      </c>
    </row>
    <row r="265" spans="1:16" x14ac:dyDescent="0.3">
      <c r="A265" s="84">
        <v>328</v>
      </c>
      <c r="B265" t="s">
        <v>357</v>
      </c>
      <c r="C265" s="11">
        <f t="shared" si="15"/>
        <v>0</v>
      </c>
      <c r="D265" s="11">
        <f t="shared" si="15"/>
        <v>0</v>
      </c>
      <c r="E265" s="11">
        <f t="shared" si="15"/>
        <v>0</v>
      </c>
      <c r="F265" s="11">
        <f t="shared" si="15"/>
        <v>0</v>
      </c>
      <c r="G265" s="11">
        <f t="shared" si="15"/>
        <v>0</v>
      </c>
      <c r="H265" s="11">
        <f t="shared" si="15"/>
        <v>0</v>
      </c>
      <c r="I265" s="11">
        <f t="shared" si="15"/>
        <v>0</v>
      </c>
      <c r="J265" s="11">
        <f t="shared" si="15"/>
        <v>0</v>
      </c>
      <c r="K265" s="11">
        <f t="shared" si="15"/>
        <v>0</v>
      </c>
      <c r="L265" s="11">
        <f t="shared" si="15"/>
        <v>0</v>
      </c>
      <c r="M265" s="11">
        <f t="shared" si="15"/>
        <v>0</v>
      </c>
      <c r="N265" s="11">
        <f t="shared" si="15"/>
        <v>0</v>
      </c>
      <c r="O265" s="11">
        <f t="shared" si="15"/>
        <v>0</v>
      </c>
      <c r="P265" s="11">
        <f t="shared" si="16"/>
        <v>0</v>
      </c>
    </row>
    <row r="266" spans="1:16" x14ac:dyDescent="0.3">
      <c r="A266" s="84">
        <v>331</v>
      </c>
      <c r="B266" t="s">
        <v>358</v>
      </c>
      <c r="C266" s="11">
        <f t="shared" ref="C266:O281" si="17">+C22+C144</f>
        <v>0</v>
      </c>
      <c r="D266" s="11">
        <f t="shared" si="17"/>
        <v>0</v>
      </c>
      <c r="E266" s="11">
        <f t="shared" si="17"/>
        <v>0</v>
      </c>
      <c r="F266" s="11">
        <f t="shared" si="17"/>
        <v>0</v>
      </c>
      <c r="G266" s="11">
        <f t="shared" si="17"/>
        <v>0</v>
      </c>
      <c r="H266" s="11">
        <f t="shared" si="17"/>
        <v>0</v>
      </c>
      <c r="I266" s="11">
        <f t="shared" si="17"/>
        <v>0</v>
      </c>
      <c r="J266" s="11">
        <f t="shared" si="17"/>
        <v>0</v>
      </c>
      <c r="K266" s="11">
        <f t="shared" si="17"/>
        <v>0</v>
      </c>
      <c r="L266" s="11">
        <f t="shared" si="17"/>
        <v>0</v>
      </c>
      <c r="M266" s="11">
        <f t="shared" si="17"/>
        <v>0</v>
      </c>
      <c r="N266" s="11">
        <f t="shared" si="17"/>
        <v>0</v>
      </c>
      <c r="O266" s="11">
        <f t="shared" si="17"/>
        <v>0</v>
      </c>
      <c r="P266" s="11">
        <f t="shared" si="16"/>
        <v>0</v>
      </c>
    </row>
    <row r="267" spans="1:16" x14ac:dyDescent="0.3">
      <c r="A267" s="84">
        <v>332</v>
      </c>
      <c r="B267" t="s">
        <v>358</v>
      </c>
      <c r="C267" s="11">
        <f t="shared" si="17"/>
        <v>0</v>
      </c>
      <c r="D267" s="11">
        <f t="shared" si="17"/>
        <v>0</v>
      </c>
      <c r="E267" s="11">
        <f t="shared" si="17"/>
        <v>0</v>
      </c>
      <c r="F267" s="11">
        <f t="shared" si="17"/>
        <v>0</v>
      </c>
      <c r="G267" s="11">
        <f t="shared" si="17"/>
        <v>0</v>
      </c>
      <c r="H267" s="11">
        <f t="shared" si="17"/>
        <v>0</v>
      </c>
      <c r="I267" s="11">
        <f t="shared" si="17"/>
        <v>0</v>
      </c>
      <c r="J267" s="11">
        <f t="shared" si="17"/>
        <v>0</v>
      </c>
      <c r="K267" s="11">
        <f t="shared" si="17"/>
        <v>0</v>
      </c>
      <c r="L267" s="11">
        <f t="shared" si="17"/>
        <v>0</v>
      </c>
      <c r="M267" s="11">
        <f t="shared" si="17"/>
        <v>0</v>
      </c>
      <c r="N267" s="11">
        <f t="shared" si="17"/>
        <v>0</v>
      </c>
      <c r="O267" s="11">
        <f t="shared" si="17"/>
        <v>0</v>
      </c>
      <c r="P267" s="11">
        <f t="shared" si="16"/>
        <v>0</v>
      </c>
    </row>
    <row r="268" spans="1:16" x14ac:dyDescent="0.3">
      <c r="A268" s="84">
        <v>333</v>
      </c>
      <c r="B268" t="s">
        <v>358</v>
      </c>
      <c r="C268" s="11">
        <f t="shared" si="17"/>
        <v>0</v>
      </c>
      <c r="D268" s="11">
        <f t="shared" si="17"/>
        <v>0</v>
      </c>
      <c r="E268" s="11">
        <f t="shared" si="17"/>
        <v>0</v>
      </c>
      <c r="F268" s="11">
        <f t="shared" si="17"/>
        <v>0</v>
      </c>
      <c r="G268" s="11">
        <f t="shared" si="17"/>
        <v>0</v>
      </c>
      <c r="H268" s="11">
        <f t="shared" si="17"/>
        <v>0</v>
      </c>
      <c r="I268" s="11">
        <f t="shared" si="17"/>
        <v>0</v>
      </c>
      <c r="J268" s="11">
        <f t="shared" si="17"/>
        <v>0</v>
      </c>
      <c r="K268" s="11">
        <f t="shared" si="17"/>
        <v>0</v>
      </c>
      <c r="L268" s="11">
        <f t="shared" si="17"/>
        <v>0</v>
      </c>
      <c r="M268" s="11">
        <f t="shared" si="17"/>
        <v>0</v>
      </c>
      <c r="N268" s="11">
        <f t="shared" si="17"/>
        <v>0</v>
      </c>
      <c r="O268" s="11">
        <f t="shared" si="17"/>
        <v>0</v>
      </c>
      <c r="P268" s="11">
        <f t="shared" si="16"/>
        <v>0</v>
      </c>
    </row>
    <row r="269" spans="1:16" x14ac:dyDescent="0.3">
      <c r="A269" s="84">
        <v>334</v>
      </c>
      <c r="B269" t="s">
        <v>358</v>
      </c>
      <c r="C269" s="11">
        <f t="shared" si="17"/>
        <v>0</v>
      </c>
      <c r="D269" s="11">
        <f t="shared" si="17"/>
        <v>0</v>
      </c>
      <c r="E269" s="11">
        <f t="shared" si="17"/>
        <v>0</v>
      </c>
      <c r="F269" s="11">
        <f t="shared" si="17"/>
        <v>0</v>
      </c>
      <c r="G269" s="11">
        <f t="shared" si="17"/>
        <v>0</v>
      </c>
      <c r="H269" s="11">
        <f t="shared" si="17"/>
        <v>0</v>
      </c>
      <c r="I269" s="11">
        <f t="shared" si="17"/>
        <v>0</v>
      </c>
      <c r="J269" s="11">
        <f t="shared" si="17"/>
        <v>0</v>
      </c>
      <c r="K269" s="11">
        <f t="shared" si="17"/>
        <v>0</v>
      </c>
      <c r="L269" s="11">
        <f t="shared" si="17"/>
        <v>0</v>
      </c>
      <c r="M269" s="11">
        <f t="shared" si="17"/>
        <v>0</v>
      </c>
      <c r="N269" s="11">
        <f t="shared" si="17"/>
        <v>0</v>
      </c>
      <c r="O269" s="11">
        <f t="shared" si="17"/>
        <v>0</v>
      </c>
      <c r="P269" s="11">
        <f t="shared" si="16"/>
        <v>0</v>
      </c>
    </row>
    <row r="270" spans="1:16" x14ac:dyDescent="0.3">
      <c r="A270" s="84">
        <v>305.11</v>
      </c>
      <c r="B270" t="s">
        <v>359</v>
      </c>
      <c r="C270" s="11">
        <f t="shared" si="17"/>
        <v>8736</v>
      </c>
      <c r="D270" s="11">
        <f t="shared" si="17"/>
        <v>8736</v>
      </c>
      <c r="E270" s="11">
        <f t="shared" si="17"/>
        <v>8736</v>
      </c>
      <c r="F270" s="11">
        <f t="shared" si="17"/>
        <v>8736</v>
      </c>
      <c r="G270" s="11">
        <f t="shared" si="17"/>
        <v>8736</v>
      </c>
      <c r="H270" s="11">
        <f t="shared" si="17"/>
        <v>8736</v>
      </c>
      <c r="I270" s="11">
        <f t="shared" si="17"/>
        <v>8736</v>
      </c>
      <c r="J270" s="11">
        <f t="shared" si="17"/>
        <v>8736</v>
      </c>
      <c r="K270" s="11">
        <f t="shared" si="17"/>
        <v>8736</v>
      </c>
      <c r="L270" s="11">
        <f t="shared" si="17"/>
        <v>8736</v>
      </c>
      <c r="M270" s="11">
        <f t="shared" si="17"/>
        <v>8736</v>
      </c>
      <c r="N270" s="11">
        <f t="shared" si="17"/>
        <v>8736</v>
      </c>
      <c r="O270" s="11">
        <f t="shared" si="17"/>
        <v>8736</v>
      </c>
      <c r="P270" s="11">
        <f t="shared" si="16"/>
        <v>8736</v>
      </c>
    </row>
    <row r="271" spans="1:16" x14ac:dyDescent="0.3">
      <c r="A271" s="84">
        <v>305.17</v>
      </c>
      <c r="B271" t="s">
        <v>360</v>
      </c>
      <c r="C271" s="11">
        <f t="shared" si="17"/>
        <v>51245.7</v>
      </c>
      <c r="D271" s="11">
        <f t="shared" si="17"/>
        <v>51245.7</v>
      </c>
      <c r="E271" s="11">
        <f t="shared" si="17"/>
        <v>51245.7</v>
      </c>
      <c r="F271" s="11">
        <f t="shared" si="17"/>
        <v>51245.7</v>
      </c>
      <c r="G271" s="11">
        <f t="shared" si="17"/>
        <v>51245.7</v>
      </c>
      <c r="H271" s="11">
        <f t="shared" si="17"/>
        <v>51245.7</v>
      </c>
      <c r="I271" s="11">
        <f t="shared" si="17"/>
        <v>51245.7</v>
      </c>
      <c r="J271" s="11">
        <f t="shared" si="17"/>
        <v>51245.7</v>
      </c>
      <c r="K271" s="11">
        <f t="shared" si="17"/>
        <v>51245.7</v>
      </c>
      <c r="L271" s="11">
        <f t="shared" si="17"/>
        <v>51245.7</v>
      </c>
      <c r="M271" s="11">
        <f t="shared" si="17"/>
        <v>51245.7</v>
      </c>
      <c r="N271" s="11">
        <f t="shared" si="17"/>
        <v>51245.7</v>
      </c>
      <c r="O271" s="11">
        <f t="shared" si="17"/>
        <v>51245.7</v>
      </c>
      <c r="P271" s="11">
        <f t="shared" si="16"/>
        <v>51245.700000000004</v>
      </c>
    </row>
    <row r="272" spans="1:16" x14ac:dyDescent="0.3">
      <c r="A272" s="84">
        <v>311</v>
      </c>
      <c r="B272" t="s">
        <v>361</v>
      </c>
      <c r="C272" s="11">
        <f t="shared" si="17"/>
        <v>0</v>
      </c>
      <c r="D272" s="11">
        <f t="shared" si="17"/>
        <v>0</v>
      </c>
      <c r="E272" s="11">
        <f t="shared" si="17"/>
        <v>0</v>
      </c>
      <c r="F272" s="11">
        <f t="shared" si="17"/>
        <v>0</v>
      </c>
      <c r="G272" s="11">
        <f t="shared" si="17"/>
        <v>-0.06</v>
      </c>
      <c r="H272" s="11">
        <f t="shared" si="17"/>
        <v>-0.05</v>
      </c>
      <c r="I272" s="11">
        <f t="shared" si="17"/>
        <v>-0.05</v>
      </c>
      <c r="J272" s="11">
        <f t="shared" si="17"/>
        <v>-0.05</v>
      </c>
      <c r="K272" s="11">
        <f t="shared" si="17"/>
        <v>-0.04</v>
      </c>
      <c r="L272" s="11">
        <f t="shared" si="17"/>
        <v>-0.05</v>
      </c>
      <c r="M272" s="11">
        <f t="shared" si="17"/>
        <v>-0.05</v>
      </c>
      <c r="N272" s="11">
        <f t="shared" si="17"/>
        <v>-0.06</v>
      </c>
      <c r="O272" s="11">
        <f t="shared" si="17"/>
        <v>-0.06</v>
      </c>
      <c r="P272" s="11">
        <f t="shared" si="16"/>
        <v>-3.666666666666666E-2</v>
      </c>
    </row>
    <row r="273" spans="1:16" x14ac:dyDescent="0.3">
      <c r="A273" s="84">
        <v>311.39999999999998</v>
      </c>
      <c r="B273" t="s">
        <v>362</v>
      </c>
      <c r="C273" s="11">
        <f t="shared" si="17"/>
        <v>0</v>
      </c>
      <c r="D273" s="11">
        <f t="shared" si="17"/>
        <v>0</v>
      </c>
      <c r="E273" s="11">
        <f t="shared" si="17"/>
        <v>0</v>
      </c>
      <c r="F273" s="11">
        <f t="shared" si="17"/>
        <v>0</v>
      </c>
      <c r="G273" s="11">
        <f t="shared" si="17"/>
        <v>0</v>
      </c>
      <c r="H273" s="11">
        <f t="shared" si="17"/>
        <v>0</v>
      </c>
      <c r="I273" s="11">
        <f t="shared" si="17"/>
        <v>0</v>
      </c>
      <c r="J273" s="11">
        <f t="shared" si="17"/>
        <v>0</v>
      </c>
      <c r="K273" s="11">
        <f t="shared" si="17"/>
        <v>0</v>
      </c>
      <c r="L273" s="11">
        <f t="shared" si="17"/>
        <v>0</v>
      </c>
      <c r="M273" s="11">
        <f t="shared" si="17"/>
        <v>0</v>
      </c>
      <c r="N273" s="11">
        <f t="shared" si="17"/>
        <v>0</v>
      </c>
      <c r="O273" s="11">
        <f t="shared" si="17"/>
        <v>0</v>
      </c>
      <c r="P273" s="11">
        <f t="shared" si="16"/>
        <v>0</v>
      </c>
    </row>
    <row r="274" spans="1:16" x14ac:dyDescent="0.3">
      <c r="A274" s="84">
        <v>311.7</v>
      </c>
      <c r="B274" t="s">
        <v>363</v>
      </c>
      <c r="C274" s="11">
        <f t="shared" si="17"/>
        <v>8066</v>
      </c>
      <c r="D274" s="11">
        <f t="shared" si="17"/>
        <v>8066</v>
      </c>
      <c r="E274" s="11">
        <f t="shared" si="17"/>
        <v>8066</v>
      </c>
      <c r="F274" s="11">
        <f t="shared" si="17"/>
        <v>8066</v>
      </c>
      <c r="G274" s="11">
        <f t="shared" si="17"/>
        <v>8066</v>
      </c>
      <c r="H274" s="11">
        <f t="shared" si="17"/>
        <v>8066</v>
      </c>
      <c r="I274" s="11">
        <f t="shared" si="17"/>
        <v>8066</v>
      </c>
      <c r="J274" s="11">
        <f t="shared" si="17"/>
        <v>8066</v>
      </c>
      <c r="K274" s="11">
        <f t="shared" si="17"/>
        <v>8066</v>
      </c>
      <c r="L274" s="11">
        <f t="shared" si="17"/>
        <v>8066</v>
      </c>
      <c r="M274" s="11">
        <f t="shared" si="17"/>
        <v>8066</v>
      </c>
      <c r="N274" s="11">
        <f t="shared" si="17"/>
        <v>8066</v>
      </c>
      <c r="O274" s="11">
        <f t="shared" si="17"/>
        <v>8066</v>
      </c>
      <c r="P274" s="11">
        <f t="shared" si="16"/>
        <v>8066</v>
      </c>
    </row>
    <row r="275" spans="1:16" x14ac:dyDescent="0.3">
      <c r="A275" s="84">
        <v>311.8</v>
      </c>
      <c r="B275" t="s">
        <v>364</v>
      </c>
      <c r="C275" s="11">
        <f t="shared" si="17"/>
        <v>6584.5</v>
      </c>
      <c r="D275" s="11">
        <f t="shared" si="17"/>
        <v>6584.5</v>
      </c>
      <c r="E275" s="11">
        <f t="shared" si="17"/>
        <v>6584.5</v>
      </c>
      <c r="F275" s="11">
        <f t="shared" si="17"/>
        <v>6584.5</v>
      </c>
      <c r="G275" s="11">
        <f t="shared" si="17"/>
        <v>6584.5</v>
      </c>
      <c r="H275" s="11">
        <f t="shared" si="17"/>
        <v>6584.5</v>
      </c>
      <c r="I275" s="11">
        <f t="shared" si="17"/>
        <v>6584.5</v>
      </c>
      <c r="J275" s="11">
        <f t="shared" si="17"/>
        <v>6584.5</v>
      </c>
      <c r="K275" s="11">
        <f t="shared" si="17"/>
        <v>6584.5</v>
      </c>
      <c r="L275" s="11">
        <f t="shared" si="17"/>
        <v>6584.5</v>
      </c>
      <c r="M275" s="11">
        <f t="shared" si="17"/>
        <v>6584.5</v>
      </c>
      <c r="N275" s="11">
        <f t="shared" si="17"/>
        <v>6584.5</v>
      </c>
      <c r="O275" s="11">
        <f t="shared" si="17"/>
        <v>6584.5</v>
      </c>
      <c r="P275" s="11">
        <f t="shared" si="16"/>
        <v>6584.5</v>
      </c>
    </row>
    <row r="276" spans="1:16" x14ac:dyDescent="0.3">
      <c r="A276" s="84">
        <v>319</v>
      </c>
      <c r="B276" t="s">
        <v>365</v>
      </c>
      <c r="C276" s="11">
        <f t="shared" si="17"/>
        <v>194720.4</v>
      </c>
      <c r="D276" s="11">
        <f t="shared" si="17"/>
        <v>194720.4</v>
      </c>
      <c r="E276" s="11">
        <f t="shared" si="17"/>
        <v>194720.4</v>
      </c>
      <c r="F276" s="11">
        <f t="shared" si="17"/>
        <v>194720.4</v>
      </c>
      <c r="G276" s="11">
        <f t="shared" si="17"/>
        <v>194720.4</v>
      </c>
      <c r="H276" s="11">
        <f t="shared" si="17"/>
        <v>194720.4</v>
      </c>
      <c r="I276" s="11">
        <f t="shared" si="17"/>
        <v>194720.4</v>
      </c>
      <c r="J276" s="11">
        <f t="shared" si="17"/>
        <v>194720.4</v>
      </c>
      <c r="K276" s="11">
        <f t="shared" si="17"/>
        <v>194720.4</v>
      </c>
      <c r="L276" s="11">
        <f t="shared" si="17"/>
        <v>194720.4</v>
      </c>
      <c r="M276" s="11">
        <f t="shared" si="17"/>
        <v>194720.4</v>
      </c>
      <c r="N276" s="11">
        <f t="shared" si="17"/>
        <v>194720.4</v>
      </c>
      <c r="O276" s="11">
        <f t="shared" si="17"/>
        <v>194720.4</v>
      </c>
      <c r="P276" s="11">
        <f t="shared" si="16"/>
        <v>194720.39999999994</v>
      </c>
    </row>
    <row r="277" spans="1:16" x14ac:dyDescent="0.3">
      <c r="A277" s="84">
        <v>350.1</v>
      </c>
      <c r="B277" t="s">
        <v>327</v>
      </c>
      <c r="C277" s="11">
        <f t="shared" si="17"/>
        <v>0</v>
      </c>
      <c r="D277" s="11">
        <f t="shared" si="17"/>
        <v>0</v>
      </c>
      <c r="E277" s="11">
        <f t="shared" si="17"/>
        <v>0</v>
      </c>
      <c r="F277" s="11">
        <f t="shared" si="17"/>
        <v>0</v>
      </c>
      <c r="G277" s="11">
        <f t="shared" si="17"/>
        <v>0</v>
      </c>
      <c r="H277" s="11">
        <f t="shared" si="17"/>
        <v>0</v>
      </c>
      <c r="I277" s="11">
        <f t="shared" si="17"/>
        <v>0</v>
      </c>
      <c r="J277" s="11">
        <f t="shared" si="17"/>
        <v>0</v>
      </c>
      <c r="K277" s="11">
        <f t="shared" si="17"/>
        <v>0</v>
      </c>
      <c r="L277" s="11">
        <f t="shared" si="17"/>
        <v>0</v>
      </c>
      <c r="M277" s="11">
        <f t="shared" si="17"/>
        <v>0</v>
      </c>
      <c r="N277" s="11">
        <f t="shared" si="17"/>
        <v>0</v>
      </c>
      <c r="O277" s="11">
        <f t="shared" si="17"/>
        <v>0</v>
      </c>
      <c r="P277" s="11">
        <f t="shared" si="16"/>
        <v>0</v>
      </c>
    </row>
    <row r="278" spans="1:16" x14ac:dyDescent="0.3">
      <c r="A278" s="84">
        <v>350.2</v>
      </c>
      <c r="B278" t="s">
        <v>366</v>
      </c>
      <c r="C278" s="11">
        <f t="shared" si="17"/>
        <v>28251</v>
      </c>
      <c r="D278" s="11">
        <f t="shared" si="17"/>
        <v>28398.98</v>
      </c>
      <c r="E278" s="11">
        <f t="shared" si="17"/>
        <v>28546.97</v>
      </c>
      <c r="F278" s="11">
        <f t="shared" si="17"/>
        <v>28694.959999999999</v>
      </c>
      <c r="G278" s="11">
        <f t="shared" si="17"/>
        <v>28842.97</v>
      </c>
      <c r="H278" s="11">
        <f t="shared" si="17"/>
        <v>28990.94</v>
      </c>
      <c r="I278" s="11">
        <f t="shared" si="17"/>
        <v>29138.959999999999</v>
      </c>
      <c r="J278" s="11">
        <f t="shared" si="17"/>
        <v>29286.94</v>
      </c>
      <c r="K278" s="11">
        <f t="shared" si="17"/>
        <v>29434.93</v>
      </c>
      <c r="L278" s="11">
        <f t="shared" si="17"/>
        <v>29582.91</v>
      </c>
      <c r="M278" s="11">
        <f t="shared" si="17"/>
        <v>29730.92</v>
      </c>
      <c r="N278" s="11">
        <f t="shared" si="17"/>
        <v>29878.9</v>
      </c>
      <c r="O278" s="11">
        <f t="shared" si="17"/>
        <v>30026.91</v>
      </c>
      <c r="P278" s="11">
        <f t="shared" si="16"/>
        <v>29138.944583333334</v>
      </c>
    </row>
    <row r="279" spans="1:16" x14ac:dyDescent="0.3">
      <c r="A279" s="84">
        <v>351</v>
      </c>
      <c r="B279" t="s">
        <v>367</v>
      </c>
      <c r="C279" s="11">
        <f t="shared" si="17"/>
        <v>2758723.55</v>
      </c>
      <c r="D279" s="11">
        <f t="shared" si="17"/>
        <v>2769061.03</v>
      </c>
      <c r="E279" s="11">
        <f t="shared" si="17"/>
        <v>2779398.59</v>
      </c>
      <c r="F279" s="11">
        <f t="shared" si="17"/>
        <v>2789826.12</v>
      </c>
      <c r="G279" s="11">
        <f t="shared" si="17"/>
        <v>2800345.55</v>
      </c>
      <c r="H279" s="11">
        <f t="shared" si="17"/>
        <v>2810865.03</v>
      </c>
      <c r="I279" s="11">
        <f t="shared" si="17"/>
        <v>2821384.43</v>
      </c>
      <c r="J279" s="11">
        <f t="shared" si="17"/>
        <v>2831903.93</v>
      </c>
      <c r="K279" s="11">
        <f t="shared" si="17"/>
        <v>2842423.34</v>
      </c>
      <c r="L279" s="11">
        <f t="shared" si="17"/>
        <v>2853798.25</v>
      </c>
      <c r="M279" s="11">
        <f t="shared" si="17"/>
        <v>2866028.66</v>
      </c>
      <c r="N279" s="11">
        <f t="shared" si="17"/>
        <v>2878258.98</v>
      </c>
      <c r="O279" s="11">
        <f t="shared" si="17"/>
        <v>2890489.4</v>
      </c>
      <c r="P279" s="11">
        <f t="shared" si="16"/>
        <v>2822325.032083333</v>
      </c>
    </row>
    <row r="280" spans="1:16" x14ac:dyDescent="0.3">
      <c r="A280" s="84">
        <v>352</v>
      </c>
      <c r="B280" t="s">
        <v>368</v>
      </c>
      <c r="C280" s="11">
        <f t="shared" si="17"/>
        <v>11701768.039999999</v>
      </c>
      <c r="D280" s="11">
        <f t="shared" si="17"/>
        <v>11736349.310000001</v>
      </c>
      <c r="E280" s="11">
        <f t="shared" si="17"/>
        <v>11770930.470000001</v>
      </c>
      <c r="F280" s="11">
        <f t="shared" si="17"/>
        <v>11805511.630000001</v>
      </c>
      <c r="G280" s="11">
        <f t="shared" si="17"/>
        <v>11840092.84</v>
      </c>
      <c r="H280" s="11">
        <f t="shared" si="17"/>
        <v>11877363.960000001</v>
      </c>
      <c r="I280" s="11">
        <f t="shared" si="17"/>
        <v>11917335.859999999</v>
      </c>
      <c r="J280" s="11">
        <f t="shared" si="17"/>
        <v>11957322.65</v>
      </c>
      <c r="K280" s="11">
        <f t="shared" si="17"/>
        <v>11997321</v>
      </c>
      <c r="L280" s="11">
        <f t="shared" si="17"/>
        <v>12037333.85</v>
      </c>
      <c r="M280" s="11">
        <f t="shared" si="17"/>
        <v>12077361.289999999</v>
      </c>
      <c r="N280" s="11">
        <f t="shared" si="17"/>
        <v>12117406.77</v>
      </c>
      <c r="O280" s="11">
        <f t="shared" si="17"/>
        <v>12157471.300000001</v>
      </c>
      <c r="P280" s="11">
        <f t="shared" si="16"/>
        <v>11921995.774999999</v>
      </c>
    </row>
    <row r="281" spans="1:16" x14ac:dyDescent="0.3">
      <c r="A281" s="84">
        <v>352.1</v>
      </c>
      <c r="B281" t="s">
        <v>369</v>
      </c>
      <c r="C281" s="11">
        <f t="shared" si="17"/>
        <v>1651216.71</v>
      </c>
      <c r="D281" s="11">
        <f t="shared" si="17"/>
        <v>1657616.77</v>
      </c>
      <c r="E281" s="11">
        <f t="shared" si="17"/>
        <v>1664016.83</v>
      </c>
      <c r="F281" s="11">
        <f t="shared" si="17"/>
        <v>1670416.85</v>
      </c>
      <c r="G281" s="11">
        <f t="shared" si="17"/>
        <v>1676816.91</v>
      </c>
      <c r="H281" s="11">
        <f t="shared" si="17"/>
        <v>1683216.94</v>
      </c>
      <c r="I281" s="11">
        <f t="shared" si="17"/>
        <v>1689617</v>
      </c>
      <c r="J281" s="11">
        <f t="shared" si="17"/>
        <v>1696017.03</v>
      </c>
      <c r="K281" s="11">
        <f t="shared" si="17"/>
        <v>1702417.11</v>
      </c>
      <c r="L281" s="11">
        <f t="shared" si="17"/>
        <v>1708817.14</v>
      </c>
      <c r="M281" s="11">
        <f t="shared" si="17"/>
        <v>1715217.17</v>
      </c>
      <c r="N281" s="11">
        <f t="shared" si="17"/>
        <v>1721617.24</v>
      </c>
      <c r="O281" s="11">
        <f t="shared" si="17"/>
        <v>1728017.27</v>
      </c>
      <c r="P281" s="11">
        <f t="shared" si="16"/>
        <v>1689616.9983333331</v>
      </c>
    </row>
    <row r="282" spans="1:16" x14ac:dyDescent="0.3">
      <c r="A282" s="84">
        <v>352.2</v>
      </c>
      <c r="B282" t="s">
        <v>370</v>
      </c>
      <c r="C282" s="11">
        <f t="shared" ref="C282:O297" si="18">+C38+C160</f>
        <v>2494410.3199999998</v>
      </c>
      <c r="D282" s="11">
        <f t="shared" si="18"/>
        <v>2506591.9</v>
      </c>
      <c r="E282" s="11">
        <f t="shared" si="18"/>
        <v>2518773.39</v>
      </c>
      <c r="F282" s="11">
        <f t="shared" si="18"/>
        <v>2530954.9500000002</v>
      </c>
      <c r="G282" s="11">
        <f t="shared" si="18"/>
        <v>2543136.46</v>
      </c>
      <c r="H282" s="11">
        <f t="shared" si="18"/>
        <v>2555318.02</v>
      </c>
      <c r="I282" s="11">
        <f t="shared" si="18"/>
        <v>2567499.4700000002</v>
      </c>
      <c r="J282" s="11">
        <f t="shared" si="18"/>
        <v>2579681.0499999998</v>
      </c>
      <c r="K282" s="11">
        <f t="shared" si="18"/>
        <v>2591862.61</v>
      </c>
      <c r="L282" s="11">
        <f t="shared" si="18"/>
        <v>2604044.12</v>
      </c>
      <c r="M282" s="11">
        <f t="shared" si="18"/>
        <v>2616225.61</v>
      </c>
      <c r="N282" s="11">
        <f t="shared" si="18"/>
        <v>2628407.19</v>
      </c>
      <c r="O282" s="11">
        <f t="shared" si="18"/>
        <v>2640588.66</v>
      </c>
      <c r="P282" s="11">
        <f t="shared" si="16"/>
        <v>2567499.5216666665</v>
      </c>
    </row>
    <row r="283" spans="1:16" x14ac:dyDescent="0.3">
      <c r="A283" s="84">
        <v>352.3</v>
      </c>
      <c r="B283" t="s">
        <v>371</v>
      </c>
      <c r="C283" s="11">
        <f t="shared" si="18"/>
        <v>3410612.33</v>
      </c>
      <c r="D283" s="11">
        <f t="shared" si="18"/>
        <v>3420703.07</v>
      </c>
      <c r="E283" s="11">
        <f t="shared" si="18"/>
        <v>3430793.79</v>
      </c>
      <c r="F283" s="11">
        <f t="shared" si="18"/>
        <v>3440884.52</v>
      </c>
      <c r="G283" s="11">
        <f t="shared" si="18"/>
        <v>3450975.25</v>
      </c>
      <c r="H283" s="11">
        <f t="shared" si="18"/>
        <v>3461065.97</v>
      </c>
      <c r="I283" s="11">
        <f t="shared" si="18"/>
        <v>3471156.69</v>
      </c>
      <c r="J283" s="11">
        <f t="shared" si="18"/>
        <v>3481247.44</v>
      </c>
      <c r="K283" s="11">
        <f t="shared" si="18"/>
        <v>3491338.17</v>
      </c>
      <c r="L283" s="11">
        <f t="shared" si="18"/>
        <v>3501428.88</v>
      </c>
      <c r="M283" s="11">
        <f t="shared" si="18"/>
        <v>3511519.6</v>
      </c>
      <c r="N283" s="11">
        <f t="shared" si="18"/>
        <v>3521610.33</v>
      </c>
      <c r="O283" s="11">
        <f t="shared" si="18"/>
        <v>3531701.06</v>
      </c>
      <c r="P283" s="11">
        <f t="shared" si="16"/>
        <v>3471156.700416666</v>
      </c>
    </row>
    <row r="284" spans="1:16" x14ac:dyDescent="0.3">
      <c r="A284" s="84">
        <v>353</v>
      </c>
      <c r="B284" t="s">
        <v>372</v>
      </c>
      <c r="C284" s="11">
        <f t="shared" si="18"/>
        <v>3142336.02</v>
      </c>
      <c r="D284" s="11">
        <f t="shared" si="18"/>
        <v>3153579.04</v>
      </c>
      <c r="E284" s="11">
        <f t="shared" si="18"/>
        <v>3164829.25</v>
      </c>
      <c r="F284" s="11">
        <f t="shared" si="18"/>
        <v>3176072.27</v>
      </c>
      <c r="G284" s="11">
        <f t="shared" si="18"/>
        <v>3187315.24</v>
      </c>
      <c r="H284" s="11">
        <f t="shared" si="18"/>
        <v>3198579.84</v>
      </c>
      <c r="I284" s="11">
        <f t="shared" si="18"/>
        <v>3209822.87</v>
      </c>
      <c r="J284" s="11">
        <f t="shared" si="18"/>
        <v>3221073.05</v>
      </c>
      <c r="K284" s="11">
        <f t="shared" si="18"/>
        <v>3232315.97</v>
      </c>
      <c r="L284" s="11">
        <f t="shared" si="18"/>
        <v>3243566.15</v>
      </c>
      <c r="M284" s="11">
        <f t="shared" si="18"/>
        <v>3254809.13</v>
      </c>
      <c r="N284" s="11">
        <f t="shared" si="18"/>
        <v>3266052.05</v>
      </c>
      <c r="O284" s="11">
        <f t="shared" si="18"/>
        <v>3277610.84</v>
      </c>
      <c r="P284" s="11">
        <f t="shared" si="16"/>
        <v>3209832.3574999999</v>
      </c>
    </row>
    <row r="285" spans="1:16" x14ac:dyDescent="0.3">
      <c r="A285" s="84">
        <v>354</v>
      </c>
      <c r="B285" t="s">
        <v>373</v>
      </c>
      <c r="C285" s="11">
        <f t="shared" si="18"/>
        <v>0</v>
      </c>
      <c r="D285" s="11">
        <f t="shared" si="18"/>
        <v>0</v>
      </c>
      <c r="E285" s="11">
        <f t="shared" si="18"/>
        <v>0</v>
      </c>
      <c r="F285" s="11">
        <f t="shared" si="18"/>
        <v>0</v>
      </c>
      <c r="G285" s="11">
        <f t="shared" si="18"/>
        <v>0</v>
      </c>
      <c r="H285" s="11">
        <f t="shared" si="18"/>
        <v>0</v>
      </c>
      <c r="I285" s="11">
        <f t="shared" si="18"/>
        <v>0</v>
      </c>
      <c r="J285" s="11">
        <f t="shared" si="18"/>
        <v>0</v>
      </c>
      <c r="K285" s="11">
        <f t="shared" si="18"/>
        <v>0</v>
      </c>
      <c r="L285" s="11">
        <f t="shared" si="18"/>
        <v>0</v>
      </c>
      <c r="M285" s="11">
        <f t="shared" si="18"/>
        <v>0</v>
      </c>
      <c r="N285" s="11">
        <f t="shared" si="18"/>
        <v>0</v>
      </c>
      <c r="O285" s="11">
        <f t="shared" si="18"/>
        <v>0</v>
      </c>
      <c r="P285" s="11">
        <f t="shared" si="16"/>
        <v>0</v>
      </c>
    </row>
    <row r="286" spans="1:16" x14ac:dyDescent="0.3">
      <c r="A286" s="84">
        <v>354.1</v>
      </c>
      <c r="B286" t="s">
        <v>1909</v>
      </c>
      <c r="C286" s="11">
        <f t="shared" si="18"/>
        <v>3252170.13</v>
      </c>
      <c r="D286" s="11">
        <f t="shared" si="18"/>
        <v>3261375.63</v>
      </c>
      <c r="E286" s="11">
        <f t="shared" si="18"/>
        <v>3270586.92</v>
      </c>
      <c r="F286" s="11">
        <f t="shared" si="18"/>
        <v>3279792.43</v>
      </c>
      <c r="G286" s="11">
        <f t="shared" si="18"/>
        <v>3288998</v>
      </c>
      <c r="H286" s="11">
        <f t="shared" si="18"/>
        <v>3298220.63</v>
      </c>
      <c r="I286" s="11">
        <f t="shared" si="18"/>
        <v>3307426.15</v>
      </c>
      <c r="J286" s="11">
        <f t="shared" si="18"/>
        <v>3316637.36</v>
      </c>
      <c r="K286" s="11">
        <f t="shared" si="18"/>
        <v>3325842.91</v>
      </c>
      <c r="L286" s="11">
        <f t="shared" si="18"/>
        <v>3335054.08</v>
      </c>
      <c r="M286" s="11">
        <f t="shared" si="18"/>
        <v>3344259.55</v>
      </c>
      <c r="N286" s="11">
        <f t="shared" si="18"/>
        <v>3353465</v>
      </c>
      <c r="O286" s="11">
        <f t="shared" si="18"/>
        <v>3362676.24</v>
      </c>
      <c r="P286" s="11">
        <f t="shared" si="16"/>
        <v>3307423.4870833331</v>
      </c>
    </row>
    <row r="287" spans="1:16" x14ac:dyDescent="0.3">
      <c r="A287" s="84">
        <v>354.2</v>
      </c>
      <c r="B287" t="s">
        <v>1910</v>
      </c>
      <c r="C287" s="11">
        <f t="shared" si="18"/>
        <v>3334930.52</v>
      </c>
      <c r="D287" s="11">
        <f t="shared" si="18"/>
        <v>3344136.08</v>
      </c>
      <c r="E287" s="11">
        <f t="shared" si="18"/>
        <v>3353347.33</v>
      </c>
      <c r="F287" s="11">
        <f t="shared" si="18"/>
        <v>3362552.87</v>
      </c>
      <c r="G287" s="11">
        <f t="shared" si="18"/>
        <v>3371758.4</v>
      </c>
      <c r="H287" s="11">
        <f t="shared" si="18"/>
        <v>3380981.06</v>
      </c>
      <c r="I287" s="11">
        <f t="shared" si="18"/>
        <v>3390186.58</v>
      </c>
      <c r="J287" s="11">
        <f t="shared" si="18"/>
        <v>3399397.8</v>
      </c>
      <c r="K287" s="11">
        <f t="shared" si="18"/>
        <v>3408603.3</v>
      </c>
      <c r="L287" s="11">
        <f t="shared" si="18"/>
        <v>3417814.5</v>
      </c>
      <c r="M287" s="11">
        <f t="shared" si="18"/>
        <v>3427019.99</v>
      </c>
      <c r="N287" s="11">
        <f t="shared" si="18"/>
        <v>3436225.46</v>
      </c>
      <c r="O287" s="11">
        <f t="shared" si="18"/>
        <v>3445436.65</v>
      </c>
      <c r="P287" s="11">
        <f t="shared" si="16"/>
        <v>3390183.9129166673</v>
      </c>
    </row>
    <row r="288" spans="1:16" x14ac:dyDescent="0.3">
      <c r="A288" s="84">
        <v>354.3</v>
      </c>
      <c r="B288" t="s">
        <v>1911</v>
      </c>
      <c r="C288" s="11">
        <f t="shared" si="18"/>
        <v>10363550.07</v>
      </c>
      <c r="D288" s="11">
        <f t="shared" si="18"/>
        <v>10407067.51</v>
      </c>
      <c r="E288" s="11">
        <f t="shared" si="18"/>
        <v>10450611.869999999</v>
      </c>
      <c r="F288" s="11">
        <f t="shared" si="18"/>
        <v>10494129.199999999</v>
      </c>
      <c r="G288" s="11">
        <f t="shared" si="18"/>
        <v>10537646.49</v>
      </c>
      <c r="H288" s="11">
        <f t="shared" si="18"/>
        <v>10581244.84</v>
      </c>
      <c r="I288" s="11">
        <f t="shared" si="18"/>
        <v>10624762.060000001</v>
      </c>
      <c r="J288" s="11">
        <f t="shared" si="18"/>
        <v>10668306.310000001</v>
      </c>
      <c r="K288" s="11">
        <f t="shared" si="18"/>
        <v>10711823.48</v>
      </c>
      <c r="L288" s="11">
        <f t="shared" si="18"/>
        <v>10755367.65</v>
      </c>
      <c r="M288" s="11">
        <f t="shared" si="18"/>
        <v>10798884.74</v>
      </c>
      <c r="N288" s="11">
        <f t="shared" si="18"/>
        <v>10842401.789999999</v>
      </c>
      <c r="O288" s="11">
        <f t="shared" si="18"/>
        <v>10885945.869999999</v>
      </c>
      <c r="P288" s="11">
        <f t="shared" si="16"/>
        <v>10624749.4925</v>
      </c>
    </row>
    <row r="289" spans="1:16" x14ac:dyDescent="0.3">
      <c r="A289" s="84">
        <v>354.4</v>
      </c>
      <c r="B289" t="s">
        <v>1912</v>
      </c>
      <c r="C289" s="11">
        <f t="shared" si="18"/>
        <v>1534899.3</v>
      </c>
      <c r="D289" s="11">
        <f t="shared" si="18"/>
        <v>1542246.93</v>
      </c>
      <c r="E289" s="11">
        <f t="shared" si="18"/>
        <v>1549599.1</v>
      </c>
      <c r="F289" s="11">
        <f t="shared" si="18"/>
        <v>1556946.73</v>
      </c>
      <c r="G289" s="11">
        <f t="shared" si="18"/>
        <v>1564294.34</v>
      </c>
      <c r="H289" s="11">
        <f t="shared" si="18"/>
        <v>1571655.63</v>
      </c>
      <c r="I289" s="11">
        <f t="shared" si="18"/>
        <v>1579003.23</v>
      </c>
      <c r="J289" s="11">
        <f t="shared" si="18"/>
        <v>1586355.38</v>
      </c>
      <c r="K289" s="11">
        <f t="shared" si="18"/>
        <v>1593702.97</v>
      </c>
      <c r="L289" s="11">
        <f t="shared" si="18"/>
        <v>1601055.11</v>
      </c>
      <c r="M289" s="11">
        <f t="shared" si="18"/>
        <v>1608402.69</v>
      </c>
      <c r="N289" s="11">
        <f t="shared" si="18"/>
        <v>1615750.26</v>
      </c>
      <c r="O289" s="11">
        <f t="shared" si="18"/>
        <v>1623102.39</v>
      </c>
      <c r="P289" s="11">
        <f t="shared" si="16"/>
        <v>1579001.1012500001</v>
      </c>
    </row>
    <row r="290" spans="1:16" x14ac:dyDescent="0.3">
      <c r="A290" s="84">
        <v>354.6</v>
      </c>
      <c r="B290" t="s">
        <v>1913</v>
      </c>
      <c r="C290" s="11">
        <f t="shared" si="18"/>
        <v>32081.58</v>
      </c>
      <c r="D290" s="11">
        <f t="shared" si="18"/>
        <v>33510.370000000003</v>
      </c>
      <c r="E290" s="11">
        <f t="shared" si="18"/>
        <v>34939.160000000003</v>
      </c>
      <c r="F290" s="11">
        <f t="shared" si="18"/>
        <v>36375.49</v>
      </c>
      <c r="G290" s="11">
        <f t="shared" si="18"/>
        <v>37819.35</v>
      </c>
      <c r="H290" s="11">
        <f t="shared" si="18"/>
        <v>39263.199999999997</v>
      </c>
      <c r="I290" s="11">
        <f t="shared" si="18"/>
        <v>40707.06</v>
      </c>
      <c r="J290" s="11">
        <f t="shared" si="18"/>
        <v>42150.91</v>
      </c>
      <c r="K290" s="11">
        <f t="shared" si="18"/>
        <v>43594.77</v>
      </c>
      <c r="L290" s="11">
        <f t="shared" si="18"/>
        <v>45038.63</v>
      </c>
      <c r="M290" s="11">
        <f t="shared" si="18"/>
        <v>46482.48</v>
      </c>
      <c r="N290" s="11">
        <f t="shared" si="18"/>
        <v>47926.34</v>
      </c>
      <c r="O290" s="11">
        <f t="shared" si="18"/>
        <v>49370.19</v>
      </c>
      <c r="P290" s="11">
        <f t="shared" si="16"/>
        <v>40711.137083333335</v>
      </c>
    </row>
    <row r="291" spans="1:16" x14ac:dyDescent="0.3">
      <c r="A291" s="84">
        <v>355</v>
      </c>
      <c r="B291" t="s">
        <v>374</v>
      </c>
      <c r="C291" s="11">
        <f t="shared" si="18"/>
        <v>4543527.6500000004</v>
      </c>
      <c r="D291" s="11">
        <f t="shared" si="18"/>
        <v>4556920.0199999996</v>
      </c>
      <c r="E291" s="11">
        <f t="shared" si="18"/>
        <v>4570316.4400000004</v>
      </c>
      <c r="F291" s="11">
        <f t="shared" si="18"/>
        <v>4583708.84</v>
      </c>
      <c r="G291" s="11">
        <f t="shared" si="18"/>
        <v>4597102.6500000004</v>
      </c>
      <c r="H291" s="11">
        <f t="shared" si="18"/>
        <v>4610508.63</v>
      </c>
      <c r="I291" s="11">
        <f t="shared" si="18"/>
        <v>4623902.45</v>
      </c>
      <c r="J291" s="11">
        <f t="shared" si="18"/>
        <v>4637300.3</v>
      </c>
      <c r="K291" s="11">
        <f t="shared" si="18"/>
        <v>4650694.05</v>
      </c>
      <c r="L291" s="11">
        <f t="shared" si="18"/>
        <v>4664091.87</v>
      </c>
      <c r="M291" s="11">
        <f t="shared" si="18"/>
        <v>4677485.68</v>
      </c>
      <c r="N291" s="11">
        <f t="shared" si="18"/>
        <v>4690879.4800000004</v>
      </c>
      <c r="O291" s="11">
        <f t="shared" si="18"/>
        <v>4704277.3499999996</v>
      </c>
      <c r="P291" s="11">
        <f t="shared" si="16"/>
        <v>4623901.0758333327</v>
      </c>
    </row>
    <row r="292" spans="1:16" x14ac:dyDescent="0.3">
      <c r="A292" s="84">
        <v>356</v>
      </c>
      <c r="B292" t="s">
        <v>375</v>
      </c>
      <c r="C292" s="11">
        <f t="shared" si="18"/>
        <v>230601.26</v>
      </c>
      <c r="D292" s="11">
        <f t="shared" si="18"/>
        <v>231215.85</v>
      </c>
      <c r="E292" s="11">
        <f t="shared" si="18"/>
        <v>231830.37</v>
      </c>
      <c r="F292" s="11">
        <f t="shared" si="18"/>
        <v>232444.92</v>
      </c>
      <c r="G292" s="11">
        <f t="shared" si="18"/>
        <v>233059.47</v>
      </c>
      <c r="H292" s="11">
        <f t="shared" si="18"/>
        <v>233674.02</v>
      </c>
      <c r="I292" s="11">
        <f t="shared" si="18"/>
        <v>234288.54</v>
      </c>
      <c r="J292" s="11">
        <f t="shared" si="18"/>
        <v>234903.11</v>
      </c>
      <c r="K292" s="11">
        <f t="shared" si="18"/>
        <v>235517.68</v>
      </c>
      <c r="L292" s="11">
        <f t="shared" si="18"/>
        <v>236200.66</v>
      </c>
      <c r="M292" s="11">
        <f t="shared" si="18"/>
        <v>236951.94</v>
      </c>
      <c r="N292" s="11">
        <f t="shared" si="18"/>
        <v>237703.01</v>
      </c>
      <c r="O292" s="11">
        <f t="shared" si="18"/>
        <v>238454.08</v>
      </c>
      <c r="P292" s="11">
        <f t="shared" si="16"/>
        <v>234359.76999999993</v>
      </c>
    </row>
    <row r="293" spans="1:16" x14ac:dyDescent="0.3">
      <c r="A293" s="84">
        <v>357</v>
      </c>
      <c r="B293" t="s">
        <v>376</v>
      </c>
      <c r="C293" s="11">
        <f t="shared" si="18"/>
        <v>850162.97</v>
      </c>
      <c r="D293" s="11">
        <f t="shared" si="18"/>
        <v>852693.82</v>
      </c>
      <c r="E293" s="11">
        <f t="shared" si="18"/>
        <v>855224.66</v>
      </c>
      <c r="F293" s="11">
        <f t="shared" si="18"/>
        <v>857755.5</v>
      </c>
      <c r="G293" s="11">
        <f t="shared" si="18"/>
        <v>860286.35</v>
      </c>
      <c r="H293" s="11">
        <f t="shared" si="18"/>
        <v>862817.21</v>
      </c>
      <c r="I293" s="11">
        <f t="shared" si="18"/>
        <v>865348.07</v>
      </c>
      <c r="J293" s="11">
        <f t="shared" si="18"/>
        <v>867878.92</v>
      </c>
      <c r="K293" s="11">
        <f t="shared" si="18"/>
        <v>870409.78</v>
      </c>
      <c r="L293" s="11">
        <f t="shared" si="18"/>
        <v>873915.03</v>
      </c>
      <c r="M293" s="11">
        <f t="shared" si="18"/>
        <v>878394.65</v>
      </c>
      <c r="N293" s="11">
        <f t="shared" si="18"/>
        <v>882874.26</v>
      </c>
      <c r="O293" s="11">
        <f t="shared" si="18"/>
        <v>887353.89</v>
      </c>
      <c r="P293" s="11">
        <f t="shared" si="16"/>
        <v>866363.05666666664</v>
      </c>
    </row>
    <row r="294" spans="1:16" x14ac:dyDescent="0.3">
      <c r="A294" s="84">
        <v>360.11</v>
      </c>
      <c r="B294" t="s">
        <v>377</v>
      </c>
      <c r="C294" s="11">
        <f t="shared" si="18"/>
        <v>0</v>
      </c>
      <c r="D294" s="11">
        <f t="shared" si="18"/>
        <v>0</v>
      </c>
      <c r="E294" s="11">
        <f t="shared" si="18"/>
        <v>0</v>
      </c>
      <c r="F294" s="11">
        <f t="shared" si="18"/>
        <v>0</v>
      </c>
      <c r="G294" s="11">
        <f t="shared" si="18"/>
        <v>0</v>
      </c>
      <c r="H294" s="11">
        <f t="shared" si="18"/>
        <v>0</v>
      </c>
      <c r="I294" s="11">
        <f t="shared" si="18"/>
        <v>0</v>
      </c>
      <c r="J294" s="11">
        <f t="shared" si="18"/>
        <v>0</v>
      </c>
      <c r="K294" s="11">
        <f t="shared" si="18"/>
        <v>0</v>
      </c>
      <c r="L294" s="11">
        <f t="shared" si="18"/>
        <v>0</v>
      </c>
      <c r="M294" s="11">
        <f t="shared" si="18"/>
        <v>0</v>
      </c>
      <c r="N294" s="11">
        <f t="shared" si="18"/>
        <v>0</v>
      </c>
      <c r="O294" s="11">
        <f t="shared" si="18"/>
        <v>0</v>
      </c>
      <c r="P294" s="11">
        <f t="shared" si="16"/>
        <v>0</v>
      </c>
    </row>
    <row r="295" spans="1:16" x14ac:dyDescent="0.3">
      <c r="A295" s="84">
        <v>360.12</v>
      </c>
      <c r="B295" t="s">
        <v>378</v>
      </c>
      <c r="C295" s="11">
        <f t="shared" si="18"/>
        <v>0</v>
      </c>
      <c r="D295" s="11">
        <f t="shared" si="18"/>
        <v>0</v>
      </c>
      <c r="E295" s="11">
        <f t="shared" si="18"/>
        <v>0</v>
      </c>
      <c r="F295" s="11">
        <f t="shared" si="18"/>
        <v>0</v>
      </c>
      <c r="G295" s="11">
        <f t="shared" si="18"/>
        <v>0</v>
      </c>
      <c r="H295" s="11">
        <f t="shared" si="18"/>
        <v>0</v>
      </c>
      <c r="I295" s="11">
        <f t="shared" si="18"/>
        <v>0</v>
      </c>
      <c r="J295" s="11">
        <f t="shared" si="18"/>
        <v>0</v>
      </c>
      <c r="K295" s="11">
        <f t="shared" si="18"/>
        <v>0</v>
      </c>
      <c r="L295" s="11">
        <f t="shared" si="18"/>
        <v>0</v>
      </c>
      <c r="M295" s="11">
        <f t="shared" si="18"/>
        <v>0</v>
      </c>
      <c r="N295" s="11">
        <f t="shared" si="18"/>
        <v>0</v>
      </c>
      <c r="O295" s="11">
        <f t="shared" si="18"/>
        <v>0</v>
      </c>
      <c r="P295" s="11">
        <f t="shared" si="16"/>
        <v>0</v>
      </c>
    </row>
    <row r="296" spans="1:16" x14ac:dyDescent="0.3">
      <c r="A296" s="84">
        <v>360.2</v>
      </c>
      <c r="B296" t="s">
        <v>379</v>
      </c>
      <c r="C296" s="11">
        <f t="shared" si="18"/>
        <v>0</v>
      </c>
      <c r="D296" s="11">
        <f t="shared" si="18"/>
        <v>0</v>
      </c>
      <c r="E296" s="11">
        <f t="shared" si="18"/>
        <v>0</v>
      </c>
      <c r="F296" s="11">
        <f t="shared" si="18"/>
        <v>0</v>
      </c>
      <c r="G296" s="11">
        <f t="shared" si="18"/>
        <v>0</v>
      </c>
      <c r="H296" s="11">
        <f t="shared" si="18"/>
        <v>0</v>
      </c>
      <c r="I296" s="11">
        <f t="shared" si="18"/>
        <v>0</v>
      </c>
      <c r="J296" s="11">
        <f t="shared" si="18"/>
        <v>0</v>
      </c>
      <c r="K296" s="11">
        <f t="shared" si="18"/>
        <v>0</v>
      </c>
      <c r="L296" s="11">
        <f t="shared" si="18"/>
        <v>0</v>
      </c>
      <c r="M296" s="11">
        <f t="shared" si="18"/>
        <v>0</v>
      </c>
      <c r="N296" s="11">
        <f t="shared" si="18"/>
        <v>0</v>
      </c>
      <c r="O296" s="11">
        <f t="shared" si="18"/>
        <v>0</v>
      </c>
      <c r="P296" s="11">
        <f t="shared" si="16"/>
        <v>0</v>
      </c>
    </row>
    <row r="297" spans="1:16" x14ac:dyDescent="0.3">
      <c r="A297" s="84">
        <v>361.11</v>
      </c>
      <c r="B297" t="s">
        <v>329</v>
      </c>
      <c r="C297" s="11">
        <f t="shared" si="18"/>
        <v>2396434.1800000002</v>
      </c>
      <c r="D297" s="11">
        <f t="shared" si="18"/>
        <v>2419483.89</v>
      </c>
      <c r="E297" s="11">
        <f t="shared" si="18"/>
        <v>2442533.66</v>
      </c>
      <c r="F297" s="11">
        <f t="shared" si="18"/>
        <v>2440506.7599999998</v>
      </c>
      <c r="G297" s="11">
        <f t="shared" si="18"/>
        <v>2463443.2799999998</v>
      </c>
      <c r="H297" s="11">
        <f t="shared" si="18"/>
        <v>2487120.14</v>
      </c>
      <c r="I297" s="11">
        <f t="shared" si="18"/>
        <v>2511572.56</v>
      </c>
      <c r="J297" s="11">
        <f t="shared" si="18"/>
        <v>2536035.1</v>
      </c>
      <c r="K297" s="11">
        <f t="shared" si="18"/>
        <v>2560529.2000000002</v>
      </c>
      <c r="L297" s="11">
        <f t="shared" si="18"/>
        <v>2585004.41</v>
      </c>
      <c r="M297" s="11">
        <f t="shared" si="18"/>
        <v>2609479.59</v>
      </c>
      <c r="N297" s="11">
        <f t="shared" si="18"/>
        <v>2633954.75</v>
      </c>
      <c r="O297" s="11">
        <f t="shared" si="18"/>
        <v>2658429.92</v>
      </c>
      <c r="P297" s="11">
        <f t="shared" si="16"/>
        <v>2518091.2825000002</v>
      </c>
    </row>
    <row r="298" spans="1:16" x14ac:dyDescent="0.3">
      <c r="A298" s="84">
        <v>361.12</v>
      </c>
      <c r="B298" t="s">
        <v>329</v>
      </c>
      <c r="C298" s="11">
        <f t="shared" ref="C298:O313" si="19">+C54+C176</f>
        <v>2687376.58</v>
      </c>
      <c r="D298" s="11">
        <f t="shared" si="19"/>
        <v>2713888.09</v>
      </c>
      <c r="E298" s="11">
        <f t="shared" si="19"/>
        <v>2740393.73</v>
      </c>
      <c r="F298" s="11">
        <f t="shared" si="19"/>
        <v>2278225.33</v>
      </c>
      <c r="G298" s="11">
        <f t="shared" si="19"/>
        <v>2303760.4700000002</v>
      </c>
      <c r="H298" s="11">
        <f t="shared" si="19"/>
        <v>2329295.54</v>
      </c>
      <c r="I298" s="11">
        <f t="shared" si="19"/>
        <v>2354830.64</v>
      </c>
      <c r="J298" s="11">
        <f t="shared" si="19"/>
        <v>2380394.7000000002</v>
      </c>
      <c r="K298" s="11">
        <f t="shared" si="19"/>
        <v>2405968.58</v>
      </c>
      <c r="L298" s="11">
        <f t="shared" si="19"/>
        <v>2431536.02</v>
      </c>
      <c r="M298" s="11">
        <f t="shared" si="19"/>
        <v>2457116.35</v>
      </c>
      <c r="N298" s="11">
        <f t="shared" si="19"/>
        <v>2482696.69</v>
      </c>
      <c r="O298" s="11">
        <f t="shared" si="19"/>
        <v>2508277.16</v>
      </c>
      <c r="P298" s="11">
        <f t="shared" si="16"/>
        <v>2456327.7508333335</v>
      </c>
    </row>
    <row r="299" spans="1:16" x14ac:dyDescent="0.3">
      <c r="A299" s="84">
        <v>361.2</v>
      </c>
      <c r="B299" t="s">
        <v>380</v>
      </c>
      <c r="C299" s="11">
        <f t="shared" si="19"/>
        <v>11308.14</v>
      </c>
      <c r="D299" s="11">
        <f t="shared" si="19"/>
        <v>11346.94</v>
      </c>
      <c r="E299" s="11">
        <f t="shared" si="19"/>
        <v>11385.73</v>
      </c>
      <c r="F299" s="11">
        <f t="shared" si="19"/>
        <v>11424.53</v>
      </c>
      <c r="G299" s="11">
        <f t="shared" si="19"/>
        <v>11463.32</v>
      </c>
      <c r="H299" s="11">
        <f t="shared" si="19"/>
        <v>11502.13</v>
      </c>
      <c r="I299" s="11">
        <f t="shared" si="19"/>
        <v>11540.92</v>
      </c>
      <c r="J299" s="11">
        <f t="shared" si="19"/>
        <v>11579.72</v>
      </c>
      <c r="K299" s="11">
        <f t="shared" si="19"/>
        <v>11618.53</v>
      </c>
      <c r="L299" s="11">
        <f t="shared" si="19"/>
        <v>11657.32</v>
      </c>
      <c r="M299" s="11">
        <f t="shared" si="19"/>
        <v>11696.12</v>
      </c>
      <c r="N299" s="11">
        <f t="shared" si="19"/>
        <v>11734.91</v>
      </c>
      <c r="O299" s="11">
        <f t="shared" si="19"/>
        <v>11773.71</v>
      </c>
      <c r="P299" s="11">
        <f t="shared" si="16"/>
        <v>11540.924583333332</v>
      </c>
    </row>
    <row r="300" spans="1:16" x14ac:dyDescent="0.3">
      <c r="A300" s="84">
        <v>362.11</v>
      </c>
      <c r="B300" t="s">
        <v>381</v>
      </c>
      <c r="C300" s="11">
        <f t="shared" si="19"/>
        <v>2317738.2400000002</v>
      </c>
      <c r="D300" s="11">
        <f t="shared" si="19"/>
        <v>2326226.8199999998</v>
      </c>
      <c r="E300" s="11">
        <f t="shared" si="19"/>
        <v>2334932.21</v>
      </c>
      <c r="F300" s="11">
        <f t="shared" si="19"/>
        <v>2343854.5099999998</v>
      </c>
      <c r="G300" s="11">
        <f t="shared" si="19"/>
        <v>2352776.84</v>
      </c>
      <c r="H300" s="11">
        <f t="shared" si="19"/>
        <v>2361699.11</v>
      </c>
      <c r="I300" s="11">
        <f t="shared" si="19"/>
        <v>2370621.42</v>
      </c>
      <c r="J300" s="11">
        <f t="shared" si="19"/>
        <v>2379543.69</v>
      </c>
      <c r="K300" s="11">
        <f t="shared" si="19"/>
        <v>2388466.0299999998</v>
      </c>
      <c r="L300" s="11">
        <f t="shared" si="19"/>
        <v>2397388.27</v>
      </c>
      <c r="M300" s="11">
        <f t="shared" si="19"/>
        <v>2406310.6</v>
      </c>
      <c r="N300" s="11">
        <f t="shared" si="19"/>
        <v>2415232.81</v>
      </c>
      <c r="O300" s="11">
        <f t="shared" si="19"/>
        <v>2424155.12</v>
      </c>
      <c r="P300" s="11">
        <f t="shared" si="16"/>
        <v>2370666.5825</v>
      </c>
    </row>
    <row r="301" spans="1:16" x14ac:dyDescent="0.3">
      <c r="A301" s="84">
        <v>362.12</v>
      </c>
      <c r="B301" t="s">
        <v>382</v>
      </c>
      <c r="C301" s="11">
        <f t="shared" si="19"/>
        <v>5695790.0199999996</v>
      </c>
      <c r="D301" s="11">
        <f t="shared" si="19"/>
        <v>5708877.5599999996</v>
      </c>
      <c r="E301" s="11">
        <f t="shared" si="19"/>
        <v>5722138.71</v>
      </c>
      <c r="F301" s="11">
        <f t="shared" si="19"/>
        <v>5735573.46</v>
      </c>
      <c r="G301" s="11">
        <f t="shared" si="19"/>
        <v>5749008.2199999997</v>
      </c>
      <c r="H301" s="11">
        <f t="shared" si="19"/>
        <v>5762443.0099999998</v>
      </c>
      <c r="I301" s="11">
        <f t="shared" si="19"/>
        <v>5775877.79</v>
      </c>
      <c r="J301" s="11">
        <f t="shared" si="19"/>
        <v>5789312.5199999996</v>
      </c>
      <c r="K301" s="11">
        <f t="shared" si="19"/>
        <v>5802747.29</v>
      </c>
      <c r="L301" s="11">
        <f t="shared" si="19"/>
        <v>5816182.0499999998</v>
      </c>
      <c r="M301" s="11">
        <f t="shared" si="19"/>
        <v>5829616.8399999999</v>
      </c>
      <c r="N301" s="11">
        <f t="shared" si="19"/>
        <v>5843051.6299999999</v>
      </c>
      <c r="O301" s="11">
        <f t="shared" si="19"/>
        <v>5856486.3700000001</v>
      </c>
      <c r="P301" s="11">
        <f t="shared" si="16"/>
        <v>5775913.9395833323</v>
      </c>
    </row>
    <row r="302" spans="1:16" x14ac:dyDescent="0.3">
      <c r="A302" s="84">
        <v>362.2</v>
      </c>
      <c r="B302" t="s">
        <v>383</v>
      </c>
      <c r="C302" s="11">
        <f t="shared" si="19"/>
        <v>1208.22</v>
      </c>
      <c r="D302" s="11">
        <f t="shared" si="19"/>
        <v>1209.98</v>
      </c>
      <c r="E302" s="11">
        <f t="shared" si="19"/>
        <v>1211.73</v>
      </c>
      <c r="F302" s="11">
        <f t="shared" si="19"/>
        <v>1213.44</v>
      </c>
      <c r="G302" s="11">
        <f t="shared" si="19"/>
        <v>1215.1600000000001</v>
      </c>
      <c r="H302" s="11">
        <f t="shared" si="19"/>
        <v>1216.94</v>
      </c>
      <c r="I302" s="11">
        <f t="shared" si="19"/>
        <v>1218.6500000000001</v>
      </c>
      <c r="J302" s="11">
        <f t="shared" si="19"/>
        <v>1220.46</v>
      </c>
      <c r="K302" s="11">
        <f t="shared" si="19"/>
        <v>1222.19</v>
      </c>
      <c r="L302" s="11">
        <f t="shared" si="19"/>
        <v>1223.96</v>
      </c>
      <c r="M302" s="11">
        <f t="shared" si="19"/>
        <v>1225.6600000000001</v>
      </c>
      <c r="N302" s="11">
        <f t="shared" si="19"/>
        <v>1227.42</v>
      </c>
      <c r="O302" s="11">
        <f t="shared" si="19"/>
        <v>1229.1500000000001</v>
      </c>
      <c r="P302" s="11">
        <f t="shared" si="16"/>
        <v>1218.6895833333335</v>
      </c>
    </row>
    <row r="303" spans="1:16" x14ac:dyDescent="0.3">
      <c r="A303" s="84">
        <v>363.11</v>
      </c>
      <c r="B303" t="s">
        <v>384</v>
      </c>
      <c r="C303" s="11">
        <f t="shared" si="19"/>
        <v>2565225.0699999998</v>
      </c>
      <c r="D303" s="11">
        <f t="shared" si="19"/>
        <v>2573101.58</v>
      </c>
      <c r="E303" s="11">
        <f t="shared" si="19"/>
        <v>2581105.87</v>
      </c>
      <c r="F303" s="11">
        <f t="shared" si="19"/>
        <v>2561759.39</v>
      </c>
      <c r="G303" s="11">
        <f t="shared" si="19"/>
        <v>2569724.41</v>
      </c>
      <c r="H303" s="11">
        <f t="shared" si="19"/>
        <v>2577731.2000000002</v>
      </c>
      <c r="I303" s="11">
        <f t="shared" si="19"/>
        <v>2585725.64</v>
      </c>
      <c r="J303" s="11">
        <f t="shared" si="19"/>
        <v>2593725.88</v>
      </c>
      <c r="K303" s="11">
        <f t="shared" si="19"/>
        <v>2601721.5099999998</v>
      </c>
      <c r="L303" s="11">
        <f t="shared" si="19"/>
        <v>2609721.7599999998</v>
      </c>
      <c r="M303" s="11">
        <f t="shared" si="19"/>
        <v>2617717.39</v>
      </c>
      <c r="N303" s="11">
        <f t="shared" si="19"/>
        <v>2625697.16</v>
      </c>
      <c r="O303" s="11">
        <f t="shared" si="19"/>
        <v>2633665.0499999998</v>
      </c>
      <c r="P303" s="11">
        <f t="shared" si="16"/>
        <v>2591431.4041666663</v>
      </c>
    </row>
    <row r="304" spans="1:16" x14ac:dyDescent="0.3">
      <c r="A304" s="84">
        <v>363.12</v>
      </c>
      <c r="B304" t="s">
        <v>385</v>
      </c>
      <c r="C304" s="11">
        <f t="shared" si="19"/>
        <v>7204459.4000000004</v>
      </c>
      <c r="D304" s="11">
        <f t="shared" si="19"/>
        <v>7211839.5899999999</v>
      </c>
      <c r="E304" s="11">
        <f t="shared" si="19"/>
        <v>7219221.7400000002</v>
      </c>
      <c r="F304" s="11">
        <f t="shared" si="19"/>
        <v>7149990.4199999999</v>
      </c>
      <c r="G304" s="11">
        <f t="shared" si="19"/>
        <v>7157315.6299999999</v>
      </c>
      <c r="H304" s="11">
        <f t="shared" si="19"/>
        <v>7164658.5300000003</v>
      </c>
      <c r="I304" s="11">
        <f t="shared" si="19"/>
        <v>7171983.7300000004</v>
      </c>
      <c r="J304" s="11">
        <f t="shared" si="19"/>
        <v>7179314.8600000003</v>
      </c>
      <c r="K304" s="11">
        <f t="shared" si="19"/>
        <v>7186640.0599999996</v>
      </c>
      <c r="L304" s="11">
        <f t="shared" si="19"/>
        <v>7193971.1399999997</v>
      </c>
      <c r="M304" s="11">
        <f t="shared" si="19"/>
        <v>7201296.3799999999</v>
      </c>
      <c r="N304" s="11">
        <f t="shared" si="19"/>
        <v>7208621.6299999999</v>
      </c>
      <c r="O304" s="11">
        <f t="shared" si="19"/>
        <v>7215952.6200000001</v>
      </c>
      <c r="P304" s="11">
        <f t="shared" si="16"/>
        <v>7187921.6433333335</v>
      </c>
    </row>
    <row r="305" spans="1:16" x14ac:dyDescent="0.3">
      <c r="A305" s="84">
        <v>363.21</v>
      </c>
      <c r="B305" t="s">
        <v>386</v>
      </c>
      <c r="C305" s="11">
        <f t="shared" si="19"/>
        <v>2699020.89</v>
      </c>
      <c r="D305" s="11">
        <f t="shared" si="19"/>
        <v>2705661.36</v>
      </c>
      <c r="E305" s="11">
        <f t="shared" si="19"/>
        <v>2712303.66</v>
      </c>
      <c r="F305" s="11">
        <f t="shared" si="19"/>
        <v>2396494.42</v>
      </c>
      <c r="G305" s="11">
        <f t="shared" si="19"/>
        <v>2401695.4</v>
      </c>
      <c r="H305" s="11">
        <f t="shared" si="19"/>
        <v>2406900.15</v>
      </c>
      <c r="I305" s="11">
        <f t="shared" si="19"/>
        <v>2412101.11</v>
      </c>
      <c r="J305" s="11">
        <f t="shared" si="19"/>
        <v>2417303.2400000002</v>
      </c>
      <c r="K305" s="11">
        <f t="shared" si="19"/>
        <v>2422504.44</v>
      </c>
      <c r="L305" s="11">
        <f t="shared" si="19"/>
        <v>2427706.42</v>
      </c>
      <c r="M305" s="11">
        <f t="shared" si="19"/>
        <v>2432907.4300000002</v>
      </c>
      <c r="N305" s="11">
        <f t="shared" si="19"/>
        <v>2438108.36</v>
      </c>
      <c r="O305" s="11">
        <f t="shared" si="19"/>
        <v>2443310.7000000002</v>
      </c>
      <c r="P305" s="11">
        <f t="shared" si="16"/>
        <v>2478737.6487500002</v>
      </c>
    </row>
    <row r="306" spans="1:16" x14ac:dyDescent="0.3">
      <c r="A306" s="84">
        <v>363.22</v>
      </c>
      <c r="B306" t="s">
        <v>387</v>
      </c>
      <c r="C306" s="11">
        <f t="shared" si="19"/>
        <v>2618112.64</v>
      </c>
      <c r="D306" s="11">
        <f t="shared" si="19"/>
        <v>2618514.27</v>
      </c>
      <c r="E306" s="11">
        <f t="shared" si="19"/>
        <v>2619043.6800000002</v>
      </c>
      <c r="F306" s="11">
        <f t="shared" si="19"/>
        <v>290733.14</v>
      </c>
      <c r="G306" s="11">
        <f t="shared" si="19"/>
        <v>291010.08</v>
      </c>
      <c r="H306" s="11">
        <f t="shared" si="19"/>
        <v>291287</v>
      </c>
      <c r="I306" s="11">
        <f t="shared" si="19"/>
        <v>291563.96999999997</v>
      </c>
      <c r="J306" s="11">
        <f t="shared" si="19"/>
        <v>291840.89</v>
      </c>
      <c r="K306" s="11">
        <f t="shared" si="19"/>
        <v>292117.8</v>
      </c>
      <c r="L306" s="11">
        <f t="shared" si="19"/>
        <v>292394.75</v>
      </c>
      <c r="M306" s="11">
        <f t="shared" si="19"/>
        <v>292671.71999999997</v>
      </c>
      <c r="N306" s="11">
        <f t="shared" si="19"/>
        <v>292948.65000000002</v>
      </c>
      <c r="O306" s="11">
        <f t="shared" si="19"/>
        <v>293225.59999999998</v>
      </c>
      <c r="P306" s="11">
        <f t="shared" si="16"/>
        <v>776649.58916666673</v>
      </c>
    </row>
    <row r="307" spans="1:16" x14ac:dyDescent="0.3">
      <c r="A307" s="84">
        <v>363.31</v>
      </c>
      <c r="B307" t="s">
        <v>388</v>
      </c>
      <c r="C307" s="11">
        <f t="shared" si="19"/>
        <v>206896.94</v>
      </c>
      <c r="D307" s="11">
        <f t="shared" si="19"/>
        <v>206896.94</v>
      </c>
      <c r="E307" s="11">
        <f t="shared" si="19"/>
        <v>206896.94</v>
      </c>
      <c r="F307" s="11">
        <f t="shared" si="19"/>
        <v>206896.94</v>
      </c>
      <c r="G307" s="11">
        <f t="shared" si="19"/>
        <v>206896.94</v>
      </c>
      <c r="H307" s="11">
        <f t="shared" si="19"/>
        <v>206896.94</v>
      </c>
      <c r="I307" s="11">
        <f t="shared" si="19"/>
        <v>206896.94</v>
      </c>
      <c r="J307" s="11">
        <f t="shared" si="19"/>
        <v>206896.94</v>
      </c>
      <c r="K307" s="11">
        <f t="shared" si="19"/>
        <v>206896.94</v>
      </c>
      <c r="L307" s="11">
        <f t="shared" si="19"/>
        <v>206896.94</v>
      </c>
      <c r="M307" s="11">
        <f t="shared" si="19"/>
        <v>206896.94</v>
      </c>
      <c r="N307" s="11">
        <f t="shared" si="19"/>
        <v>206896.94</v>
      </c>
      <c r="O307" s="11">
        <f t="shared" si="19"/>
        <v>206896.94</v>
      </c>
      <c r="P307" s="11">
        <f t="shared" si="16"/>
        <v>206896.93999999997</v>
      </c>
    </row>
    <row r="308" spans="1:16" x14ac:dyDescent="0.3">
      <c r="A308" s="84">
        <v>363.32</v>
      </c>
      <c r="B308" t="s">
        <v>389</v>
      </c>
      <c r="C308" s="11">
        <f t="shared" si="19"/>
        <v>502019.61</v>
      </c>
      <c r="D308" s="11">
        <f t="shared" si="19"/>
        <v>519114.17</v>
      </c>
      <c r="E308" s="11">
        <f t="shared" si="19"/>
        <v>536230.19999999995</v>
      </c>
      <c r="F308" s="11">
        <f t="shared" si="19"/>
        <v>553366.04</v>
      </c>
      <c r="G308" s="11">
        <f t="shared" si="19"/>
        <v>570503.97</v>
      </c>
      <c r="H308" s="11">
        <f t="shared" si="19"/>
        <v>587649.07999999996</v>
      </c>
      <c r="I308" s="11">
        <f t="shared" si="19"/>
        <v>604787.02</v>
      </c>
      <c r="J308" s="11">
        <f t="shared" si="19"/>
        <v>621927.32999999996</v>
      </c>
      <c r="K308" s="11">
        <f t="shared" si="19"/>
        <v>639065.22</v>
      </c>
      <c r="L308" s="11">
        <f t="shared" si="19"/>
        <v>656205.56000000006</v>
      </c>
      <c r="M308" s="11">
        <f t="shared" si="19"/>
        <v>673343.44</v>
      </c>
      <c r="N308" s="11">
        <f t="shared" si="19"/>
        <v>690481.35</v>
      </c>
      <c r="O308" s="11">
        <f t="shared" si="19"/>
        <v>707989.08</v>
      </c>
      <c r="P308" s="11">
        <f t="shared" si="16"/>
        <v>604806.47708333319</v>
      </c>
    </row>
    <row r="309" spans="1:16" x14ac:dyDescent="0.3">
      <c r="A309" s="84">
        <v>363.41</v>
      </c>
      <c r="B309" t="s">
        <v>390</v>
      </c>
      <c r="C309" s="11">
        <f t="shared" si="19"/>
        <v>605139.64</v>
      </c>
      <c r="D309" s="11">
        <f t="shared" si="19"/>
        <v>605183.05000000005</v>
      </c>
      <c r="E309" s="11">
        <f t="shared" si="19"/>
        <v>605226.5</v>
      </c>
      <c r="F309" s="11">
        <f t="shared" si="19"/>
        <v>610580.92000000004</v>
      </c>
      <c r="G309" s="11">
        <f t="shared" si="19"/>
        <v>610662.63</v>
      </c>
      <c r="H309" s="11">
        <f t="shared" si="19"/>
        <v>610750.39</v>
      </c>
      <c r="I309" s="11">
        <f t="shared" si="19"/>
        <v>610844.11</v>
      </c>
      <c r="J309" s="11">
        <f t="shared" si="19"/>
        <v>610937.88</v>
      </c>
      <c r="K309" s="11">
        <f t="shared" si="19"/>
        <v>611031.63</v>
      </c>
      <c r="L309" s="11">
        <f t="shared" si="19"/>
        <v>611125.42000000004</v>
      </c>
      <c r="M309" s="11">
        <f t="shared" si="19"/>
        <v>611219.17000000004</v>
      </c>
      <c r="N309" s="11">
        <f t="shared" si="19"/>
        <v>611312.92000000004</v>
      </c>
      <c r="O309" s="11">
        <f t="shared" si="19"/>
        <v>611406.65</v>
      </c>
      <c r="P309" s="11">
        <f t="shared" si="16"/>
        <v>609762.31375000009</v>
      </c>
    </row>
    <row r="310" spans="1:16" x14ac:dyDescent="0.3">
      <c r="A310" s="84">
        <v>363.42</v>
      </c>
      <c r="B310" t="s">
        <v>390</v>
      </c>
      <c r="C310" s="11">
        <f t="shared" si="19"/>
        <v>182978.05</v>
      </c>
      <c r="D310" s="11">
        <f t="shared" si="19"/>
        <v>188494.59</v>
      </c>
      <c r="E310" s="11">
        <f t="shared" si="19"/>
        <v>194006.29</v>
      </c>
      <c r="F310" s="11">
        <f t="shared" si="19"/>
        <v>190154.82</v>
      </c>
      <c r="G310" s="11">
        <f t="shared" si="19"/>
        <v>196500.32</v>
      </c>
      <c r="H310" s="11">
        <f t="shared" si="19"/>
        <v>202848.52</v>
      </c>
      <c r="I310" s="11">
        <f t="shared" si="19"/>
        <v>209199.72</v>
      </c>
      <c r="J310" s="11">
        <f t="shared" si="19"/>
        <v>215550.84</v>
      </c>
      <c r="K310" s="11">
        <f t="shared" si="19"/>
        <v>221899.41</v>
      </c>
      <c r="L310" s="11">
        <f t="shared" si="19"/>
        <v>228245.29</v>
      </c>
      <c r="M310" s="11">
        <f t="shared" si="19"/>
        <v>234591.19</v>
      </c>
      <c r="N310" s="11">
        <f t="shared" si="19"/>
        <v>240937.11</v>
      </c>
      <c r="O310" s="11">
        <f t="shared" si="19"/>
        <v>247282.99</v>
      </c>
      <c r="P310" s="11">
        <f t="shared" si="16"/>
        <v>211463.21833333335</v>
      </c>
    </row>
    <row r="311" spans="1:16" x14ac:dyDescent="0.3">
      <c r="A311" s="84">
        <v>363.5</v>
      </c>
      <c r="B311" t="s">
        <v>391</v>
      </c>
      <c r="C311" s="11">
        <f t="shared" si="19"/>
        <v>1384330.83</v>
      </c>
      <c r="D311" s="11">
        <f t="shared" si="19"/>
        <v>1386975.3</v>
      </c>
      <c r="E311" s="11">
        <f t="shared" si="19"/>
        <v>1389619.78</v>
      </c>
      <c r="F311" s="11">
        <f t="shared" si="19"/>
        <v>1392264.24</v>
      </c>
      <c r="G311" s="11">
        <f t="shared" si="19"/>
        <v>1394908.66</v>
      </c>
      <c r="H311" s="11">
        <f t="shared" si="19"/>
        <v>1397553.17</v>
      </c>
      <c r="I311" s="11">
        <f t="shared" si="19"/>
        <v>1400197.61</v>
      </c>
      <c r="J311" s="11">
        <f t="shared" si="19"/>
        <v>1402842.05</v>
      </c>
      <c r="K311" s="11">
        <f t="shared" si="19"/>
        <v>1405486.47</v>
      </c>
      <c r="L311" s="11">
        <f t="shared" si="19"/>
        <v>1408130.98</v>
      </c>
      <c r="M311" s="11">
        <f t="shared" si="19"/>
        <v>1410775.43</v>
      </c>
      <c r="N311" s="11">
        <f t="shared" si="19"/>
        <v>1413419.89</v>
      </c>
      <c r="O311" s="11">
        <f t="shared" si="19"/>
        <v>1416064.31</v>
      </c>
      <c r="P311" s="11">
        <f t="shared" si="16"/>
        <v>1400197.5958333334</v>
      </c>
    </row>
    <row r="312" spans="1:16" x14ac:dyDescent="0.3">
      <c r="A312" s="84">
        <v>363.6</v>
      </c>
      <c r="B312" t="s">
        <v>392</v>
      </c>
      <c r="C312" s="11">
        <f t="shared" si="19"/>
        <v>739473</v>
      </c>
      <c r="D312" s="11">
        <f t="shared" si="19"/>
        <v>739473</v>
      </c>
      <c r="E312" s="11">
        <f t="shared" si="19"/>
        <v>739473</v>
      </c>
      <c r="F312" s="11">
        <f t="shared" si="19"/>
        <v>739473</v>
      </c>
      <c r="G312" s="11">
        <f t="shared" si="19"/>
        <v>739473</v>
      </c>
      <c r="H312" s="11">
        <f t="shared" si="19"/>
        <v>739473</v>
      </c>
      <c r="I312" s="11">
        <f t="shared" si="19"/>
        <v>739473</v>
      </c>
      <c r="J312" s="11">
        <f t="shared" si="19"/>
        <v>739473</v>
      </c>
      <c r="K312" s="11">
        <f t="shared" si="19"/>
        <v>739473</v>
      </c>
      <c r="L312" s="11">
        <f t="shared" si="19"/>
        <v>739473</v>
      </c>
      <c r="M312" s="11">
        <f t="shared" si="19"/>
        <v>739473</v>
      </c>
      <c r="N312" s="11">
        <f t="shared" si="19"/>
        <v>739473</v>
      </c>
      <c r="O312" s="11">
        <f t="shared" si="19"/>
        <v>739473</v>
      </c>
      <c r="P312" s="11">
        <f t="shared" si="16"/>
        <v>739473</v>
      </c>
    </row>
    <row r="313" spans="1:16" x14ac:dyDescent="0.3">
      <c r="A313" s="84">
        <v>365.1</v>
      </c>
      <c r="B313" t="s">
        <v>327</v>
      </c>
      <c r="C313" s="11">
        <f t="shared" si="19"/>
        <v>0</v>
      </c>
      <c r="D313" s="11">
        <f t="shared" si="19"/>
        <v>0</v>
      </c>
      <c r="E313" s="11">
        <f t="shared" si="19"/>
        <v>0</v>
      </c>
      <c r="F313" s="11">
        <f t="shared" si="19"/>
        <v>0</v>
      </c>
      <c r="G313" s="11">
        <f t="shared" si="19"/>
        <v>0</v>
      </c>
      <c r="H313" s="11">
        <f t="shared" si="19"/>
        <v>0</v>
      </c>
      <c r="I313" s="11">
        <f t="shared" si="19"/>
        <v>0</v>
      </c>
      <c r="J313" s="11">
        <f t="shared" si="19"/>
        <v>0</v>
      </c>
      <c r="K313" s="11">
        <f t="shared" si="19"/>
        <v>0</v>
      </c>
      <c r="L313" s="11">
        <f t="shared" si="19"/>
        <v>0</v>
      </c>
      <c r="M313" s="11">
        <f t="shared" si="19"/>
        <v>0</v>
      </c>
      <c r="N313" s="11">
        <f t="shared" si="19"/>
        <v>0</v>
      </c>
      <c r="O313" s="11">
        <f t="shared" si="19"/>
        <v>0</v>
      </c>
      <c r="P313" s="11">
        <f t="shared" si="16"/>
        <v>0</v>
      </c>
    </row>
    <row r="314" spans="1:16" x14ac:dyDescent="0.3">
      <c r="A314" s="84">
        <v>365.2</v>
      </c>
      <c r="B314" t="s">
        <v>328</v>
      </c>
      <c r="C314" s="11">
        <f t="shared" ref="C314:O329" si="20">+C70+C192</f>
        <v>1977833.98</v>
      </c>
      <c r="D314" s="11">
        <f t="shared" si="20"/>
        <v>1988000.9</v>
      </c>
      <c r="E314" s="11">
        <f t="shared" si="20"/>
        <v>1998167.8</v>
      </c>
      <c r="F314" s="11">
        <f t="shared" si="20"/>
        <v>2008334.72</v>
      </c>
      <c r="G314" s="11">
        <f t="shared" si="20"/>
        <v>2018501.64</v>
      </c>
      <c r="H314" s="11">
        <f t="shared" si="20"/>
        <v>2028668.55</v>
      </c>
      <c r="I314" s="11">
        <f t="shared" si="20"/>
        <v>2038835.44</v>
      </c>
      <c r="J314" s="11">
        <f t="shared" si="20"/>
        <v>2049002.34</v>
      </c>
      <c r="K314" s="11">
        <f t="shared" si="20"/>
        <v>2059169.25</v>
      </c>
      <c r="L314" s="11">
        <f t="shared" si="20"/>
        <v>2069336.15</v>
      </c>
      <c r="M314" s="11">
        <f t="shared" si="20"/>
        <v>2079503.04</v>
      </c>
      <c r="N314" s="11">
        <f t="shared" si="20"/>
        <v>2089669.94</v>
      </c>
      <c r="O314" s="11">
        <f t="shared" si="20"/>
        <v>2099836.84</v>
      </c>
      <c r="P314" s="11">
        <f t="shared" si="16"/>
        <v>2038835.4316666666</v>
      </c>
    </row>
    <row r="315" spans="1:16" x14ac:dyDescent="0.3">
      <c r="A315" s="84">
        <v>366.3</v>
      </c>
      <c r="B315" t="s">
        <v>380</v>
      </c>
      <c r="C315" s="11">
        <f t="shared" si="20"/>
        <v>321587.03999999998</v>
      </c>
      <c r="D315" s="11">
        <f t="shared" si="20"/>
        <v>324099.42</v>
      </c>
      <c r="E315" s="11">
        <f t="shared" si="20"/>
        <v>326611.78999999998</v>
      </c>
      <c r="F315" s="11">
        <f t="shared" si="20"/>
        <v>329124.17</v>
      </c>
      <c r="G315" s="11">
        <f t="shared" si="20"/>
        <v>331636.52</v>
      </c>
      <c r="H315" s="11">
        <f t="shared" si="20"/>
        <v>334148.90999999997</v>
      </c>
      <c r="I315" s="11">
        <f t="shared" si="20"/>
        <v>336661.27</v>
      </c>
      <c r="J315" s="11">
        <f t="shared" si="20"/>
        <v>339173.65</v>
      </c>
      <c r="K315" s="11">
        <f t="shared" si="20"/>
        <v>341686.01</v>
      </c>
      <c r="L315" s="11">
        <f t="shared" si="20"/>
        <v>344198.38</v>
      </c>
      <c r="M315" s="11">
        <f t="shared" si="20"/>
        <v>346710.74</v>
      </c>
      <c r="N315" s="11">
        <f t="shared" si="20"/>
        <v>349223.11</v>
      </c>
      <c r="O315" s="11">
        <f t="shared" si="20"/>
        <v>351735.47</v>
      </c>
      <c r="P315" s="11">
        <f t="shared" si="16"/>
        <v>336661.26874999999</v>
      </c>
    </row>
    <row r="316" spans="1:16" x14ac:dyDescent="0.3">
      <c r="A316" s="84">
        <v>367</v>
      </c>
      <c r="B316" t="s">
        <v>326</v>
      </c>
      <c r="C316" s="11">
        <f t="shared" si="20"/>
        <v>31374412.670000002</v>
      </c>
      <c r="D316" s="11">
        <f t="shared" si="20"/>
        <v>31766143.719999999</v>
      </c>
      <c r="E316" s="11">
        <f t="shared" si="20"/>
        <v>32158615.5</v>
      </c>
      <c r="F316" s="11">
        <f t="shared" si="20"/>
        <v>32552223.760000002</v>
      </c>
      <c r="G316" s="11">
        <f t="shared" si="20"/>
        <v>32947551.349999998</v>
      </c>
      <c r="H316" s="11">
        <f t="shared" si="20"/>
        <v>33344264.899999999</v>
      </c>
      <c r="I316" s="11">
        <f t="shared" si="20"/>
        <v>33741161.18</v>
      </c>
      <c r="J316" s="11">
        <f t="shared" si="20"/>
        <v>34140057.82</v>
      </c>
      <c r="K316" s="11">
        <f t="shared" si="20"/>
        <v>34538988.359999999</v>
      </c>
      <c r="L316" s="11">
        <f t="shared" si="20"/>
        <v>34939285.230000004</v>
      </c>
      <c r="M316" s="11">
        <f t="shared" si="20"/>
        <v>35339767.539999999</v>
      </c>
      <c r="N316" s="11">
        <f t="shared" si="20"/>
        <v>35740380.480000004</v>
      </c>
      <c r="O316" s="11">
        <f t="shared" si="20"/>
        <v>36141464.260000005</v>
      </c>
      <c r="P316" s="11">
        <f t="shared" si="16"/>
        <v>33747198.192083336</v>
      </c>
    </row>
    <row r="317" spans="1:16" x14ac:dyDescent="0.3">
      <c r="A317" s="84">
        <v>367.21</v>
      </c>
      <c r="B317" t="s">
        <v>393</v>
      </c>
      <c r="C317" s="11">
        <f t="shared" si="20"/>
        <v>1117425.8600000001</v>
      </c>
      <c r="D317" s="11">
        <f t="shared" si="20"/>
        <v>1121594.47</v>
      </c>
      <c r="E317" s="11">
        <f t="shared" si="20"/>
        <v>1125767.45</v>
      </c>
      <c r="F317" s="11">
        <f t="shared" si="20"/>
        <v>1129935.99</v>
      </c>
      <c r="G317" s="11">
        <f t="shared" si="20"/>
        <v>1134104.53</v>
      </c>
      <c r="H317" s="11">
        <f t="shared" si="20"/>
        <v>1138286.3</v>
      </c>
      <c r="I317" s="11">
        <f t="shared" si="20"/>
        <v>1142454.82</v>
      </c>
      <c r="J317" s="11">
        <f t="shared" si="20"/>
        <v>1146627.75</v>
      </c>
      <c r="K317" s="11">
        <f t="shared" si="20"/>
        <v>1150796.26</v>
      </c>
      <c r="L317" s="11">
        <f t="shared" si="20"/>
        <v>1154969.21</v>
      </c>
      <c r="M317" s="11">
        <f t="shared" si="20"/>
        <v>1159137.68</v>
      </c>
      <c r="N317" s="11">
        <f t="shared" si="20"/>
        <v>1163306.17</v>
      </c>
      <c r="O317" s="11">
        <f t="shared" si="20"/>
        <v>1167479.03</v>
      </c>
      <c r="P317" s="11">
        <f t="shared" si="16"/>
        <v>1142452.7562500001</v>
      </c>
    </row>
    <row r="318" spans="1:16" x14ac:dyDescent="0.3">
      <c r="A318" s="84">
        <v>367.22</v>
      </c>
      <c r="B318" t="s">
        <v>394</v>
      </c>
      <c r="C318" s="11">
        <f t="shared" si="20"/>
        <v>10577131.15</v>
      </c>
      <c r="D318" s="11">
        <f t="shared" si="20"/>
        <v>10607751.029999999</v>
      </c>
      <c r="E318" s="11">
        <f t="shared" si="20"/>
        <v>10638403.800000001</v>
      </c>
      <c r="F318" s="11">
        <f t="shared" si="20"/>
        <v>10669023.51</v>
      </c>
      <c r="G318" s="11">
        <f t="shared" si="20"/>
        <v>10699643.140000001</v>
      </c>
      <c r="H318" s="11">
        <f t="shared" si="20"/>
        <v>10730361.75</v>
      </c>
      <c r="I318" s="11">
        <f t="shared" si="20"/>
        <v>10760981.220000001</v>
      </c>
      <c r="J318" s="11">
        <f t="shared" si="20"/>
        <v>10791633.699999999</v>
      </c>
      <c r="K318" s="11">
        <f t="shared" si="20"/>
        <v>10822253.08</v>
      </c>
      <c r="L318" s="11">
        <f t="shared" si="20"/>
        <v>10852905.41</v>
      </c>
      <c r="M318" s="11">
        <f t="shared" si="20"/>
        <v>10883524.619999999</v>
      </c>
      <c r="N318" s="11">
        <f t="shared" si="20"/>
        <v>10914143.800000001</v>
      </c>
      <c r="O318" s="11">
        <f t="shared" si="20"/>
        <v>10944795.9</v>
      </c>
      <c r="P318" s="11">
        <f t="shared" si="16"/>
        <v>10760965.715416666</v>
      </c>
    </row>
    <row r="319" spans="1:16" x14ac:dyDescent="0.3">
      <c r="A319" s="84">
        <v>367.23</v>
      </c>
      <c r="B319" t="s">
        <v>394</v>
      </c>
      <c r="C319" s="11">
        <f t="shared" si="20"/>
        <v>13455811.98</v>
      </c>
      <c r="D319" s="11">
        <f t="shared" si="20"/>
        <v>13533362.140000001</v>
      </c>
      <c r="E319" s="11">
        <f t="shared" si="20"/>
        <v>13610989.140000001</v>
      </c>
      <c r="F319" s="11">
        <f t="shared" si="20"/>
        <v>13688538.960000001</v>
      </c>
      <c r="G319" s="11">
        <f t="shared" si="20"/>
        <v>13766088.630000001</v>
      </c>
      <c r="H319" s="11">
        <f t="shared" si="20"/>
        <v>13843869.16</v>
      </c>
      <c r="I319" s="11">
        <f t="shared" si="20"/>
        <v>13921418.51</v>
      </c>
      <c r="J319" s="11">
        <f t="shared" si="20"/>
        <v>13999044.75</v>
      </c>
      <c r="K319" s="11">
        <f t="shared" si="20"/>
        <v>14076593.810000001</v>
      </c>
      <c r="L319" s="11">
        <f t="shared" si="20"/>
        <v>14154219.73</v>
      </c>
      <c r="M319" s="11">
        <f t="shared" si="20"/>
        <v>14231768.439999999</v>
      </c>
      <c r="N319" s="11">
        <f t="shared" si="20"/>
        <v>14309317.02</v>
      </c>
      <c r="O319" s="11">
        <f t="shared" si="20"/>
        <v>14386942.470000001</v>
      </c>
      <c r="P319" s="11">
        <f t="shared" si="16"/>
        <v>13921382.292916669</v>
      </c>
    </row>
    <row r="320" spans="1:16" x14ac:dyDescent="0.3">
      <c r="A320" s="84">
        <v>367.24</v>
      </c>
      <c r="B320" t="s">
        <v>395</v>
      </c>
      <c r="C320" s="11">
        <f t="shared" si="20"/>
        <v>5611188.8600000003</v>
      </c>
      <c r="D320" s="11">
        <f t="shared" si="20"/>
        <v>5648856.1699999999</v>
      </c>
      <c r="E320" s="11">
        <f t="shared" si="20"/>
        <v>5686561.9299999997</v>
      </c>
      <c r="F320" s="11">
        <f t="shared" si="20"/>
        <v>5724229.0800000001</v>
      </c>
      <c r="G320" s="11">
        <f t="shared" si="20"/>
        <v>5761896.1399999997</v>
      </c>
      <c r="H320" s="11">
        <f t="shared" si="20"/>
        <v>5799678.7800000003</v>
      </c>
      <c r="I320" s="11">
        <f t="shared" si="20"/>
        <v>5837345.6900000004</v>
      </c>
      <c r="J320" s="11">
        <f t="shared" si="20"/>
        <v>5875051.0700000003</v>
      </c>
      <c r="K320" s="11">
        <f t="shared" si="20"/>
        <v>5912717.8099999996</v>
      </c>
      <c r="L320" s="11">
        <f t="shared" si="20"/>
        <v>5950423.04</v>
      </c>
      <c r="M320" s="11">
        <f t="shared" si="20"/>
        <v>5988089.6299999999</v>
      </c>
      <c r="N320" s="11">
        <f t="shared" si="20"/>
        <v>6025756.1399999997</v>
      </c>
      <c r="O320" s="11">
        <f t="shared" si="20"/>
        <v>6063461.1299999999</v>
      </c>
      <c r="P320" s="11">
        <f t="shared" si="16"/>
        <v>5837327.5395833338</v>
      </c>
    </row>
    <row r="321" spans="1:16" x14ac:dyDescent="0.3">
      <c r="A321" s="84">
        <v>367.25</v>
      </c>
      <c r="B321" t="s">
        <v>396</v>
      </c>
      <c r="C321" s="11">
        <f t="shared" si="20"/>
        <v>5671679.25</v>
      </c>
      <c r="D321" s="11">
        <f t="shared" si="20"/>
        <v>5712131.4299999997</v>
      </c>
      <c r="E321" s="11">
        <f t="shared" si="20"/>
        <v>5752624.5800000001</v>
      </c>
      <c r="F321" s="11">
        <f t="shared" si="20"/>
        <v>5793076.5499999998</v>
      </c>
      <c r="G321" s="11">
        <f t="shared" si="20"/>
        <v>5833528.4400000004</v>
      </c>
      <c r="H321" s="11">
        <f t="shared" si="20"/>
        <v>5874103.54</v>
      </c>
      <c r="I321" s="11">
        <f t="shared" si="20"/>
        <v>5914555.2699999996</v>
      </c>
      <c r="J321" s="11">
        <f t="shared" si="20"/>
        <v>5955048</v>
      </c>
      <c r="K321" s="11">
        <f t="shared" si="20"/>
        <v>5995499.5499999998</v>
      </c>
      <c r="L321" s="11">
        <f t="shared" si="20"/>
        <v>6035992.1600000001</v>
      </c>
      <c r="M321" s="11">
        <f t="shared" si="20"/>
        <v>6076443.54</v>
      </c>
      <c r="N321" s="11">
        <f t="shared" si="20"/>
        <v>6116894.8499999996</v>
      </c>
      <c r="O321" s="11">
        <f t="shared" si="20"/>
        <v>6157387.1699999999</v>
      </c>
      <c r="P321" s="11">
        <f t="shared" si="16"/>
        <v>5914535.9266666658</v>
      </c>
    </row>
    <row r="322" spans="1:16" x14ac:dyDescent="0.3">
      <c r="A322" s="84">
        <v>367.26</v>
      </c>
      <c r="B322" t="s">
        <v>397</v>
      </c>
      <c r="C322" s="11">
        <f t="shared" si="20"/>
        <v>20977894.23</v>
      </c>
      <c r="D322" s="11">
        <f t="shared" si="20"/>
        <v>21125612.359999999</v>
      </c>
      <c r="E322" s="11">
        <f t="shared" si="20"/>
        <v>21273480.809999999</v>
      </c>
      <c r="F322" s="11">
        <f t="shared" si="20"/>
        <v>21421198.32</v>
      </c>
      <c r="G322" s="11">
        <f t="shared" si="20"/>
        <v>21568915.539999999</v>
      </c>
      <c r="H322" s="11">
        <f t="shared" si="20"/>
        <v>21717084.289999999</v>
      </c>
      <c r="I322" s="11">
        <f t="shared" si="20"/>
        <v>21864800.93</v>
      </c>
      <c r="J322" s="11">
        <f t="shared" si="20"/>
        <v>22012667.84</v>
      </c>
      <c r="K322" s="11">
        <f t="shared" si="20"/>
        <v>22160383.809999999</v>
      </c>
      <c r="L322" s="11">
        <f t="shared" si="20"/>
        <v>22308250.149999999</v>
      </c>
      <c r="M322" s="11">
        <f t="shared" si="20"/>
        <v>22455965.510000002</v>
      </c>
      <c r="N322" s="11">
        <f t="shared" si="20"/>
        <v>22603680.539999999</v>
      </c>
      <c r="O322" s="11">
        <f t="shared" si="20"/>
        <v>22751545.98</v>
      </c>
      <c r="P322" s="11">
        <f t="shared" si="16"/>
        <v>21864730.017083332</v>
      </c>
    </row>
    <row r="323" spans="1:16" x14ac:dyDescent="0.3">
      <c r="A323" s="84">
        <v>368</v>
      </c>
      <c r="B323" t="s">
        <v>398</v>
      </c>
      <c r="C323" s="11">
        <f t="shared" si="20"/>
        <v>-8.81</v>
      </c>
      <c r="D323" s="11">
        <f t="shared" si="20"/>
        <v>-8.81</v>
      </c>
      <c r="E323" s="11">
        <f t="shared" si="20"/>
        <v>-8.81</v>
      </c>
      <c r="F323" s="11">
        <f t="shared" si="20"/>
        <v>-8.81</v>
      </c>
      <c r="G323" s="11">
        <f t="shared" si="20"/>
        <v>-8.81</v>
      </c>
      <c r="H323" s="11">
        <f t="shared" si="20"/>
        <v>-8.81</v>
      </c>
      <c r="I323" s="11">
        <f t="shared" si="20"/>
        <v>-8.81</v>
      </c>
      <c r="J323" s="11">
        <f t="shared" si="20"/>
        <v>-8.81</v>
      </c>
      <c r="K323" s="11">
        <f t="shared" si="20"/>
        <v>-8.81</v>
      </c>
      <c r="L323" s="11">
        <f t="shared" si="20"/>
        <v>-8.81</v>
      </c>
      <c r="M323" s="11">
        <f t="shared" si="20"/>
        <v>-8.81</v>
      </c>
      <c r="N323" s="11">
        <f t="shared" si="20"/>
        <v>-8.81</v>
      </c>
      <c r="O323" s="11">
        <f t="shared" si="20"/>
        <v>-8.81</v>
      </c>
      <c r="P323" s="11">
        <f t="shared" si="16"/>
        <v>-8.81</v>
      </c>
    </row>
    <row r="324" spans="1:16" x14ac:dyDescent="0.3">
      <c r="A324" s="84">
        <v>369</v>
      </c>
      <c r="B324" t="s">
        <v>399</v>
      </c>
      <c r="C324" s="11">
        <f t="shared" si="20"/>
        <v>1524766.39</v>
      </c>
      <c r="D324" s="11">
        <f t="shared" si="20"/>
        <v>1533628.7</v>
      </c>
      <c r="E324" s="11">
        <f t="shared" si="20"/>
        <v>1542495.39</v>
      </c>
      <c r="F324" s="11">
        <f t="shared" si="20"/>
        <v>1551357.7</v>
      </c>
      <c r="G324" s="11">
        <f t="shared" si="20"/>
        <v>1560220.06</v>
      </c>
      <c r="H324" s="11">
        <f t="shared" si="20"/>
        <v>1569095.44</v>
      </c>
      <c r="I324" s="11">
        <f t="shared" si="20"/>
        <v>1577957.77</v>
      </c>
      <c r="J324" s="11">
        <f t="shared" si="20"/>
        <v>1586824.4</v>
      </c>
      <c r="K324" s="11">
        <f t="shared" si="20"/>
        <v>1595686.73</v>
      </c>
      <c r="L324" s="11">
        <f t="shared" si="20"/>
        <v>1604553.39</v>
      </c>
      <c r="M324" s="11">
        <f t="shared" si="20"/>
        <v>1613415.68</v>
      </c>
      <c r="N324" s="11">
        <f t="shared" si="20"/>
        <v>1622277.99</v>
      </c>
      <c r="O324" s="11">
        <f t="shared" si="20"/>
        <v>1631144.67</v>
      </c>
      <c r="P324" s="11">
        <f t="shared" si="16"/>
        <v>1577955.7316666667</v>
      </c>
    </row>
    <row r="325" spans="1:16" x14ac:dyDescent="0.3">
      <c r="A325" s="84">
        <v>374.1</v>
      </c>
      <c r="B325" t="s">
        <v>327</v>
      </c>
      <c r="C325" s="11">
        <f t="shared" si="20"/>
        <v>0</v>
      </c>
      <c r="D325" s="11">
        <f t="shared" si="20"/>
        <v>0</v>
      </c>
      <c r="E325" s="11">
        <f t="shared" si="20"/>
        <v>0</v>
      </c>
      <c r="F325" s="11">
        <f t="shared" si="20"/>
        <v>0</v>
      </c>
      <c r="G325" s="11">
        <f t="shared" si="20"/>
        <v>0</v>
      </c>
      <c r="H325" s="11">
        <f t="shared" si="20"/>
        <v>0</v>
      </c>
      <c r="I325" s="11">
        <f t="shared" si="20"/>
        <v>0</v>
      </c>
      <c r="J325" s="11">
        <f t="shared" si="20"/>
        <v>0</v>
      </c>
      <c r="K325" s="11">
        <f t="shared" si="20"/>
        <v>0</v>
      </c>
      <c r="L325" s="11">
        <f t="shared" si="20"/>
        <v>0</v>
      </c>
      <c r="M325" s="11">
        <f t="shared" si="20"/>
        <v>0</v>
      </c>
      <c r="N325" s="11">
        <f t="shared" si="20"/>
        <v>0</v>
      </c>
      <c r="O325" s="11">
        <f t="shared" si="20"/>
        <v>0</v>
      </c>
      <c r="P325" s="11">
        <f t="shared" si="16"/>
        <v>0</v>
      </c>
    </row>
    <row r="326" spans="1:16" x14ac:dyDescent="0.3">
      <c r="A326" s="84">
        <v>374.2</v>
      </c>
      <c r="B326" t="s">
        <v>328</v>
      </c>
      <c r="C326" s="11">
        <f t="shared" si="20"/>
        <v>1526300.52</v>
      </c>
      <c r="D326" s="11">
        <f t="shared" si="20"/>
        <v>1538074.02</v>
      </c>
      <c r="E326" s="11">
        <f t="shared" si="20"/>
        <v>1549847.54</v>
      </c>
      <c r="F326" s="11">
        <f t="shared" si="20"/>
        <v>1561621.1700000002</v>
      </c>
      <c r="G326" s="11">
        <f t="shared" si="20"/>
        <v>1573394.7300000002</v>
      </c>
      <c r="H326" s="11">
        <f t="shared" si="20"/>
        <v>1585168.24</v>
      </c>
      <c r="I326" s="11">
        <f t="shared" si="20"/>
        <v>1596941.75</v>
      </c>
      <c r="J326" s="11">
        <f t="shared" si="20"/>
        <v>1608715.4000000001</v>
      </c>
      <c r="K326" s="11">
        <f t="shared" si="20"/>
        <v>1620488.78</v>
      </c>
      <c r="L326" s="11">
        <f t="shared" si="20"/>
        <v>1632262.34</v>
      </c>
      <c r="M326" s="11">
        <f t="shared" si="20"/>
        <v>1644039.22</v>
      </c>
      <c r="N326" s="11">
        <f t="shared" si="20"/>
        <v>1655823.58</v>
      </c>
      <c r="O326" s="11">
        <f t="shared" si="20"/>
        <v>1667612.08</v>
      </c>
      <c r="P326" s="11">
        <f t="shared" si="16"/>
        <v>1596944.4225000003</v>
      </c>
    </row>
    <row r="327" spans="1:16" x14ac:dyDescent="0.3">
      <c r="A327" s="84">
        <v>375</v>
      </c>
      <c r="B327" t="s">
        <v>329</v>
      </c>
      <c r="C327" s="11">
        <f t="shared" si="20"/>
        <v>85345.709999999992</v>
      </c>
      <c r="D327" s="11">
        <f t="shared" si="20"/>
        <v>85843.010000000009</v>
      </c>
      <c r="E327" s="11">
        <f t="shared" si="20"/>
        <v>86349.9</v>
      </c>
      <c r="F327" s="11">
        <f t="shared" si="20"/>
        <v>86856.78</v>
      </c>
      <c r="G327" s="11">
        <f t="shared" si="20"/>
        <v>87363.91</v>
      </c>
      <c r="H327" s="11">
        <f t="shared" si="20"/>
        <v>87871.03</v>
      </c>
      <c r="I327" s="11">
        <f t="shared" si="20"/>
        <v>88378.14</v>
      </c>
      <c r="J327" s="11">
        <f t="shared" si="20"/>
        <v>88885.24</v>
      </c>
      <c r="K327" s="11">
        <f t="shared" si="20"/>
        <v>89392.39</v>
      </c>
      <c r="L327" s="11">
        <f t="shared" si="20"/>
        <v>89899.51</v>
      </c>
      <c r="M327" s="11">
        <f t="shared" si="20"/>
        <v>90406.66</v>
      </c>
      <c r="N327" s="11">
        <f t="shared" si="20"/>
        <v>90913.76999999999</v>
      </c>
      <c r="O327" s="11">
        <f t="shared" si="20"/>
        <v>91420.89</v>
      </c>
      <c r="P327" s="11">
        <f t="shared" si="16"/>
        <v>88378.636666666673</v>
      </c>
    </row>
    <row r="328" spans="1:16" x14ac:dyDescent="0.3">
      <c r="A328" s="84">
        <v>376.11</v>
      </c>
      <c r="B328" t="s">
        <v>330</v>
      </c>
      <c r="C328" s="11">
        <f t="shared" si="20"/>
        <v>321708190.63</v>
      </c>
      <c r="D328" s="11">
        <f t="shared" si="20"/>
        <v>322805758.59999996</v>
      </c>
      <c r="E328" s="11">
        <f t="shared" si="20"/>
        <v>323946147.81999999</v>
      </c>
      <c r="F328" s="11">
        <f t="shared" si="20"/>
        <v>325049387.22000003</v>
      </c>
      <c r="G328" s="11">
        <f t="shared" si="20"/>
        <v>326145214.25999999</v>
      </c>
      <c r="H328" s="11">
        <f t="shared" si="20"/>
        <v>327378272.44</v>
      </c>
      <c r="I328" s="11">
        <f t="shared" si="20"/>
        <v>328555404.14999998</v>
      </c>
      <c r="J328" s="11">
        <f t="shared" si="20"/>
        <v>329719069.05000001</v>
      </c>
      <c r="K328" s="11">
        <f t="shared" si="20"/>
        <v>330915606.63</v>
      </c>
      <c r="L328" s="11">
        <f t="shared" si="20"/>
        <v>331976785.5</v>
      </c>
      <c r="M328" s="11">
        <f t="shared" si="20"/>
        <v>333152251.61000001</v>
      </c>
      <c r="N328" s="11">
        <f t="shared" si="20"/>
        <v>334373490.19</v>
      </c>
      <c r="O328" s="11">
        <f t="shared" si="20"/>
        <v>335499907.38</v>
      </c>
      <c r="P328" s="11">
        <f t="shared" ref="P328:P368" si="21">(C328/2+O328/2+SUM(D328:N328))/12</f>
        <v>328551786.37291676</v>
      </c>
    </row>
    <row r="329" spans="1:16" x14ac:dyDescent="0.3">
      <c r="A329" s="84">
        <v>376.12</v>
      </c>
      <c r="B329" t="s">
        <v>331</v>
      </c>
      <c r="C329" s="11">
        <f t="shared" si="20"/>
        <v>220353211.57000002</v>
      </c>
      <c r="D329" s="11">
        <f t="shared" si="20"/>
        <v>221338548.38</v>
      </c>
      <c r="E329" s="11">
        <f t="shared" si="20"/>
        <v>222348308.72999999</v>
      </c>
      <c r="F329" s="11">
        <f t="shared" si="20"/>
        <v>223103420.53999999</v>
      </c>
      <c r="G329" s="11">
        <f t="shared" si="20"/>
        <v>224132169.77000001</v>
      </c>
      <c r="H329" s="11">
        <f t="shared" si="20"/>
        <v>225195972.13</v>
      </c>
      <c r="I329" s="11">
        <f t="shared" si="20"/>
        <v>226301475.31999999</v>
      </c>
      <c r="J329" s="11">
        <f t="shared" si="20"/>
        <v>227405567</v>
      </c>
      <c r="K329" s="11">
        <f t="shared" si="20"/>
        <v>228488916.33000001</v>
      </c>
      <c r="L329" s="11">
        <f t="shared" si="20"/>
        <v>229560238.88</v>
      </c>
      <c r="M329" s="11">
        <f t="shared" si="20"/>
        <v>230283588.91999999</v>
      </c>
      <c r="N329" s="11">
        <f t="shared" si="20"/>
        <v>231319328.72000003</v>
      </c>
      <c r="O329" s="11">
        <f t="shared" si="20"/>
        <v>232230346.64000002</v>
      </c>
      <c r="P329" s="11">
        <f t="shared" si="21"/>
        <v>226314109.48541668</v>
      </c>
    </row>
    <row r="330" spans="1:16" x14ac:dyDescent="0.3">
      <c r="A330" s="84">
        <v>377</v>
      </c>
      <c r="B330" t="s">
        <v>373</v>
      </c>
      <c r="C330" s="11">
        <f t="shared" ref="C330:O345" si="22">+C86+C208</f>
        <v>644698.4</v>
      </c>
      <c r="D330" s="11">
        <f t="shared" si="22"/>
        <v>646287.42000000004</v>
      </c>
      <c r="E330" s="11">
        <f t="shared" si="22"/>
        <v>647876.44999999995</v>
      </c>
      <c r="F330" s="11">
        <f t="shared" si="22"/>
        <v>649465.47</v>
      </c>
      <c r="G330" s="11">
        <f t="shared" si="22"/>
        <v>651054.49</v>
      </c>
      <c r="H330" s="11">
        <f t="shared" si="22"/>
        <v>652643.51</v>
      </c>
      <c r="I330" s="11">
        <f t="shared" si="22"/>
        <v>654232.53</v>
      </c>
      <c r="J330" s="11">
        <f t="shared" si="22"/>
        <v>655821.56000000006</v>
      </c>
      <c r="K330" s="11">
        <f t="shared" si="22"/>
        <v>657410.56999999995</v>
      </c>
      <c r="L330" s="11">
        <f t="shared" si="22"/>
        <v>658999.59</v>
      </c>
      <c r="M330" s="11">
        <f t="shared" si="22"/>
        <v>660588.62</v>
      </c>
      <c r="N330" s="11">
        <f t="shared" si="22"/>
        <v>662177.64</v>
      </c>
      <c r="O330" s="11">
        <f t="shared" si="22"/>
        <v>663766.66</v>
      </c>
      <c r="P330" s="11">
        <f t="shared" si="21"/>
        <v>654232.53166666662</v>
      </c>
    </row>
    <row r="331" spans="1:16" x14ac:dyDescent="0.3">
      <c r="A331" s="84">
        <v>378</v>
      </c>
      <c r="B331" t="s">
        <v>332</v>
      </c>
      <c r="C331" s="11">
        <f t="shared" si="22"/>
        <v>12066758.550000001</v>
      </c>
      <c r="D331" s="11">
        <f t="shared" si="22"/>
        <v>12127635.18</v>
      </c>
      <c r="E331" s="11">
        <f t="shared" si="22"/>
        <v>12188644.5</v>
      </c>
      <c r="F331" s="11">
        <f t="shared" si="22"/>
        <v>12249856.539999999</v>
      </c>
      <c r="G331" s="11">
        <f t="shared" si="22"/>
        <v>12311414.02</v>
      </c>
      <c r="H331" s="11">
        <f t="shared" si="22"/>
        <v>12373303.369999999</v>
      </c>
      <c r="I331" s="11">
        <f t="shared" si="22"/>
        <v>12435806.35</v>
      </c>
      <c r="J331" s="11">
        <f t="shared" si="22"/>
        <v>12499165.09</v>
      </c>
      <c r="K331" s="11">
        <f t="shared" si="22"/>
        <v>12562618.640000001</v>
      </c>
      <c r="L331" s="11">
        <f t="shared" si="22"/>
        <v>12626258.34</v>
      </c>
      <c r="M331" s="11">
        <f t="shared" si="22"/>
        <v>12689969.1</v>
      </c>
      <c r="N331" s="11">
        <f t="shared" si="22"/>
        <v>12753763.59</v>
      </c>
      <c r="O331" s="11">
        <f t="shared" si="22"/>
        <v>12817805.859999999</v>
      </c>
      <c r="P331" s="11">
        <f t="shared" si="21"/>
        <v>12438393.077083334</v>
      </c>
    </row>
    <row r="332" spans="1:16" x14ac:dyDescent="0.3">
      <c r="A332" s="84">
        <v>379</v>
      </c>
      <c r="B332" t="s">
        <v>333</v>
      </c>
      <c r="C332" s="11">
        <f t="shared" si="22"/>
        <v>2342197.64</v>
      </c>
      <c r="D332" s="11">
        <f t="shared" si="22"/>
        <v>2378757.86</v>
      </c>
      <c r="E332" s="11">
        <f t="shared" si="22"/>
        <v>2416180.1</v>
      </c>
      <c r="F332" s="11">
        <f t="shared" si="22"/>
        <v>2454530.71</v>
      </c>
      <c r="G332" s="11">
        <f t="shared" si="22"/>
        <v>2494244.36</v>
      </c>
      <c r="H332" s="11">
        <f t="shared" si="22"/>
        <v>2534971.5700000003</v>
      </c>
      <c r="I332" s="11">
        <f t="shared" si="22"/>
        <v>2576340.2800000003</v>
      </c>
      <c r="J332" s="11">
        <f t="shared" si="22"/>
        <v>2618534.2199999997</v>
      </c>
      <c r="K332" s="11">
        <f t="shared" si="22"/>
        <v>2661354.09</v>
      </c>
      <c r="L332" s="11">
        <f t="shared" si="22"/>
        <v>2704602.2199999997</v>
      </c>
      <c r="M332" s="11">
        <f t="shared" si="22"/>
        <v>2748080.62</v>
      </c>
      <c r="N332" s="11">
        <f t="shared" si="22"/>
        <v>2792497.74</v>
      </c>
      <c r="O332" s="11">
        <f t="shared" si="22"/>
        <v>2838931.36</v>
      </c>
      <c r="P332" s="11">
        <f t="shared" si="21"/>
        <v>2580888.1891666665</v>
      </c>
    </row>
    <row r="333" spans="1:16" x14ac:dyDescent="0.3">
      <c r="A333" s="84">
        <v>380</v>
      </c>
      <c r="B333" t="s">
        <v>334</v>
      </c>
      <c r="C333" s="11">
        <f t="shared" si="22"/>
        <v>401374873.87</v>
      </c>
      <c r="D333" s="11">
        <f t="shared" si="22"/>
        <v>403030349.11000001</v>
      </c>
      <c r="E333" s="11">
        <f t="shared" si="22"/>
        <v>404658770.69999999</v>
      </c>
      <c r="F333" s="11">
        <f t="shared" si="22"/>
        <v>406252227.13</v>
      </c>
      <c r="G333" s="11">
        <f t="shared" si="22"/>
        <v>407078897.00999999</v>
      </c>
      <c r="H333" s="11">
        <f t="shared" si="22"/>
        <v>408247820.10999995</v>
      </c>
      <c r="I333" s="11">
        <f t="shared" si="22"/>
        <v>409072572.07000005</v>
      </c>
      <c r="J333" s="11">
        <f t="shared" si="22"/>
        <v>410284356.18000001</v>
      </c>
      <c r="K333" s="11">
        <f t="shared" si="22"/>
        <v>411980633.51999998</v>
      </c>
      <c r="L333" s="11">
        <f t="shared" si="22"/>
        <v>413372205.68000001</v>
      </c>
      <c r="M333" s="11">
        <f t="shared" si="22"/>
        <v>415066548.99000001</v>
      </c>
      <c r="N333" s="11">
        <f t="shared" si="22"/>
        <v>416793279.43000001</v>
      </c>
      <c r="O333" s="11">
        <f t="shared" si="22"/>
        <v>418522352.72000003</v>
      </c>
      <c r="P333" s="11">
        <f t="shared" si="21"/>
        <v>409648856.10208338</v>
      </c>
    </row>
    <row r="334" spans="1:16" x14ac:dyDescent="0.3">
      <c r="A334" s="84">
        <v>381</v>
      </c>
      <c r="B334" t="s">
        <v>335</v>
      </c>
      <c r="C334" s="11">
        <f t="shared" si="22"/>
        <v>22768480.560000002</v>
      </c>
      <c r="D334" s="11">
        <f t="shared" si="22"/>
        <v>22896517.060000002</v>
      </c>
      <c r="E334" s="11">
        <f t="shared" si="22"/>
        <v>23011603.420000002</v>
      </c>
      <c r="F334" s="11">
        <f t="shared" si="22"/>
        <v>23080067.789999999</v>
      </c>
      <c r="G334" s="11">
        <f t="shared" si="22"/>
        <v>23193180.859999999</v>
      </c>
      <c r="H334" s="11">
        <f t="shared" si="22"/>
        <v>23290469.48</v>
      </c>
      <c r="I334" s="11">
        <f t="shared" si="22"/>
        <v>23384501.599999998</v>
      </c>
      <c r="J334" s="11">
        <f t="shared" si="22"/>
        <v>23400119.23</v>
      </c>
      <c r="K334" s="11">
        <f t="shared" si="22"/>
        <v>23426915.640000001</v>
      </c>
      <c r="L334" s="11">
        <f t="shared" si="22"/>
        <v>23356131.57</v>
      </c>
      <c r="M334" s="11">
        <f t="shared" si="22"/>
        <v>23407293.57</v>
      </c>
      <c r="N334" s="11">
        <f t="shared" si="22"/>
        <v>23369955.73</v>
      </c>
      <c r="O334" s="11">
        <f t="shared" si="22"/>
        <v>23357872.809999999</v>
      </c>
      <c r="P334" s="11">
        <f t="shared" si="21"/>
        <v>23239994.38625</v>
      </c>
    </row>
    <row r="335" spans="1:16" x14ac:dyDescent="0.3">
      <c r="A335" s="84">
        <v>381.1</v>
      </c>
      <c r="B335" t="s">
        <v>401</v>
      </c>
      <c r="C335" s="11">
        <f t="shared" si="22"/>
        <v>1568174.23</v>
      </c>
      <c r="D335" s="11">
        <f t="shared" si="22"/>
        <v>1596460.4</v>
      </c>
      <c r="E335" s="11">
        <f t="shared" si="22"/>
        <v>1624746.59</v>
      </c>
      <c r="F335" s="11">
        <f t="shared" si="22"/>
        <v>1653032.74</v>
      </c>
      <c r="G335" s="11">
        <f t="shared" si="22"/>
        <v>1681318.91</v>
      </c>
      <c r="H335" s="11">
        <f t="shared" si="22"/>
        <v>1709605.07</v>
      </c>
      <c r="I335" s="11">
        <f t="shared" si="22"/>
        <v>1737891.25</v>
      </c>
      <c r="J335" s="11">
        <f t="shared" si="22"/>
        <v>1766177.42</v>
      </c>
      <c r="K335" s="11">
        <f t="shared" si="22"/>
        <v>1794463.6</v>
      </c>
      <c r="L335" s="11">
        <f t="shared" si="22"/>
        <v>1822749.75</v>
      </c>
      <c r="M335" s="11">
        <f t="shared" si="22"/>
        <v>1851035.93</v>
      </c>
      <c r="N335" s="11">
        <f t="shared" si="22"/>
        <v>1879322.1</v>
      </c>
      <c r="O335" s="11">
        <f t="shared" si="22"/>
        <v>1907608.25</v>
      </c>
      <c r="P335" s="11">
        <f t="shared" si="21"/>
        <v>1737891.25</v>
      </c>
    </row>
    <row r="336" spans="1:16" x14ac:dyDescent="0.3">
      <c r="A336" s="84">
        <v>381.2</v>
      </c>
      <c r="B336" t="s">
        <v>336</v>
      </c>
      <c r="C336" s="11">
        <f t="shared" si="22"/>
        <v>20433221.93</v>
      </c>
      <c r="D336" s="11">
        <f t="shared" si="22"/>
        <v>20631902.469999999</v>
      </c>
      <c r="E336" s="11">
        <f t="shared" si="22"/>
        <v>20832975.609999999</v>
      </c>
      <c r="F336" s="11">
        <f t="shared" si="22"/>
        <v>21102043.350000001</v>
      </c>
      <c r="G336" s="11">
        <f t="shared" si="22"/>
        <v>21234187.23</v>
      </c>
      <c r="H336" s="11">
        <f t="shared" si="22"/>
        <v>21356103.740000002</v>
      </c>
      <c r="I336" s="11">
        <f t="shared" si="22"/>
        <v>21560314.190000001</v>
      </c>
      <c r="J336" s="11">
        <f t="shared" si="22"/>
        <v>21663587.969999999</v>
      </c>
      <c r="K336" s="11">
        <f t="shared" si="22"/>
        <v>21844124.130000003</v>
      </c>
      <c r="L336" s="11">
        <f t="shared" si="22"/>
        <v>21948463.77</v>
      </c>
      <c r="M336" s="11">
        <f t="shared" si="22"/>
        <v>22083578.509999998</v>
      </c>
      <c r="N336" s="11">
        <f t="shared" si="22"/>
        <v>22229041.530000001</v>
      </c>
      <c r="O336" s="11">
        <f t="shared" si="22"/>
        <v>22393256.759999998</v>
      </c>
      <c r="P336" s="11">
        <f t="shared" si="21"/>
        <v>21491630.153749999</v>
      </c>
    </row>
    <row r="337" spans="1:16" x14ac:dyDescent="0.3">
      <c r="A337" s="84">
        <v>382</v>
      </c>
      <c r="B337" t="s">
        <v>337</v>
      </c>
      <c r="C337" s="11">
        <f t="shared" si="22"/>
        <v>6985694.0500000007</v>
      </c>
      <c r="D337" s="11">
        <f t="shared" si="22"/>
        <v>7009610.6499999994</v>
      </c>
      <c r="E337" s="11">
        <f t="shared" si="22"/>
        <v>6989114.5800000001</v>
      </c>
      <c r="F337" s="11">
        <f t="shared" si="22"/>
        <v>6993222.29</v>
      </c>
      <c r="G337" s="11">
        <f t="shared" si="22"/>
        <v>6982567.8700000001</v>
      </c>
      <c r="H337" s="11">
        <f t="shared" si="22"/>
        <v>6860884.1100000003</v>
      </c>
      <c r="I337" s="11">
        <f t="shared" si="22"/>
        <v>6856226.3300000001</v>
      </c>
      <c r="J337" s="11">
        <f t="shared" si="22"/>
        <v>6750431.3399999999</v>
      </c>
      <c r="K337" s="11">
        <f t="shared" si="22"/>
        <v>6634965.0299999993</v>
      </c>
      <c r="L337" s="11">
        <f t="shared" si="22"/>
        <v>6346339.4399999995</v>
      </c>
      <c r="M337" s="11">
        <f t="shared" si="22"/>
        <v>6257532.3100000005</v>
      </c>
      <c r="N337" s="11">
        <f t="shared" si="22"/>
        <v>6004061.0600000005</v>
      </c>
      <c r="O337" s="11">
        <f t="shared" si="22"/>
        <v>5801780.0099999998</v>
      </c>
      <c r="P337" s="11">
        <f t="shared" si="21"/>
        <v>6673224.3366666669</v>
      </c>
    </row>
    <row r="338" spans="1:16" x14ac:dyDescent="0.3">
      <c r="A338" s="84">
        <v>382.1</v>
      </c>
      <c r="B338" t="s">
        <v>402</v>
      </c>
      <c r="C338" s="11">
        <f t="shared" si="22"/>
        <v>60641.94</v>
      </c>
      <c r="D338" s="11">
        <f t="shared" si="22"/>
        <v>61599.43</v>
      </c>
      <c r="E338" s="11">
        <f t="shared" si="22"/>
        <v>62556.95</v>
      </c>
      <c r="F338" s="11">
        <f t="shared" si="22"/>
        <v>63514.45</v>
      </c>
      <c r="G338" s="11">
        <f t="shared" si="22"/>
        <v>64471.95</v>
      </c>
      <c r="H338" s="11">
        <f t="shared" si="22"/>
        <v>65429.46</v>
      </c>
      <c r="I338" s="11">
        <f t="shared" si="22"/>
        <v>66386.960000000006</v>
      </c>
      <c r="J338" s="11">
        <f t="shared" si="22"/>
        <v>67344.460000000006</v>
      </c>
      <c r="K338" s="11">
        <f t="shared" si="22"/>
        <v>68301.97</v>
      </c>
      <c r="L338" s="11">
        <f t="shared" si="22"/>
        <v>69259.48</v>
      </c>
      <c r="M338" s="11">
        <f t="shared" si="22"/>
        <v>70216.98</v>
      </c>
      <c r="N338" s="11">
        <f t="shared" si="22"/>
        <v>71174.490000000005</v>
      </c>
      <c r="O338" s="11">
        <f t="shared" si="22"/>
        <v>72131.990000000005</v>
      </c>
      <c r="P338" s="11">
        <f t="shared" si="21"/>
        <v>66386.962083333332</v>
      </c>
    </row>
    <row r="339" spans="1:16" x14ac:dyDescent="0.3">
      <c r="A339" s="84">
        <v>382.2</v>
      </c>
      <c r="B339" t="s">
        <v>338</v>
      </c>
      <c r="C339" s="11">
        <f t="shared" si="22"/>
        <v>5328857.5600000005</v>
      </c>
      <c r="D339" s="11">
        <f t="shared" si="22"/>
        <v>5375296.5800000001</v>
      </c>
      <c r="E339" s="11">
        <f t="shared" si="22"/>
        <v>5421731.6999999993</v>
      </c>
      <c r="F339" s="11">
        <f t="shared" si="22"/>
        <v>5469139.8899999997</v>
      </c>
      <c r="G339" s="11">
        <f t="shared" si="22"/>
        <v>5516050.5800000001</v>
      </c>
      <c r="H339" s="11">
        <f t="shared" si="22"/>
        <v>5556922.7299999995</v>
      </c>
      <c r="I339" s="11">
        <f t="shared" si="22"/>
        <v>5602801.5999999996</v>
      </c>
      <c r="J339" s="11">
        <f t="shared" si="22"/>
        <v>5639063.7999999998</v>
      </c>
      <c r="K339" s="11">
        <f t="shared" si="22"/>
        <v>5680268.9900000002</v>
      </c>
      <c r="L339" s="11">
        <f t="shared" si="22"/>
        <v>5714497.0499999998</v>
      </c>
      <c r="M339" s="11">
        <f t="shared" si="22"/>
        <v>5754431.9000000004</v>
      </c>
      <c r="N339" s="11">
        <f t="shared" si="22"/>
        <v>5790630.1699999999</v>
      </c>
      <c r="O339" s="11">
        <f t="shared" si="22"/>
        <v>5828374.0999999996</v>
      </c>
      <c r="P339" s="11">
        <f t="shared" si="21"/>
        <v>5591620.9016666664</v>
      </c>
    </row>
    <row r="340" spans="1:16" x14ac:dyDescent="0.3">
      <c r="A340" s="84">
        <v>383</v>
      </c>
      <c r="B340" t="s">
        <v>339</v>
      </c>
      <c r="C340" s="11">
        <f t="shared" si="22"/>
        <v>253312.09</v>
      </c>
      <c r="D340" s="11">
        <f t="shared" si="22"/>
        <v>257612.43</v>
      </c>
      <c r="E340" s="11">
        <f t="shared" si="22"/>
        <v>262018.44</v>
      </c>
      <c r="F340" s="11">
        <f t="shared" si="22"/>
        <v>266532.24</v>
      </c>
      <c r="G340" s="11">
        <f t="shared" si="22"/>
        <v>271175.88</v>
      </c>
      <c r="H340" s="11">
        <f t="shared" si="22"/>
        <v>275908.03999999998</v>
      </c>
      <c r="I340" s="11">
        <f t="shared" si="22"/>
        <v>280653.56</v>
      </c>
      <c r="J340" s="11">
        <f t="shared" si="22"/>
        <v>285471.24</v>
      </c>
      <c r="K340" s="11">
        <f t="shared" si="22"/>
        <v>290440.42000000004</v>
      </c>
      <c r="L340" s="11">
        <f t="shared" si="22"/>
        <v>295541.94</v>
      </c>
      <c r="M340" s="11">
        <f t="shared" si="22"/>
        <v>300683.7</v>
      </c>
      <c r="N340" s="11">
        <f t="shared" si="22"/>
        <v>305880.13</v>
      </c>
      <c r="O340" s="11">
        <f t="shared" si="22"/>
        <v>311164.78999999998</v>
      </c>
      <c r="P340" s="11">
        <f t="shared" si="21"/>
        <v>281179.70500000002</v>
      </c>
    </row>
    <row r="341" spans="1:16" x14ac:dyDescent="0.3">
      <c r="A341" s="84">
        <v>386</v>
      </c>
      <c r="B341" t="s">
        <v>403</v>
      </c>
      <c r="C341" s="11">
        <f t="shared" si="22"/>
        <v>0</v>
      </c>
      <c r="D341" s="11">
        <f t="shared" si="22"/>
        <v>0</v>
      </c>
      <c r="E341" s="11">
        <f t="shared" si="22"/>
        <v>0</v>
      </c>
      <c r="F341" s="11">
        <f t="shared" si="22"/>
        <v>0</v>
      </c>
      <c r="G341" s="11">
        <f t="shared" si="22"/>
        <v>10835.76</v>
      </c>
      <c r="H341" s="11">
        <f t="shared" si="22"/>
        <v>22794.26</v>
      </c>
      <c r="I341" s="11">
        <f t="shared" si="22"/>
        <v>34750.6</v>
      </c>
      <c r="J341" s="11">
        <f t="shared" si="22"/>
        <v>46683.05</v>
      </c>
      <c r="K341" s="11">
        <f t="shared" si="22"/>
        <v>58682.73</v>
      </c>
      <c r="L341" s="11">
        <f t="shared" si="22"/>
        <v>70721.19</v>
      </c>
      <c r="M341" s="11">
        <f t="shared" si="22"/>
        <v>82731.17</v>
      </c>
      <c r="N341" s="11">
        <f t="shared" si="22"/>
        <v>94741.14</v>
      </c>
      <c r="O341" s="11">
        <f t="shared" si="22"/>
        <v>106751.13</v>
      </c>
      <c r="P341" s="11">
        <f t="shared" si="21"/>
        <v>39609.622083333335</v>
      </c>
    </row>
    <row r="342" spans="1:16" x14ac:dyDescent="0.3">
      <c r="A342" s="84">
        <v>386.1</v>
      </c>
      <c r="B342" t="s">
        <v>1914</v>
      </c>
      <c r="C342" s="11">
        <f t="shared" si="22"/>
        <v>0</v>
      </c>
      <c r="D342" s="11">
        <f t="shared" si="22"/>
        <v>0</v>
      </c>
      <c r="E342" s="11">
        <f t="shared" si="22"/>
        <v>0</v>
      </c>
      <c r="F342" s="11">
        <f t="shared" si="22"/>
        <v>0</v>
      </c>
      <c r="G342" s="11">
        <f t="shared" si="22"/>
        <v>0</v>
      </c>
      <c r="H342" s="11">
        <f t="shared" si="22"/>
        <v>0</v>
      </c>
      <c r="I342" s="11">
        <f t="shared" si="22"/>
        <v>0</v>
      </c>
      <c r="J342" s="11">
        <f t="shared" si="22"/>
        <v>0</v>
      </c>
      <c r="K342" s="11">
        <f t="shared" si="22"/>
        <v>14.92</v>
      </c>
      <c r="L342" s="11">
        <f t="shared" si="22"/>
        <v>44.76</v>
      </c>
      <c r="M342" s="11">
        <f t="shared" si="22"/>
        <v>74.599999999999994</v>
      </c>
      <c r="N342" s="11">
        <f t="shared" si="22"/>
        <v>104.45</v>
      </c>
      <c r="O342" s="11">
        <f t="shared" si="22"/>
        <v>215.35</v>
      </c>
      <c r="P342" s="11">
        <f t="shared" si="21"/>
        <v>28.867083333333337</v>
      </c>
    </row>
    <row r="343" spans="1:16" x14ac:dyDescent="0.3">
      <c r="A343" s="84">
        <v>387.1</v>
      </c>
      <c r="B343" t="s">
        <v>404</v>
      </c>
      <c r="C343" s="11">
        <f t="shared" si="22"/>
        <v>142148.56</v>
      </c>
      <c r="D343" s="11">
        <f t="shared" si="22"/>
        <v>142228.25</v>
      </c>
      <c r="E343" s="11">
        <f t="shared" si="22"/>
        <v>142307.94</v>
      </c>
      <c r="F343" s="11">
        <f t="shared" si="22"/>
        <v>142387.63</v>
      </c>
      <c r="G343" s="11">
        <f t="shared" si="22"/>
        <v>142467.31</v>
      </c>
      <c r="H343" s="11">
        <f t="shared" si="22"/>
        <v>142547.01</v>
      </c>
      <c r="I343" s="11">
        <f t="shared" si="22"/>
        <v>142626.69</v>
      </c>
      <c r="J343" s="11">
        <f t="shared" si="22"/>
        <v>142706.38</v>
      </c>
      <c r="K343" s="11">
        <f t="shared" si="22"/>
        <v>142786.07</v>
      </c>
      <c r="L343" s="11">
        <f t="shared" si="22"/>
        <v>142865.74</v>
      </c>
      <c r="M343" s="11">
        <f t="shared" si="22"/>
        <v>142945.42000000001</v>
      </c>
      <c r="N343" s="11">
        <f t="shared" si="22"/>
        <v>143025.12</v>
      </c>
      <c r="O343" s="11">
        <f t="shared" si="22"/>
        <v>143104.79</v>
      </c>
      <c r="P343" s="11">
        <f t="shared" si="21"/>
        <v>142626.68625</v>
      </c>
    </row>
    <row r="344" spans="1:16" x14ac:dyDescent="0.3">
      <c r="A344" s="84">
        <v>387.2</v>
      </c>
      <c r="B344" t="s">
        <v>340</v>
      </c>
      <c r="C344" s="11">
        <f t="shared" si="22"/>
        <v>96424</v>
      </c>
      <c r="D344" s="11">
        <f t="shared" si="22"/>
        <v>96424</v>
      </c>
      <c r="E344" s="11">
        <f t="shared" si="22"/>
        <v>96424</v>
      </c>
      <c r="F344" s="11">
        <f t="shared" si="22"/>
        <v>96424</v>
      </c>
      <c r="G344" s="11">
        <f t="shared" si="22"/>
        <v>96424</v>
      </c>
      <c r="H344" s="11">
        <f t="shared" si="22"/>
        <v>96424</v>
      </c>
      <c r="I344" s="11">
        <f t="shared" si="22"/>
        <v>96424</v>
      </c>
      <c r="J344" s="11">
        <f t="shared" si="22"/>
        <v>96424</v>
      </c>
      <c r="K344" s="11">
        <f t="shared" si="22"/>
        <v>96424</v>
      </c>
      <c r="L344" s="11">
        <f t="shared" si="22"/>
        <v>96424</v>
      </c>
      <c r="M344" s="11">
        <f t="shared" si="22"/>
        <v>96424</v>
      </c>
      <c r="N344" s="11">
        <f t="shared" si="22"/>
        <v>96424</v>
      </c>
      <c r="O344" s="11">
        <f t="shared" si="22"/>
        <v>96424</v>
      </c>
      <c r="P344" s="11">
        <f t="shared" si="21"/>
        <v>96424</v>
      </c>
    </row>
    <row r="345" spans="1:16" x14ac:dyDescent="0.3">
      <c r="A345" s="84">
        <v>387.3</v>
      </c>
      <c r="B345" t="s">
        <v>405</v>
      </c>
      <c r="C345" s="11">
        <f t="shared" si="22"/>
        <v>72671</v>
      </c>
      <c r="D345" s="11">
        <f t="shared" si="22"/>
        <v>72671</v>
      </c>
      <c r="E345" s="11">
        <f t="shared" si="22"/>
        <v>72671</v>
      </c>
      <c r="F345" s="11">
        <f t="shared" si="22"/>
        <v>72671</v>
      </c>
      <c r="G345" s="11">
        <f t="shared" si="22"/>
        <v>72671</v>
      </c>
      <c r="H345" s="11">
        <f t="shared" si="22"/>
        <v>72671</v>
      </c>
      <c r="I345" s="11">
        <f t="shared" si="22"/>
        <v>72671</v>
      </c>
      <c r="J345" s="11">
        <f t="shared" si="22"/>
        <v>72671</v>
      </c>
      <c r="K345" s="11">
        <f t="shared" si="22"/>
        <v>72671</v>
      </c>
      <c r="L345" s="11">
        <f t="shared" si="22"/>
        <v>72671</v>
      </c>
      <c r="M345" s="11">
        <f t="shared" si="22"/>
        <v>72671</v>
      </c>
      <c r="N345" s="11">
        <f t="shared" si="22"/>
        <v>72671</v>
      </c>
      <c r="O345" s="11">
        <f t="shared" si="22"/>
        <v>72671</v>
      </c>
      <c r="P345" s="11">
        <f t="shared" si="21"/>
        <v>72671</v>
      </c>
    </row>
    <row r="346" spans="1:16" x14ac:dyDescent="0.3">
      <c r="A346" s="84">
        <v>389</v>
      </c>
      <c r="B346" t="s">
        <v>327</v>
      </c>
      <c r="C346" s="11">
        <f t="shared" ref="C346:O361" si="23">+C102+C224</f>
        <v>437351</v>
      </c>
      <c r="D346" s="11">
        <f t="shared" si="23"/>
        <v>437351</v>
      </c>
      <c r="E346" s="11">
        <f t="shared" si="23"/>
        <v>437351</v>
      </c>
      <c r="F346" s="11">
        <f t="shared" si="23"/>
        <v>437351</v>
      </c>
      <c r="G346" s="11">
        <f t="shared" si="23"/>
        <v>437351</v>
      </c>
      <c r="H346" s="11">
        <f t="shared" si="23"/>
        <v>437351</v>
      </c>
      <c r="I346" s="11">
        <f t="shared" si="23"/>
        <v>437351</v>
      </c>
      <c r="J346" s="11">
        <f t="shared" si="23"/>
        <v>437351</v>
      </c>
      <c r="K346" s="11">
        <f t="shared" si="23"/>
        <v>437351</v>
      </c>
      <c r="L346" s="11">
        <f t="shared" si="23"/>
        <v>437351</v>
      </c>
      <c r="M346" s="11">
        <f t="shared" si="23"/>
        <v>437351</v>
      </c>
      <c r="N346" s="11">
        <f t="shared" si="23"/>
        <v>437351</v>
      </c>
      <c r="O346" s="11">
        <f t="shared" si="23"/>
        <v>437351</v>
      </c>
      <c r="P346" s="11">
        <f t="shared" si="21"/>
        <v>437351</v>
      </c>
    </row>
    <row r="347" spans="1:16" x14ac:dyDescent="0.3">
      <c r="A347" s="84">
        <v>390</v>
      </c>
      <c r="B347" t="s">
        <v>329</v>
      </c>
      <c r="C347" s="11">
        <f t="shared" si="23"/>
        <v>10343506.77</v>
      </c>
      <c r="D347" s="11">
        <f t="shared" si="23"/>
        <v>10441220.700000001</v>
      </c>
      <c r="E347" s="11">
        <f t="shared" si="23"/>
        <v>10538947.040000001</v>
      </c>
      <c r="F347" s="11">
        <f t="shared" si="23"/>
        <v>10636914.34</v>
      </c>
      <c r="G347" s="11">
        <f t="shared" si="23"/>
        <v>10735124.210000001</v>
      </c>
      <c r="H347" s="11">
        <f t="shared" si="23"/>
        <v>10833342.069999998</v>
      </c>
      <c r="I347" s="11">
        <f t="shared" si="23"/>
        <v>10931562.66</v>
      </c>
      <c r="J347" s="11">
        <f t="shared" si="23"/>
        <v>11029786.49</v>
      </c>
      <c r="K347" s="11">
        <f t="shared" si="23"/>
        <v>11128004.02</v>
      </c>
      <c r="L347" s="11">
        <f t="shared" si="23"/>
        <v>11226260.76</v>
      </c>
      <c r="M347" s="11">
        <f t="shared" si="23"/>
        <v>11324566.17</v>
      </c>
      <c r="N347" s="11">
        <f t="shared" si="23"/>
        <v>11422882.860000001</v>
      </c>
      <c r="O347" s="11">
        <f t="shared" si="23"/>
        <v>11521247.91</v>
      </c>
      <c r="P347" s="11">
        <f t="shared" si="21"/>
        <v>10931749.055000002</v>
      </c>
    </row>
    <row r="348" spans="1:16" x14ac:dyDescent="0.3">
      <c r="A348" s="84">
        <v>390.1</v>
      </c>
      <c r="B348" t="s">
        <v>341</v>
      </c>
      <c r="C348" s="11">
        <f t="shared" si="23"/>
        <v>4017332.0900000003</v>
      </c>
      <c r="D348" s="11">
        <f t="shared" si="23"/>
        <v>4100703.92</v>
      </c>
      <c r="E348" s="11">
        <f t="shared" si="23"/>
        <v>4184582.69</v>
      </c>
      <c r="F348" s="11">
        <f t="shared" si="23"/>
        <v>4268989.16</v>
      </c>
      <c r="G348" s="11">
        <f t="shared" si="23"/>
        <v>4353424.59</v>
      </c>
      <c r="H348" s="11">
        <f t="shared" si="23"/>
        <v>4437868.08</v>
      </c>
      <c r="I348" s="11">
        <f t="shared" si="23"/>
        <v>4522311.2700000005</v>
      </c>
      <c r="J348" s="11">
        <f t="shared" si="23"/>
        <v>4606754.57</v>
      </c>
      <c r="K348" s="11">
        <f t="shared" si="23"/>
        <v>4691197.84</v>
      </c>
      <c r="L348" s="11">
        <f t="shared" si="23"/>
        <v>4775641.1500000004</v>
      </c>
      <c r="M348" s="11">
        <f t="shared" si="23"/>
        <v>4860084.37</v>
      </c>
      <c r="N348" s="11">
        <f t="shared" si="23"/>
        <v>4944527.6000000006</v>
      </c>
      <c r="O348" s="11">
        <f t="shared" si="23"/>
        <v>5028970.87</v>
      </c>
      <c r="P348" s="11">
        <f t="shared" si="21"/>
        <v>4522436.3933333335</v>
      </c>
    </row>
    <row r="349" spans="1:16" x14ac:dyDescent="0.3">
      <c r="A349" s="84">
        <v>391.1</v>
      </c>
      <c r="B349" t="s">
        <v>342</v>
      </c>
      <c r="C349" s="11">
        <f t="shared" si="23"/>
        <v>7986005.6200000001</v>
      </c>
      <c r="D349" s="11">
        <f t="shared" si="23"/>
        <v>8060268.75</v>
      </c>
      <c r="E349" s="11">
        <f t="shared" si="23"/>
        <v>8134722.3799999999</v>
      </c>
      <c r="F349" s="11">
        <f t="shared" si="23"/>
        <v>8210159.1299999999</v>
      </c>
      <c r="G349" s="11">
        <f t="shared" si="23"/>
        <v>8286407.2299999995</v>
      </c>
      <c r="H349" s="11">
        <f t="shared" si="23"/>
        <v>8362657.3100000005</v>
      </c>
      <c r="I349" s="11">
        <f t="shared" si="23"/>
        <v>8438906.4000000004</v>
      </c>
      <c r="J349" s="11">
        <f t="shared" si="23"/>
        <v>8515159.3499999996</v>
      </c>
      <c r="K349" s="11">
        <f t="shared" si="23"/>
        <v>8591409.8000000007</v>
      </c>
      <c r="L349" s="11">
        <f t="shared" si="23"/>
        <v>8667846.0700000003</v>
      </c>
      <c r="M349" s="11">
        <f t="shared" si="23"/>
        <v>8744463.9399999995</v>
      </c>
      <c r="N349" s="11">
        <f t="shared" si="23"/>
        <v>8821084.7999999989</v>
      </c>
      <c r="O349" s="11">
        <f t="shared" si="23"/>
        <v>8897704.2899999991</v>
      </c>
      <c r="P349" s="11">
        <f t="shared" si="21"/>
        <v>8439578.3429166656</v>
      </c>
    </row>
    <row r="350" spans="1:16" x14ac:dyDescent="0.3">
      <c r="A350" s="84">
        <v>391.2</v>
      </c>
      <c r="B350" t="s">
        <v>406</v>
      </c>
      <c r="C350" s="11">
        <f t="shared" si="23"/>
        <v>19289350.780000001</v>
      </c>
      <c r="D350" s="11">
        <f t="shared" si="23"/>
        <v>15520678.49</v>
      </c>
      <c r="E350" s="11">
        <f t="shared" si="23"/>
        <v>15858723.130000001</v>
      </c>
      <c r="F350" s="11">
        <f t="shared" si="23"/>
        <v>16217938.99</v>
      </c>
      <c r="G350" s="11">
        <f t="shared" si="23"/>
        <v>16588672.460000001</v>
      </c>
      <c r="H350" s="11">
        <f t="shared" si="23"/>
        <v>16964843.91</v>
      </c>
      <c r="I350" s="11">
        <f t="shared" si="23"/>
        <v>17341039.420000002</v>
      </c>
      <c r="J350" s="11">
        <f t="shared" si="23"/>
        <v>17717730.850000001</v>
      </c>
      <c r="K350" s="11">
        <f t="shared" si="23"/>
        <v>18097978.27</v>
      </c>
      <c r="L350" s="11">
        <f t="shared" si="23"/>
        <v>18515177.969999999</v>
      </c>
      <c r="M350" s="11">
        <f t="shared" si="23"/>
        <v>18965613.010000002</v>
      </c>
      <c r="N350" s="11">
        <f t="shared" si="23"/>
        <v>19415485.300000001</v>
      </c>
      <c r="O350" s="11">
        <f t="shared" si="23"/>
        <v>19867135.27</v>
      </c>
      <c r="P350" s="11">
        <f t="shared" si="21"/>
        <v>17565177.068750001</v>
      </c>
    </row>
    <row r="351" spans="1:16" x14ac:dyDescent="0.3">
      <c r="A351" s="84">
        <v>392</v>
      </c>
      <c r="B351" t="s">
        <v>343</v>
      </c>
      <c r="C351" s="11">
        <f t="shared" si="23"/>
        <v>9394261.4500000011</v>
      </c>
      <c r="D351" s="11">
        <f t="shared" si="23"/>
        <v>9533614.1100000013</v>
      </c>
      <c r="E351" s="11">
        <f t="shared" si="23"/>
        <v>9710886.0199999996</v>
      </c>
      <c r="F351" s="11">
        <f t="shared" si="23"/>
        <v>9889081.75</v>
      </c>
      <c r="G351" s="11">
        <f t="shared" si="23"/>
        <v>10100393.59</v>
      </c>
      <c r="H351" s="11">
        <f t="shared" si="23"/>
        <v>9995350.2699999996</v>
      </c>
      <c r="I351" s="11">
        <f t="shared" si="23"/>
        <v>9972397.3900000006</v>
      </c>
      <c r="J351" s="11">
        <f t="shared" si="23"/>
        <v>10151050.16</v>
      </c>
      <c r="K351" s="11">
        <f t="shared" si="23"/>
        <v>10128323.57</v>
      </c>
      <c r="L351" s="11">
        <f t="shared" si="23"/>
        <v>10283593.190000001</v>
      </c>
      <c r="M351" s="11">
        <f t="shared" si="23"/>
        <v>10465902</v>
      </c>
      <c r="N351" s="11">
        <f t="shared" si="23"/>
        <v>10650400.459999999</v>
      </c>
      <c r="O351" s="11">
        <f t="shared" si="23"/>
        <v>10722320.520000001</v>
      </c>
      <c r="P351" s="11">
        <f t="shared" si="21"/>
        <v>10078273.624583332</v>
      </c>
    </row>
    <row r="352" spans="1:16" x14ac:dyDescent="0.3">
      <c r="A352" s="84">
        <v>393</v>
      </c>
      <c r="B352" t="s">
        <v>408</v>
      </c>
      <c r="C352" s="11">
        <f t="shared" si="23"/>
        <v>119406</v>
      </c>
      <c r="D352" s="11">
        <f t="shared" si="23"/>
        <v>119406</v>
      </c>
      <c r="E352" s="11">
        <f t="shared" si="23"/>
        <v>119406</v>
      </c>
      <c r="F352" s="11">
        <f t="shared" si="23"/>
        <v>119406</v>
      </c>
      <c r="G352" s="11">
        <f t="shared" si="23"/>
        <v>119406</v>
      </c>
      <c r="H352" s="11">
        <f t="shared" si="23"/>
        <v>119406</v>
      </c>
      <c r="I352" s="11">
        <f t="shared" si="23"/>
        <v>119406</v>
      </c>
      <c r="J352" s="11">
        <f t="shared" si="23"/>
        <v>119406</v>
      </c>
      <c r="K352" s="11">
        <f t="shared" si="23"/>
        <v>119406</v>
      </c>
      <c r="L352" s="11">
        <f t="shared" si="23"/>
        <v>119406</v>
      </c>
      <c r="M352" s="11">
        <f t="shared" si="23"/>
        <v>119406</v>
      </c>
      <c r="N352" s="11">
        <f t="shared" si="23"/>
        <v>119406</v>
      </c>
      <c r="O352" s="11">
        <f t="shared" si="23"/>
        <v>119406</v>
      </c>
      <c r="P352" s="11">
        <f t="shared" si="21"/>
        <v>119406</v>
      </c>
    </row>
    <row r="353" spans="1:16" x14ac:dyDescent="0.3">
      <c r="A353" s="84">
        <v>394</v>
      </c>
      <c r="B353" t="s">
        <v>344</v>
      </c>
      <c r="C353" s="11">
        <f t="shared" si="23"/>
        <v>4001403.53</v>
      </c>
      <c r="D353" s="11">
        <f t="shared" si="23"/>
        <v>4069956.1500000004</v>
      </c>
      <c r="E353" s="11">
        <f t="shared" si="23"/>
        <v>4137161.33</v>
      </c>
      <c r="F353" s="11">
        <f t="shared" si="23"/>
        <v>4205570.93</v>
      </c>
      <c r="G353" s="11">
        <f t="shared" si="23"/>
        <v>4275253.66</v>
      </c>
      <c r="H353" s="11">
        <f t="shared" si="23"/>
        <v>4346789.29</v>
      </c>
      <c r="I353" s="11">
        <f t="shared" si="23"/>
        <v>4417779.97</v>
      </c>
      <c r="J353" s="11">
        <f t="shared" si="23"/>
        <v>4489331.91</v>
      </c>
      <c r="K353" s="11">
        <f t="shared" si="23"/>
        <v>4564714.6500000004</v>
      </c>
      <c r="L353" s="11">
        <f t="shared" si="23"/>
        <v>4637320.7699999996</v>
      </c>
      <c r="M353" s="11">
        <f t="shared" si="23"/>
        <v>4710762.6100000003</v>
      </c>
      <c r="N353" s="11">
        <f t="shared" si="23"/>
        <v>4785133.97</v>
      </c>
      <c r="O353" s="11">
        <f t="shared" si="23"/>
        <v>4859688.88</v>
      </c>
      <c r="P353" s="11">
        <f t="shared" si="21"/>
        <v>4422526.7870833324</v>
      </c>
    </row>
    <row r="354" spans="1:16" x14ac:dyDescent="0.3">
      <c r="A354" s="84">
        <v>395</v>
      </c>
      <c r="B354" t="s">
        <v>409</v>
      </c>
      <c r="C354" s="11">
        <f t="shared" si="23"/>
        <v>68293</v>
      </c>
      <c r="D354" s="11">
        <f t="shared" si="23"/>
        <v>68293</v>
      </c>
      <c r="E354" s="11">
        <f t="shared" si="23"/>
        <v>68293</v>
      </c>
      <c r="F354" s="11">
        <f t="shared" si="23"/>
        <v>68293</v>
      </c>
      <c r="G354" s="11">
        <f t="shared" si="23"/>
        <v>68293</v>
      </c>
      <c r="H354" s="11">
        <f t="shared" si="23"/>
        <v>68293</v>
      </c>
      <c r="I354" s="11">
        <f t="shared" si="23"/>
        <v>68293</v>
      </c>
      <c r="J354" s="11">
        <f t="shared" si="23"/>
        <v>68293</v>
      </c>
      <c r="K354" s="11">
        <f t="shared" si="23"/>
        <v>68293</v>
      </c>
      <c r="L354" s="11">
        <f t="shared" si="23"/>
        <v>68293</v>
      </c>
      <c r="M354" s="11">
        <f t="shared" si="23"/>
        <v>68293</v>
      </c>
      <c r="N354" s="11">
        <f t="shared" si="23"/>
        <v>68293</v>
      </c>
      <c r="O354" s="11">
        <f t="shared" si="23"/>
        <v>68293</v>
      </c>
      <c r="P354" s="11">
        <f t="shared" si="21"/>
        <v>68293</v>
      </c>
    </row>
    <row r="355" spans="1:16" x14ac:dyDescent="0.3">
      <c r="A355" s="84">
        <v>396</v>
      </c>
      <c r="B355" t="s">
        <v>345</v>
      </c>
      <c r="C355" s="11">
        <f t="shared" si="23"/>
        <v>2712623.17</v>
      </c>
      <c r="D355" s="11">
        <f t="shared" si="23"/>
        <v>2774099.5700000003</v>
      </c>
      <c r="E355" s="11">
        <f t="shared" si="23"/>
        <v>2791042.68</v>
      </c>
      <c r="F355" s="11">
        <f t="shared" si="23"/>
        <v>2807938.46</v>
      </c>
      <c r="G355" s="11">
        <f t="shared" si="23"/>
        <v>2824852.25</v>
      </c>
      <c r="H355" s="11">
        <f t="shared" si="23"/>
        <v>2801695.91</v>
      </c>
      <c r="I355" s="11">
        <f t="shared" si="23"/>
        <v>2812258.19</v>
      </c>
      <c r="J355" s="11">
        <f t="shared" si="23"/>
        <v>2830052.5700000003</v>
      </c>
      <c r="K355" s="11">
        <f t="shared" si="23"/>
        <v>2684880.35</v>
      </c>
      <c r="L355" s="11">
        <f t="shared" si="23"/>
        <v>2703320.8200000003</v>
      </c>
      <c r="M355" s="11">
        <f t="shared" si="23"/>
        <v>2721722.86</v>
      </c>
      <c r="N355" s="11">
        <f t="shared" si="23"/>
        <v>2740412.53</v>
      </c>
      <c r="O355" s="11">
        <f t="shared" si="23"/>
        <v>2759309.9299999997</v>
      </c>
      <c r="P355" s="11">
        <f t="shared" si="21"/>
        <v>2769020.228333334</v>
      </c>
    </row>
    <row r="356" spans="1:16" x14ac:dyDescent="0.3">
      <c r="A356" s="84">
        <v>397</v>
      </c>
      <c r="B356" t="s">
        <v>410</v>
      </c>
      <c r="C356" s="11">
        <f t="shared" si="23"/>
        <v>38562.85</v>
      </c>
      <c r="D356" s="11">
        <f t="shared" si="23"/>
        <v>39108.239999999998</v>
      </c>
      <c r="E356" s="11">
        <f t="shared" si="23"/>
        <v>39653.64</v>
      </c>
      <c r="F356" s="11">
        <f t="shared" si="23"/>
        <v>40199.040000000001</v>
      </c>
      <c r="G356" s="11">
        <f t="shared" si="23"/>
        <v>40744.44</v>
      </c>
      <c r="H356" s="11">
        <f t="shared" si="23"/>
        <v>41289.82</v>
      </c>
      <c r="I356" s="11">
        <f t="shared" si="23"/>
        <v>41835.22</v>
      </c>
      <c r="J356" s="11">
        <f t="shared" si="23"/>
        <v>42380.6</v>
      </c>
      <c r="K356" s="11">
        <f t="shared" si="23"/>
        <v>42926</v>
      </c>
      <c r="L356" s="11">
        <f t="shared" si="23"/>
        <v>43471.37</v>
      </c>
      <c r="M356" s="11">
        <f t="shared" si="23"/>
        <v>44016.78</v>
      </c>
      <c r="N356" s="11">
        <f t="shared" si="23"/>
        <v>44562.15</v>
      </c>
      <c r="O356" s="11">
        <f t="shared" si="23"/>
        <v>45107.54</v>
      </c>
      <c r="P356" s="11">
        <f t="shared" si="21"/>
        <v>41835.207916666674</v>
      </c>
    </row>
    <row r="357" spans="1:16" x14ac:dyDescent="0.3">
      <c r="A357" s="84">
        <v>397.1</v>
      </c>
      <c r="B357" t="s">
        <v>411</v>
      </c>
      <c r="C357" s="11">
        <f t="shared" si="23"/>
        <v>410050.31</v>
      </c>
      <c r="D357" s="11">
        <f t="shared" si="23"/>
        <v>410319.86</v>
      </c>
      <c r="E357" s="11">
        <f t="shared" si="23"/>
        <v>410589.35</v>
      </c>
      <c r="F357" s="11">
        <f t="shared" si="23"/>
        <v>410858.88</v>
      </c>
      <c r="G357" s="11">
        <f t="shared" si="23"/>
        <v>411143.66</v>
      </c>
      <c r="H357" s="11">
        <f t="shared" si="23"/>
        <v>411443.77</v>
      </c>
      <c r="I357" s="11">
        <f t="shared" si="23"/>
        <v>411743.94</v>
      </c>
      <c r="J357" s="11">
        <f t="shared" si="23"/>
        <v>412044.28</v>
      </c>
      <c r="K357" s="11">
        <f t="shared" si="23"/>
        <v>412344.56</v>
      </c>
      <c r="L357" s="11">
        <f t="shared" si="23"/>
        <v>412644.89</v>
      </c>
      <c r="M357" s="11">
        <f t="shared" si="23"/>
        <v>412945.23</v>
      </c>
      <c r="N357" s="11">
        <f t="shared" si="23"/>
        <v>413245.55</v>
      </c>
      <c r="O357" s="11">
        <f t="shared" si="23"/>
        <v>413545.87</v>
      </c>
      <c r="P357" s="11">
        <f t="shared" si="21"/>
        <v>411760.17166666669</v>
      </c>
    </row>
    <row r="358" spans="1:16" x14ac:dyDescent="0.3">
      <c r="A358" s="84">
        <v>397.2</v>
      </c>
      <c r="B358" t="s">
        <v>412</v>
      </c>
      <c r="C358" s="11">
        <f t="shared" si="23"/>
        <v>1690853.65</v>
      </c>
      <c r="D358" s="11">
        <f t="shared" si="23"/>
        <v>1690853.65</v>
      </c>
      <c r="E358" s="11">
        <f t="shared" si="23"/>
        <v>1690853.65</v>
      </c>
      <c r="F358" s="11">
        <f t="shared" si="23"/>
        <v>1690853.65</v>
      </c>
      <c r="G358" s="11">
        <f t="shared" si="23"/>
        <v>1690853.65</v>
      </c>
      <c r="H358" s="11">
        <f t="shared" si="23"/>
        <v>1690853.65</v>
      </c>
      <c r="I358" s="11">
        <f t="shared" si="23"/>
        <v>1690853.65</v>
      </c>
      <c r="J358" s="11">
        <f t="shared" si="23"/>
        <v>1690853.65</v>
      </c>
      <c r="K358" s="11">
        <f t="shared" si="23"/>
        <v>1690853.65</v>
      </c>
      <c r="L358" s="11">
        <f t="shared" si="23"/>
        <v>1690853.65</v>
      </c>
      <c r="M358" s="11">
        <f t="shared" si="23"/>
        <v>1690853.65</v>
      </c>
      <c r="N358" s="11">
        <f t="shared" si="23"/>
        <v>1690853.65</v>
      </c>
      <c r="O358" s="11">
        <f t="shared" si="23"/>
        <v>1690853.65</v>
      </c>
      <c r="P358" s="11">
        <f t="shared" si="21"/>
        <v>1690853.6499999997</v>
      </c>
    </row>
    <row r="359" spans="1:16" x14ac:dyDescent="0.3">
      <c r="A359" s="84">
        <v>397.3</v>
      </c>
      <c r="B359" t="s">
        <v>346</v>
      </c>
      <c r="C359" s="11">
        <f t="shared" si="23"/>
        <v>2997222.62</v>
      </c>
      <c r="D359" s="11">
        <f t="shared" si="23"/>
        <v>2997497.52</v>
      </c>
      <c r="E359" s="11">
        <f t="shared" si="23"/>
        <v>2997772.3699999996</v>
      </c>
      <c r="F359" s="11">
        <f t="shared" si="23"/>
        <v>2998047.37</v>
      </c>
      <c r="G359" s="11">
        <f t="shared" si="23"/>
        <v>2998322.21</v>
      </c>
      <c r="H359" s="11">
        <f t="shared" si="23"/>
        <v>2998597.15</v>
      </c>
      <c r="I359" s="11">
        <f t="shared" si="23"/>
        <v>2998872.01</v>
      </c>
      <c r="J359" s="11">
        <f t="shared" si="23"/>
        <v>2999146.92</v>
      </c>
      <c r="K359" s="11">
        <f t="shared" si="23"/>
        <v>2999421.73</v>
      </c>
      <c r="L359" s="11">
        <f t="shared" si="23"/>
        <v>2999694.0300000003</v>
      </c>
      <c r="M359" s="11">
        <f t="shared" si="23"/>
        <v>2999968.78</v>
      </c>
      <c r="N359" s="11">
        <f t="shared" si="23"/>
        <v>3000246.46</v>
      </c>
      <c r="O359" s="11">
        <f t="shared" si="23"/>
        <v>3000524.0500000003</v>
      </c>
      <c r="P359" s="11">
        <f t="shared" si="21"/>
        <v>2998871.657083333</v>
      </c>
    </row>
    <row r="360" spans="1:16" x14ac:dyDescent="0.3">
      <c r="A360" s="84">
        <v>397.4</v>
      </c>
      <c r="B360" t="s">
        <v>413</v>
      </c>
      <c r="C360" s="11">
        <f t="shared" si="23"/>
        <v>968844.98</v>
      </c>
      <c r="D360" s="11">
        <f t="shared" si="23"/>
        <v>971315.78</v>
      </c>
      <c r="E360" s="11">
        <f t="shared" si="23"/>
        <v>973786.64</v>
      </c>
      <c r="F360" s="11">
        <f t="shared" si="23"/>
        <v>976257.91</v>
      </c>
      <c r="G360" s="11">
        <f t="shared" si="23"/>
        <v>978730.33</v>
      </c>
      <c r="H360" s="11">
        <f t="shared" si="23"/>
        <v>981202.72</v>
      </c>
      <c r="I360" s="11">
        <f t="shared" si="23"/>
        <v>983675.19</v>
      </c>
      <c r="J360" s="11">
        <f t="shared" si="23"/>
        <v>986147.61</v>
      </c>
      <c r="K360" s="11">
        <f t="shared" si="23"/>
        <v>988620.03</v>
      </c>
      <c r="L360" s="11">
        <f t="shared" si="23"/>
        <v>991092.45</v>
      </c>
      <c r="M360" s="11">
        <f t="shared" si="23"/>
        <v>993564.85</v>
      </c>
      <c r="N360" s="11">
        <f t="shared" si="23"/>
        <v>996037.3</v>
      </c>
      <c r="O360" s="11">
        <f t="shared" si="23"/>
        <v>998509.74</v>
      </c>
      <c r="P360" s="11">
        <f t="shared" si="21"/>
        <v>983675.68083333329</v>
      </c>
    </row>
    <row r="361" spans="1:16" x14ac:dyDescent="0.3">
      <c r="A361" s="84">
        <v>397.5</v>
      </c>
      <c r="B361" t="s">
        <v>414</v>
      </c>
      <c r="C361" s="11">
        <f t="shared" si="23"/>
        <v>312057.69</v>
      </c>
      <c r="D361" s="11">
        <f t="shared" si="23"/>
        <v>318703.49</v>
      </c>
      <c r="E361" s="11">
        <f t="shared" si="23"/>
        <v>325349.28000000003</v>
      </c>
      <c r="F361" s="11">
        <f t="shared" si="23"/>
        <v>331995.08</v>
      </c>
      <c r="G361" s="11">
        <f t="shared" si="23"/>
        <v>338640.88</v>
      </c>
      <c r="H361" s="11">
        <f t="shared" si="23"/>
        <v>345286.67</v>
      </c>
      <c r="I361" s="11">
        <f t="shared" si="23"/>
        <v>351932.46</v>
      </c>
      <c r="J361" s="11">
        <f t="shared" si="23"/>
        <v>358578.26</v>
      </c>
      <c r="K361" s="11">
        <f t="shared" si="23"/>
        <v>365224.05</v>
      </c>
      <c r="L361" s="11">
        <f t="shared" si="23"/>
        <v>371869.85</v>
      </c>
      <c r="M361" s="11">
        <f t="shared" si="23"/>
        <v>378515.66</v>
      </c>
      <c r="N361" s="11">
        <f t="shared" si="23"/>
        <v>385161.45</v>
      </c>
      <c r="O361" s="11">
        <f t="shared" si="23"/>
        <v>391807.25</v>
      </c>
      <c r="P361" s="11">
        <f t="shared" si="21"/>
        <v>351932.46666666673</v>
      </c>
    </row>
    <row r="362" spans="1:16" x14ac:dyDescent="0.3">
      <c r="A362" s="84">
        <v>398</v>
      </c>
      <c r="B362" t="s">
        <v>415</v>
      </c>
      <c r="C362" s="11">
        <f t="shared" ref="C362:O368" si="24">+C118+C240</f>
        <v>0</v>
      </c>
      <c r="D362" s="11">
        <f t="shared" si="24"/>
        <v>0</v>
      </c>
      <c r="E362" s="11">
        <f t="shared" si="24"/>
        <v>0</v>
      </c>
      <c r="F362" s="11">
        <f t="shared" si="24"/>
        <v>0</v>
      </c>
      <c r="G362" s="11">
        <f t="shared" si="24"/>
        <v>0</v>
      </c>
      <c r="H362" s="11">
        <f t="shared" si="24"/>
        <v>0</v>
      </c>
      <c r="I362" s="11">
        <f t="shared" si="24"/>
        <v>0</v>
      </c>
      <c r="J362" s="11">
        <f t="shared" si="24"/>
        <v>0</v>
      </c>
      <c r="K362" s="11">
        <f t="shared" si="24"/>
        <v>0</v>
      </c>
      <c r="L362" s="11">
        <f t="shared" si="24"/>
        <v>0</v>
      </c>
      <c r="M362" s="11">
        <f t="shared" si="24"/>
        <v>0</v>
      </c>
      <c r="N362" s="11">
        <f t="shared" si="24"/>
        <v>0</v>
      </c>
      <c r="O362" s="11">
        <f t="shared" si="24"/>
        <v>0</v>
      </c>
      <c r="P362" s="11">
        <f t="shared" si="21"/>
        <v>0</v>
      </c>
    </row>
    <row r="363" spans="1:16" x14ac:dyDescent="0.3">
      <c r="A363" s="84">
        <v>398.1</v>
      </c>
      <c r="B363" t="s">
        <v>416</v>
      </c>
      <c r="C363" s="11">
        <f t="shared" si="24"/>
        <v>83249.31</v>
      </c>
      <c r="D363" s="11">
        <f t="shared" si="24"/>
        <v>83249.31</v>
      </c>
      <c r="E363" s="11">
        <f t="shared" si="24"/>
        <v>83249.31</v>
      </c>
      <c r="F363" s="11">
        <f t="shared" si="24"/>
        <v>83249.31</v>
      </c>
      <c r="G363" s="11">
        <f t="shared" si="24"/>
        <v>83249.31</v>
      </c>
      <c r="H363" s="11">
        <f t="shared" si="24"/>
        <v>83249.31</v>
      </c>
      <c r="I363" s="11">
        <f t="shared" si="24"/>
        <v>83249.31</v>
      </c>
      <c r="J363" s="11">
        <f t="shared" si="24"/>
        <v>83249.31</v>
      </c>
      <c r="K363" s="11">
        <f t="shared" si="24"/>
        <v>83249.31</v>
      </c>
      <c r="L363" s="11">
        <f t="shared" si="24"/>
        <v>83249.31</v>
      </c>
      <c r="M363" s="11">
        <f t="shared" si="24"/>
        <v>83249.31</v>
      </c>
      <c r="N363" s="11">
        <f t="shared" si="24"/>
        <v>83249.31</v>
      </c>
      <c r="O363" s="11">
        <f t="shared" si="24"/>
        <v>83249.31</v>
      </c>
      <c r="P363" s="11">
        <f t="shared" si="21"/>
        <v>83249.310000000012</v>
      </c>
    </row>
    <row r="364" spans="1:16" x14ac:dyDescent="0.3">
      <c r="A364" s="84">
        <v>398.2</v>
      </c>
      <c r="B364" t="s">
        <v>417</v>
      </c>
      <c r="C364" s="11">
        <f t="shared" si="24"/>
        <v>4005.49</v>
      </c>
      <c r="D364" s="11">
        <f t="shared" si="24"/>
        <v>4049.27</v>
      </c>
      <c r="E364" s="11">
        <f t="shared" si="24"/>
        <v>4093.04</v>
      </c>
      <c r="F364" s="11">
        <f t="shared" si="24"/>
        <v>4136.82</v>
      </c>
      <c r="G364" s="11">
        <f t="shared" si="24"/>
        <v>4180.6000000000004</v>
      </c>
      <c r="H364" s="11">
        <f t="shared" si="24"/>
        <v>4224.37</v>
      </c>
      <c r="I364" s="11">
        <f t="shared" si="24"/>
        <v>4268.1499999999996</v>
      </c>
      <c r="J364" s="11">
        <f t="shared" si="24"/>
        <v>4311.92</v>
      </c>
      <c r="K364" s="11">
        <f t="shared" si="24"/>
        <v>4355.7</v>
      </c>
      <c r="L364" s="11">
        <f t="shared" si="24"/>
        <v>4399.4799999999996</v>
      </c>
      <c r="M364" s="11">
        <f t="shared" si="24"/>
        <v>4443.25</v>
      </c>
      <c r="N364" s="11">
        <f t="shared" si="24"/>
        <v>4487.03</v>
      </c>
      <c r="O364" s="11">
        <f t="shared" si="24"/>
        <v>4530.8</v>
      </c>
      <c r="P364" s="11">
        <f t="shared" si="21"/>
        <v>4268.1479166666659</v>
      </c>
    </row>
    <row r="365" spans="1:16" x14ac:dyDescent="0.3">
      <c r="A365" s="84">
        <v>398.3</v>
      </c>
      <c r="B365" t="s">
        <v>418</v>
      </c>
      <c r="C365" s="11">
        <f t="shared" si="24"/>
        <v>14873</v>
      </c>
      <c r="D365" s="11">
        <f t="shared" si="24"/>
        <v>14873</v>
      </c>
      <c r="E365" s="11">
        <f t="shared" si="24"/>
        <v>14873</v>
      </c>
      <c r="F365" s="11">
        <f t="shared" si="24"/>
        <v>14873</v>
      </c>
      <c r="G365" s="11">
        <f t="shared" si="24"/>
        <v>14873</v>
      </c>
      <c r="H365" s="11">
        <f t="shared" si="24"/>
        <v>14873</v>
      </c>
      <c r="I365" s="11">
        <f t="shared" si="24"/>
        <v>14873</v>
      </c>
      <c r="J365" s="11">
        <f t="shared" si="24"/>
        <v>14873</v>
      </c>
      <c r="K365" s="11">
        <f t="shared" si="24"/>
        <v>14873</v>
      </c>
      <c r="L365" s="11">
        <f t="shared" si="24"/>
        <v>14873</v>
      </c>
      <c r="M365" s="11">
        <f t="shared" si="24"/>
        <v>14873</v>
      </c>
      <c r="N365" s="11">
        <f t="shared" si="24"/>
        <v>14873</v>
      </c>
      <c r="O365" s="11">
        <f t="shared" si="24"/>
        <v>14873</v>
      </c>
      <c r="P365" s="11">
        <f t="shared" si="21"/>
        <v>14873</v>
      </c>
    </row>
    <row r="366" spans="1:16" x14ac:dyDescent="0.3">
      <c r="A366" s="84">
        <v>398.4</v>
      </c>
      <c r="B366" t="s">
        <v>347</v>
      </c>
      <c r="C366" s="159">
        <f t="shared" si="24"/>
        <v>10120</v>
      </c>
      <c r="D366" s="159">
        <f t="shared" si="24"/>
        <v>10120</v>
      </c>
      <c r="E366" s="159">
        <f t="shared" si="24"/>
        <v>10120</v>
      </c>
      <c r="F366" s="159">
        <f t="shared" si="24"/>
        <v>10120</v>
      </c>
      <c r="G366" s="159">
        <f t="shared" si="24"/>
        <v>10120</v>
      </c>
      <c r="H366" s="159">
        <f t="shared" si="24"/>
        <v>10120</v>
      </c>
      <c r="I366" s="159">
        <f t="shared" si="24"/>
        <v>10120</v>
      </c>
      <c r="J366" s="159">
        <f t="shared" si="24"/>
        <v>10120</v>
      </c>
      <c r="K366" s="159">
        <f t="shared" si="24"/>
        <v>10120</v>
      </c>
      <c r="L366" s="159">
        <f t="shared" si="24"/>
        <v>10120</v>
      </c>
      <c r="M366" s="159">
        <f t="shared" si="24"/>
        <v>10120</v>
      </c>
      <c r="N366" s="159">
        <f t="shared" si="24"/>
        <v>10120</v>
      </c>
      <c r="O366" s="159">
        <f t="shared" si="24"/>
        <v>10120</v>
      </c>
      <c r="P366" s="159">
        <f t="shared" si="21"/>
        <v>10120</v>
      </c>
    </row>
    <row r="367" spans="1:16" x14ac:dyDescent="0.3">
      <c r="A367" s="84">
        <v>398.5</v>
      </c>
      <c r="B367" t="s">
        <v>419</v>
      </c>
      <c r="C367" s="159">
        <f t="shared" si="24"/>
        <v>66739</v>
      </c>
      <c r="D367" s="159">
        <f t="shared" si="24"/>
        <v>66739</v>
      </c>
      <c r="E367" s="159">
        <f t="shared" si="24"/>
        <v>66739</v>
      </c>
      <c r="F367" s="159">
        <f t="shared" si="24"/>
        <v>66739</v>
      </c>
      <c r="G367" s="159">
        <f t="shared" si="24"/>
        <v>66739</v>
      </c>
      <c r="H367" s="159">
        <f t="shared" si="24"/>
        <v>66739</v>
      </c>
      <c r="I367" s="159">
        <f t="shared" si="24"/>
        <v>66739</v>
      </c>
      <c r="J367" s="159">
        <f t="shared" si="24"/>
        <v>66739</v>
      </c>
      <c r="K367" s="159">
        <f t="shared" si="24"/>
        <v>66739</v>
      </c>
      <c r="L367" s="159">
        <f t="shared" si="24"/>
        <v>66739</v>
      </c>
      <c r="M367" s="159">
        <f t="shared" si="24"/>
        <v>66739</v>
      </c>
      <c r="N367" s="159">
        <f t="shared" si="24"/>
        <v>66739</v>
      </c>
      <c r="O367" s="159">
        <f t="shared" si="24"/>
        <v>66739</v>
      </c>
      <c r="P367" s="159">
        <f t="shared" si="21"/>
        <v>66739</v>
      </c>
    </row>
    <row r="368" spans="1:16" x14ac:dyDescent="0.3">
      <c r="B368" t="s">
        <v>420</v>
      </c>
      <c r="C368" s="160">
        <f t="shared" si="24"/>
        <v>-27432853.149999995</v>
      </c>
      <c r="D368" s="160">
        <f t="shared" si="24"/>
        <v>-28063331</v>
      </c>
      <c r="E368" s="160">
        <f t="shared" si="24"/>
        <v>-28480607</v>
      </c>
      <c r="F368" s="160">
        <f t="shared" si="24"/>
        <v>-28885855</v>
      </c>
      <c r="G368" s="160">
        <f t="shared" si="24"/>
        <v>-29000622</v>
      </c>
      <c r="H368" s="160">
        <f t="shared" si="24"/>
        <v>-29248297.999999996</v>
      </c>
      <c r="I368" s="160">
        <f t="shared" si="24"/>
        <v>-29387273.999999996</v>
      </c>
      <c r="J368" s="160">
        <f t="shared" si="24"/>
        <v>-29551486</v>
      </c>
      <c r="K368" s="160">
        <f t="shared" si="24"/>
        <v>-30025752</v>
      </c>
      <c r="L368" s="160">
        <f t="shared" si="24"/>
        <v>-30380765</v>
      </c>
      <c r="M368" s="160">
        <f t="shared" si="24"/>
        <v>-31436423.999999996</v>
      </c>
      <c r="N368" s="160">
        <f t="shared" si="24"/>
        <v>-32299131</v>
      </c>
      <c r="O368" s="160">
        <f t="shared" si="24"/>
        <v>-32398373.999999996</v>
      </c>
      <c r="P368" s="160">
        <f t="shared" si="21"/>
        <v>-29722929.881249998</v>
      </c>
    </row>
    <row r="369" spans="1:19" x14ac:dyDescent="0.3">
      <c r="B369" t="s">
        <v>421</v>
      </c>
      <c r="C369" s="4">
        <f>SUM(C250:C368)</f>
        <v>1292316310.7799993</v>
      </c>
      <c r="D369" s="4">
        <f t="shared" ref="D369:P369" si="25">SUM(D250:D368)</f>
        <v>1294009828.6900001</v>
      </c>
      <c r="E369" s="4">
        <f t="shared" si="25"/>
        <v>1300006940.9200003</v>
      </c>
      <c r="F369" s="4">
        <f t="shared" si="25"/>
        <v>1302494942.1200004</v>
      </c>
      <c r="G369" s="4">
        <f t="shared" si="25"/>
        <v>1308000282.25</v>
      </c>
      <c r="H369" s="4">
        <f t="shared" si="25"/>
        <v>1313405130.0099998</v>
      </c>
      <c r="I369" s="4">
        <f t="shared" si="25"/>
        <v>1318881623.1500006</v>
      </c>
      <c r="J369" s="4">
        <f t="shared" si="25"/>
        <v>1324629001.3799999</v>
      </c>
      <c r="K369" s="4">
        <f t="shared" si="25"/>
        <v>1330290357.3300002</v>
      </c>
      <c r="L369" s="4">
        <f t="shared" si="25"/>
        <v>1335646120.47</v>
      </c>
      <c r="M369" s="4">
        <f t="shared" si="25"/>
        <v>1340792585.5</v>
      </c>
      <c r="N369" s="4">
        <f t="shared" si="25"/>
        <v>1346280072.8600001</v>
      </c>
      <c r="O369" s="4">
        <f t="shared" si="25"/>
        <v>1352312412.8099995</v>
      </c>
      <c r="P369" s="4">
        <f t="shared" si="25"/>
        <v>1319729270.5395832</v>
      </c>
    </row>
    <row r="370" spans="1:19" x14ac:dyDescent="0.3">
      <c r="F370" s="11"/>
    </row>
    <row r="372" spans="1:19" x14ac:dyDescent="0.3">
      <c r="A372" s="161" t="s">
        <v>148</v>
      </c>
      <c r="B372" s="8"/>
    </row>
    <row r="373" spans="1:19" x14ac:dyDescent="0.3">
      <c r="A373" s="161"/>
      <c r="B373" s="161" t="s">
        <v>278</v>
      </c>
      <c r="C373" s="4">
        <f t="shared" ref="C373:P373" si="26">+C8+C9+C10+C11+C12</f>
        <v>60658121.260000005</v>
      </c>
      <c r="D373" s="4">
        <f t="shared" si="26"/>
        <v>60892986.010000005</v>
      </c>
      <c r="E373" s="4">
        <f t="shared" si="26"/>
        <v>61130647.399999999</v>
      </c>
      <c r="F373" s="4">
        <f t="shared" si="26"/>
        <v>61372558.720000006</v>
      </c>
      <c r="G373" s="4">
        <f t="shared" si="26"/>
        <v>61616847.510000005</v>
      </c>
      <c r="H373" s="4">
        <f t="shared" si="26"/>
        <v>61862574.830000006</v>
      </c>
      <c r="I373" s="4">
        <f t="shared" si="26"/>
        <v>62109602.010000005</v>
      </c>
      <c r="J373" s="4">
        <f t="shared" si="26"/>
        <v>62356597.510000005</v>
      </c>
      <c r="K373" s="4">
        <f t="shared" si="26"/>
        <v>62603636.110000007</v>
      </c>
      <c r="L373" s="4">
        <f t="shared" si="26"/>
        <v>62851357.800000004</v>
      </c>
      <c r="M373" s="4">
        <f t="shared" si="26"/>
        <v>63099781.240000002</v>
      </c>
      <c r="N373" s="4">
        <f t="shared" si="26"/>
        <v>63348200.360000007</v>
      </c>
      <c r="O373" s="4">
        <f t="shared" si="26"/>
        <v>63604823.789999999</v>
      </c>
      <c r="P373" s="4">
        <f t="shared" si="26"/>
        <v>62114688.502083339</v>
      </c>
      <c r="Q373" s="168"/>
      <c r="R373" s="4"/>
      <c r="S373" s="4"/>
    </row>
    <row r="374" spans="1:19" x14ac:dyDescent="0.3">
      <c r="A374" s="161"/>
      <c r="B374" s="161" t="s">
        <v>279</v>
      </c>
      <c r="C374" s="4">
        <f t="shared" ref="C374:P374" si="27">+C6+C7</f>
        <v>0</v>
      </c>
      <c r="D374" s="4">
        <f t="shared" si="27"/>
        <v>0</v>
      </c>
      <c r="E374" s="4">
        <f t="shared" si="27"/>
        <v>0</v>
      </c>
      <c r="F374" s="4">
        <f t="shared" si="27"/>
        <v>0</v>
      </c>
      <c r="G374" s="4">
        <f t="shared" si="27"/>
        <v>0</v>
      </c>
      <c r="H374" s="4">
        <f t="shared" si="27"/>
        <v>0</v>
      </c>
      <c r="I374" s="4">
        <f t="shared" si="27"/>
        <v>0</v>
      </c>
      <c r="J374" s="4">
        <f t="shared" si="27"/>
        <v>0</v>
      </c>
      <c r="K374" s="4">
        <f t="shared" si="27"/>
        <v>0</v>
      </c>
      <c r="L374" s="4">
        <f t="shared" si="27"/>
        <v>0</v>
      </c>
      <c r="M374" s="4">
        <f t="shared" si="27"/>
        <v>0</v>
      </c>
      <c r="N374" s="4">
        <f t="shared" si="27"/>
        <v>0</v>
      </c>
      <c r="O374" s="4">
        <f t="shared" si="27"/>
        <v>0</v>
      </c>
      <c r="P374" s="4">
        <f t="shared" si="27"/>
        <v>0</v>
      </c>
      <c r="Q374" s="168"/>
      <c r="R374" s="4"/>
      <c r="S374" s="4"/>
    </row>
    <row r="375" spans="1:19" x14ac:dyDescent="0.3">
      <c r="A375" s="161"/>
      <c r="B375" s="161" t="s">
        <v>280</v>
      </c>
      <c r="C375" s="4">
        <f t="shared" ref="C375:O375" si="28">SUM(C13:C32)</f>
        <v>691035.75</v>
      </c>
      <c r="D375" s="4">
        <f t="shared" si="28"/>
        <v>691035.75</v>
      </c>
      <c r="E375" s="4">
        <f t="shared" si="28"/>
        <v>691035.75</v>
      </c>
      <c r="F375" s="4">
        <f t="shared" si="28"/>
        <v>691035.75</v>
      </c>
      <c r="G375" s="4">
        <f t="shared" si="28"/>
        <v>691035.69</v>
      </c>
      <c r="H375" s="4">
        <f t="shared" si="28"/>
        <v>691035.7</v>
      </c>
      <c r="I375" s="4">
        <f t="shared" si="28"/>
        <v>691035.7</v>
      </c>
      <c r="J375" s="4">
        <f t="shared" si="28"/>
        <v>691035.7</v>
      </c>
      <c r="K375" s="4">
        <f t="shared" si="28"/>
        <v>691035.71</v>
      </c>
      <c r="L375" s="4">
        <f t="shared" si="28"/>
        <v>691035.7</v>
      </c>
      <c r="M375" s="4">
        <f t="shared" si="28"/>
        <v>691035.7</v>
      </c>
      <c r="N375" s="4">
        <f t="shared" si="28"/>
        <v>691035.69</v>
      </c>
      <c r="O375" s="4">
        <f t="shared" si="28"/>
        <v>691035.69</v>
      </c>
      <c r="P375" s="4">
        <f t="shared" ref="P375" si="29">SUM(P13:P32)</f>
        <v>691035.71333333326</v>
      </c>
      <c r="Q375" s="168"/>
      <c r="R375" s="4"/>
      <c r="S375" s="4"/>
    </row>
    <row r="376" spans="1:19" x14ac:dyDescent="0.3">
      <c r="A376" s="161"/>
      <c r="B376" s="161" t="s">
        <v>281</v>
      </c>
      <c r="C376" s="4">
        <f>SUM(C69+C70+C71+C72+C79+C80)</f>
        <v>35056248.020000003</v>
      </c>
      <c r="D376" s="4">
        <f t="shared" ref="D376:P376" si="30">SUM(D69+D70+D71+D72+D79+D80)</f>
        <v>35467616.460000001</v>
      </c>
      <c r="E376" s="4">
        <f t="shared" si="30"/>
        <v>35879729.959999993</v>
      </c>
      <c r="F376" s="4">
        <f t="shared" si="30"/>
        <v>36292975.600000001</v>
      </c>
      <c r="G376" s="4">
        <f t="shared" si="30"/>
        <v>36707940.310000002</v>
      </c>
      <c r="H376" s="4">
        <f t="shared" si="30"/>
        <v>37124303.739999995</v>
      </c>
      <c r="I376" s="4">
        <f t="shared" si="30"/>
        <v>37540836.789999999</v>
      </c>
      <c r="J376" s="4">
        <f t="shared" si="30"/>
        <v>37959374.559999995</v>
      </c>
      <c r="K376" s="4">
        <f t="shared" si="30"/>
        <v>38377941.919999994</v>
      </c>
      <c r="L376" s="4">
        <f t="shared" si="30"/>
        <v>38797879.920000002</v>
      </c>
      <c r="M376" s="4">
        <f t="shared" si="30"/>
        <v>39217998.969999999</v>
      </c>
      <c r="N376" s="4">
        <f t="shared" si="30"/>
        <v>39638248.719999999</v>
      </c>
      <c r="O376" s="4">
        <f t="shared" si="30"/>
        <v>40058973.620000005</v>
      </c>
      <c r="P376" s="4">
        <f t="shared" si="30"/>
        <v>37546871.480833337</v>
      </c>
      <c r="Q376" s="168"/>
      <c r="R376" s="4"/>
      <c r="S376" s="4"/>
    </row>
    <row r="377" spans="1:19" x14ac:dyDescent="0.3">
      <c r="A377" s="161"/>
      <c r="B377" s="161" t="s">
        <v>282</v>
      </c>
      <c r="C377" s="4">
        <f>SUM(C81:C101)+C124</f>
        <v>884423308.49750006</v>
      </c>
      <c r="D377" s="4">
        <f t="shared" ref="D377:O377" si="31">SUM(D81:D101)+D124</f>
        <v>887653883.78999996</v>
      </c>
      <c r="E377" s="4">
        <f t="shared" si="31"/>
        <v>891009403.92999995</v>
      </c>
      <c r="F377" s="4">
        <f t="shared" si="31"/>
        <v>894057389.80000031</v>
      </c>
      <c r="G377" s="4">
        <f t="shared" si="31"/>
        <v>896815786.27999997</v>
      </c>
      <c r="H377" s="4">
        <f t="shared" si="31"/>
        <v>899781618.62999988</v>
      </c>
      <c r="I377" s="4">
        <f t="shared" si="31"/>
        <v>902696168.8100003</v>
      </c>
      <c r="J377" s="4">
        <f t="shared" si="31"/>
        <v>905689096.3599999</v>
      </c>
      <c r="K377" s="4">
        <f t="shared" si="31"/>
        <v>908993049.42000008</v>
      </c>
      <c r="L377" s="4">
        <f t="shared" si="31"/>
        <v>911597566.44000006</v>
      </c>
      <c r="M377" s="4">
        <f t="shared" si="31"/>
        <v>914283887.07000005</v>
      </c>
      <c r="N377" s="4">
        <f t="shared" si="31"/>
        <v>916921956.99000013</v>
      </c>
      <c r="O377" s="4">
        <f t="shared" si="31"/>
        <v>920162824.5</v>
      </c>
      <c r="P377" s="4">
        <f t="shared" ref="P377" si="32">SUM(P81:P101)+P124</f>
        <v>902649406.16822922</v>
      </c>
      <c r="Q377" s="168"/>
      <c r="R377" s="4"/>
      <c r="S377" s="4"/>
    </row>
    <row r="378" spans="1:19" x14ac:dyDescent="0.3">
      <c r="A378" s="161"/>
      <c r="B378" s="161" t="s">
        <v>283</v>
      </c>
      <c r="C378" s="4">
        <f>SUM(C104:C123)</f>
        <v>53493732.350000001</v>
      </c>
      <c r="D378" s="4">
        <f t="shared" ref="D378:P378" si="33">SUM(D104:D123)</f>
        <v>50155493.530000016</v>
      </c>
      <c r="E378" s="4">
        <f t="shared" si="33"/>
        <v>50916690.710000016</v>
      </c>
      <c r="F378" s="4">
        <f t="shared" si="33"/>
        <v>51702633.899999999</v>
      </c>
      <c r="G378" s="4">
        <f t="shared" si="33"/>
        <v>52535357.590000004</v>
      </c>
      <c r="H378" s="4">
        <f t="shared" si="33"/>
        <v>53018971.980000004</v>
      </c>
      <c r="I378" s="4">
        <f t="shared" si="33"/>
        <v>53617873.359999992</v>
      </c>
      <c r="J378" s="4">
        <f t="shared" si="33"/>
        <v>54426673.729999997</v>
      </c>
      <c r="K378" s="4">
        <f t="shared" si="33"/>
        <v>54890628.680000007</v>
      </c>
      <c r="L378" s="4">
        <f t="shared" si="33"/>
        <v>55718462.190000005</v>
      </c>
      <c r="M378" s="4">
        <f t="shared" si="33"/>
        <v>56607548.829999998</v>
      </c>
      <c r="N378" s="4">
        <f t="shared" si="33"/>
        <v>57499482.729999997</v>
      </c>
      <c r="O378" s="4">
        <f t="shared" si="33"/>
        <v>58281005.699999996</v>
      </c>
      <c r="P378" s="4">
        <f t="shared" si="33"/>
        <v>53914765.521250002</v>
      </c>
      <c r="Q378" s="168"/>
      <c r="R378" s="4"/>
      <c r="S378" s="4"/>
    </row>
    <row r="379" spans="1:19" x14ac:dyDescent="0.3">
      <c r="A379" s="161"/>
      <c r="B379" s="8" t="s">
        <v>28</v>
      </c>
      <c r="C379" s="4">
        <f>+C102</f>
        <v>437351</v>
      </c>
      <c r="D379" s="4">
        <f t="shared" ref="D379:P380" si="34">+D102</f>
        <v>437351</v>
      </c>
      <c r="E379" s="4">
        <f t="shared" si="34"/>
        <v>437351</v>
      </c>
      <c r="F379" s="4">
        <f t="shared" si="34"/>
        <v>437351</v>
      </c>
      <c r="G379" s="4">
        <f t="shared" si="34"/>
        <v>437351</v>
      </c>
      <c r="H379" s="4">
        <f t="shared" si="34"/>
        <v>437351</v>
      </c>
      <c r="I379" s="4">
        <f t="shared" si="34"/>
        <v>437351</v>
      </c>
      <c r="J379" s="4">
        <f t="shared" si="34"/>
        <v>437351</v>
      </c>
      <c r="K379" s="4">
        <f t="shared" si="34"/>
        <v>437351</v>
      </c>
      <c r="L379" s="4">
        <f t="shared" si="34"/>
        <v>437351</v>
      </c>
      <c r="M379" s="4">
        <f t="shared" si="34"/>
        <v>437351</v>
      </c>
      <c r="N379" s="4">
        <f t="shared" si="34"/>
        <v>437351</v>
      </c>
      <c r="O379" s="4">
        <f t="shared" si="34"/>
        <v>437351</v>
      </c>
      <c r="P379" s="4">
        <f t="shared" si="34"/>
        <v>437351</v>
      </c>
      <c r="Q379" s="168"/>
      <c r="R379" s="4"/>
      <c r="S379" s="4"/>
    </row>
    <row r="380" spans="1:19" x14ac:dyDescent="0.3">
      <c r="A380" s="161"/>
      <c r="B380" s="8" t="s">
        <v>284</v>
      </c>
      <c r="C380" s="4">
        <f>+C103</f>
        <v>10289314.869999999</v>
      </c>
      <c r="D380" s="4">
        <f t="shared" si="34"/>
        <v>10384442.220000001</v>
      </c>
      <c r="E380" s="4">
        <f t="shared" si="34"/>
        <v>10479581.98</v>
      </c>
      <c r="F380" s="4">
        <f t="shared" si="34"/>
        <v>10574957.220000001</v>
      </c>
      <c r="G380" s="4">
        <f t="shared" si="34"/>
        <v>10670569.560000001</v>
      </c>
      <c r="H380" s="4">
        <f t="shared" si="34"/>
        <v>10766189.869999999</v>
      </c>
      <c r="I380" s="4">
        <f t="shared" si="34"/>
        <v>10861812.939999999</v>
      </c>
      <c r="J380" s="4">
        <f t="shared" si="34"/>
        <v>10957439.23</v>
      </c>
      <c r="K380" s="4">
        <f t="shared" si="34"/>
        <v>11053059.23</v>
      </c>
      <c r="L380" s="4">
        <f t="shared" si="34"/>
        <v>11148718.43</v>
      </c>
      <c r="M380" s="4">
        <f t="shared" si="34"/>
        <v>11244426.310000001</v>
      </c>
      <c r="N380" s="4">
        <f t="shared" si="34"/>
        <v>11340145.470000001</v>
      </c>
      <c r="O380" s="4">
        <f t="shared" si="34"/>
        <v>11435912.970000001</v>
      </c>
      <c r="P380" s="4">
        <f t="shared" si="34"/>
        <v>10861996.365</v>
      </c>
      <c r="Q380" s="168"/>
      <c r="R380" s="4"/>
      <c r="S380" s="4"/>
    </row>
    <row r="381" spans="1:19" x14ac:dyDescent="0.3">
      <c r="A381" s="161"/>
      <c r="B381" s="161" t="s">
        <v>285</v>
      </c>
      <c r="C381" s="4">
        <f>SUM(C73:C78,C33:C66)</f>
        <v>136434080.39999995</v>
      </c>
      <c r="D381" s="4">
        <f t="shared" ref="D381:P381" si="35">SUM(D73:D78,D33:D66)</f>
        <v>137060612.74000001</v>
      </c>
      <c r="E381" s="4">
        <f t="shared" si="35"/>
        <v>137688203.49999997</v>
      </c>
      <c r="F381" s="4">
        <f t="shared" si="35"/>
        <v>135042843.80999997</v>
      </c>
      <c r="G381" s="4">
        <f t="shared" si="35"/>
        <v>135668643.35999995</v>
      </c>
      <c r="H381" s="4">
        <f t="shared" si="35"/>
        <v>136299148.41999999</v>
      </c>
      <c r="I381" s="4">
        <f t="shared" si="35"/>
        <v>136931900.08000007</v>
      </c>
      <c r="J381" s="4">
        <f t="shared" si="35"/>
        <v>137565119.33999994</v>
      </c>
      <c r="K381" s="4">
        <f t="shared" si="35"/>
        <v>138197975.22</v>
      </c>
      <c r="L381" s="4">
        <f t="shared" si="35"/>
        <v>138833127.83999994</v>
      </c>
      <c r="M381" s="4">
        <f t="shared" si="35"/>
        <v>139469792.33999997</v>
      </c>
      <c r="N381" s="4">
        <f t="shared" si="35"/>
        <v>140106457.91000003</v>
      </c>
      <c r="O381" s="4">
        <f t="shared" si="35"/>
        <v>140744214.84</v>
      </c>
      <c r="P381" s="4">
        <f t="shared" si="35"/>
        <v>137621081.01499999</v>
      </c>
      <c r="Q381" s="168"/>
      <c r="R381" s="4"/>
      <c r="S381" s="4"/>
    </row>
    <row r="382" spans="1:19" x14ac:dyDescent="0.3">
      <c r="A382" s="161"/>
      <c r="B382" s="161" t="s">
        <v>286</v>
      </c>
      <c r="C382" s="4">
        <f t="shared" ref="C382:P382" si="36">+C67+C68</f>
        <v>2123803.83</v>
      </c>
      <c r="D382" s="4">
        <f t="shared" si="36"/>
        <v>2126448.2999999998</v>
      </c>
      <c r="E382" s="4">
        <f t="shared" si="36"/>
        <v>2129092.7800000003</v>
      </c>
      <c r="F382" s="4">
        <f t="shared" si="36"/>
        <v>2131737.2400000002</v>
      </c>
      <c r="G382" s="4">
        <f t="shared" si="36"/>
        <v>2134381.66</v>
      </c>
      <c r="H382" s="4">
        <f t="shared" si="36"/>
        <v>2137026.17</v>
      </c>
      <c r="I382" s="4">
        <f t="shared" si="36"/>
        <v>2139670.6100000003</v>
      </c>
      <c r="J382" s="4">
        <f t="shared" si="36"/>
        <v>2142315.0499999998</v>
      </c>
      <c r="K382" s="4">
        <f t="shared" si="36"/>
        <v>2144959.4699999997</v>
      </c>
      <c r="L382" s="4">
        <f t="shared" si="36"/>
        <v>2147603.98</v>
      </c>
      <c r="M382" s="4">
        <f t="shared" si="36"/>
        <v>2150248.4299999997</v>
      </c>
      <c r="N382" s="4">
        <f t="shared" si="36"/>
        <v>2152892.8899999997</v>
      </c>
      <c r="O382" s="4">
        <f t="shared" si="36"/>
        <v>2155537.31</v>
      </c>
      <c r="P382" s="4">
        <f t="shared" si="36"/>
        <v>2139670.5958333332</v>
      </c>
      <c r="Q382" s="168"/>
      <c r="R382" s="4"/>
      <c r="S382" s="4"/>
    </row>
    <row r="383" spans="1:19" x14ac:dyDescent="0.3">
      <c r="A383" s="161"/>
      <c r="B383" s="161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168"/>
      <c r="R383" s="4"/>
      <c r="S383" s="4"/>
    </row>
    <row r="384" spans="1:19" x14ac:dyDescent="0.3">
      <c r="A384" s="161"/>
      <c r="B384" s="161" t="s">
        <v>289</v>
      </c>
      <c r="C384" s="4">
        <f>SUM(C373:C383)</f>
        <v>1183606995.9775</v>
      </c>
      <c r="D384" s="4">
        <f t="shared" ref="D384:P384" si="37">SUM(D373:D383)</f>
        <v>1184869869.8</v>
      </c>
      <c r="E384" s="4">
        <f t="shared" si="37"/>
        <v>1190361737.01</v>
      </c>
      <c r="F384" s="4">
        <f t="shared" si="37"/>
        <v>1192303483.0400004</v>
      </c>
      <c r="G384" s="4">
        <f t="shared" si="37"/>
        <v>1197277912.96</v>
      </c>
      <c r="H384" s="4">
        <f t="shared" si="37"/>
        <v>1202118220.3399999</v>
      </c>
      <c r="I384" s="4">
        <f t="shared" si="37"/>
        <v>1207026251.3000004</v>
      </c>
      <c r="J384" s="4">
        <f t="shared" si="37"/>
        <v>1212225002.4799998</v>
      </c>
      <c r="K384" s="4">
        <f t="shared" si="37"/>
        <v>1217389636.7600002</v>
      </c>
      <c r="L384" s="4">
        <f t="shared" si="37"/>
        <v>1222223103.3000002</v>
      </c>
      <c r="M384" s="4">
        <f t="shared" si="37"/>
        <v>1227202069.8899999</v>
      </c>
      <c r="N384" s="4">
        <f t="shared" si="37"/>
        <v>1232135771.7600002</v>
      </c>
      <c r="O384" s="4">
        <f t="shared" si="37"/>
        <v>1237571679.4199998</v>
      </c>
      <c r="P384" s="4">
        <f t="shared" si="37"/>
        <v>1207976866.3615625</v>
      </c>
      <c r="Q384" s="168"/>
      <c r="R384" s="4"/>
      <c r="S384" s="4"/>
    </row>
    <row r="385" spans="1:19" x14ac:dyDescent="0.3">
      <c r="A385" s="161"/>
      <c r="B385" s="161"/>
      <c r="C385" s="4">
        <f t="shared" ref="C385:P385" si="38">+C384-C125</f>
        <v>0</v>
      </c>
      <c r="D385" s="4">
        <f t="shared" si="38"/>
        <v>0</v>
      </c>
      <c r="E385" s="4">
        <f t="shared" si="38"/>
        <v>0</v>
      </c>
      <c r="F385" s="4">
        <f t="shared" si="38"/>
        <v>0</v>
      </c>
      <c r="G385" s="4">
        <f t="shared" si="38"/>
        <v>0</v>
      </c>
      <c r="H385" s="4">
        <f t="shared" si="38"/>
        <v>0</v>
      </c>
      <c r="I385" s="4">
        <f t="shared" si="38"/>
        <v>0</v>
      </c>
      <c r="J385" s="4">
        <f t="shared" si="38"/>
        <v>0</v>
      </c>
      <c r="K385" s="4">
        <f t="shared" si="38"/>
        <v>0</v>
      </c>
      <c r="L385" s="4">
        <f t="shared" si="38"/>
        <v>0</v>
      </c>
      <c r="M385" s="4">
        <f t="shared" si="38"/>
        <v>0</v>
      </c>
      <c r="N385" s="4">
        <f t="shared" si="38"/>
        <v>0</v>
      </c>
      <c r="O385" s="4">
        <f t="shared" si="38"/>
        <v>0</v>
      </c>
      <c r="P385" s="4">
        <f t="shared" si="38"/>
        <v>0</v>
      </c>
      <c r="Q385" s="168"/>
      <c r="R385" s="4"/>
      <c r="S385" s="4"/>
    </row>
    <row r="386" spans="1:19" x14ac:dyDescent="0.3">
      <c r="A386" s="161" t="s">
        <v>147</v>
      </c>
      <c r="B386" s="470"/>
      <c r="F386" s="11"/>
    </row>
    <row r="387" spans="1:19" x14ac:dyDescent="0.3">
      <c r="A387" s="161"/>
      <c r="B387" s="161" t="s">
        <v>278</v>
      </c>
      <c r="C387" s="4">
        <f t="shared" ref="C387:P387" si="39">+C130+C131+C132+C133+C134</f>
        <v>1866216.2999999998</v>
      </c>
      <c r="D387" s="4">
        <f t="shared" si="39"/>
        <v>1866216.2999999998</v>
      </c>
      <c r="E387" s="4">
        <f t="shared" si="39"/>
        <v>1866216.2999999998</v>
      </c>
      <c r="F387" s="4">
        <f t="shared" si="39"/>
        <v>1866216.2999999998</v>
      </c>
      <c r="G387" s="4">
        <f t="shared" si="39"/>
        <v>1866216.2999999998</v>
      </c>
      <c r="H387" s="4">
        <f t="shared" si="39"/>
        <v>1866216.2999999998</v>
      </c>
      <c r="I387" s="4">
        <f t="shared" si="39"/>
        <v>1866216.2999999998</v>
      </c>
      <c r="J387" s="4">
        <f t="shared" si="39"/>
        <v>1866216.2999999998</v>
      </c>
      <c r="K387" s="4">
        <f t="shared" si="39"/>
        <v>1866216.2999999998</v>
      </c>
      <c r="L387" s="4">
        <f t="shared" si="39"/>
        <v>1866216.2999999998</v>
      </c>
      <c r="M387" s="4">
        <f t="shared" si="39"/>
        <v>1866216.2999999998</v>
      </c>
      <c r="N387" s="4">
        <f t="shared" si="39"/>
        <v>1866216.2999999998</v>
      </c>
      <c r="O387" s="4">
        <f t="shared" si="39"/>
        <v>1866216.2999999998</v>
      </c>
      <c r="P387" s="4">
        <f t="shared" si="39"/>
        <v>1866216.2999999998</v>
      </c>
      <c r="Q387" s="168"/>
      <c r="R387" s="4"/>
      <c r="S387" s="4"/>
    </row>
    <row r="388" spans="1:19" x14ac:dyDescent="0.3">
      <c r="A388" s="161"/>
      <c r="B388" s="161" t="s">
        <v>279</v>
      </c>
      <c r="C388" s="4">
        <f t="shared" ref="C388:P388" si="40">+C128+C129</f>
        <v>0</v>
      </c>
      <c r="D388" s="4">
        <f t="shared" si="40"/>
        <v>0</v>
      </c>
      <c r="E388" s="4">
        <f t="shared" si="40"/>
        <v>0</v>
      </c>
      <c r="F388" s="4">
        <f t="shared" si="40"/>
        <v>0</v>
      </c>
      <c r="G388" s="4">
        <f t="shared" si="40"/>
        <v>0</v>
      </c>
      <c r="H388" s="4">
        <f t="shared" si="40"/>
        <v>0</v>
      </c>
      <c r="I388" s="4">
        <f t="shared" si="40"/>
        <v>0</v>
      </c>
      <c r="J388" s="4">
        <f t="shared" si="40"/>
        <v>0</v>
      </c>
      <c r="K388" s="4">
        <f t="shared" si="40"/>
        <v>0</v>
      </c>
      <c r="L388" s="4">
        <f t="shared" si="40"/>
        <v>0</v>
      </c>
      <c r="M388" s="4">
        <f t="shared" si="40"/>
        <v>0</v>
      </c>
      <c r="N388" s="4">
        <f t="shared" si="40"/>
        <v>0</v>
      </c>
      <c r="O388" s="4">
        <f t="shared" si="40"/>
        <v>0</v>
      </c>
      <c r="P388" s="4">
        <f t="shared" si="40"/>
        <v>0</v>
      </c>
      <c r="Q388" s="168"/>
      <c r="R388" s="4"/>
      <c r="S388" s="4"/>
    </row>
    <row r="389" spans="1:19" x14ac:dyDescent="0.3">
      <c r="A389" s="161"/>
      <c r="B389" s="161" t="s">
        <v>280</v>
      </c>
      <c r="C389" s="4">
        <f t="shared" ref="C389:O389" si="41">SUM(C135:C154)</f>
        <v>0</v>
      </c>
      <c r="D389" s="4">
        <f t="shared" si="41"/>
        <v>0</v>
      </c>
      <c r="E389" s="4">
        <f t="shared" si="41"/>
        <v>0</v>
      </c>
      <c r="F389" s="4">
        <f t="shared" si="41"/>
        <v>0</v>
      </c>
      <c r="G389" s="4">
        <f t="shared" si="41"/>
        <v>0</v>
      </c>
      <c r="H389" s="4">
        <f t="shared" si="41"/>
        <v>0</v>
      </c>
      <c r="I389" s="4">
        <f t="shared" si="41"/>
        <v>0</v>
      </c>
      <c r="J389" s="4">
        <f t="shared" si="41"/>
        <v>0</v>
      </c>
      <c r="K389" s="4">
        <f t="shared" si="41"/>
        <v>0</v>
      </c>
      <c r="L389" s="4">
        <f t="shared" si="41"/>
        <v>0</v>
      </c>
      <c r="M389" s="4">
        <f t="shared" si="41"/>
        <v>0</v>
      </c>
      <c r="N389" s="4">
        <f t="shared" si="41"/>
        <v>0</v>
      </c>
      <c r="O389" s="4">
        <f t="shared" si="41"/>
        <v>0</v>
      </c>
      <c r="P389" s="4">
        <f t="shared" ref="P389" si="42">SUM(P135:P154)</f>
        <v>0</v>
      </c>
      <c r="Q389" s="168"/>
      <c r="R389" s="4"/>
      <c r="S389" s="4"/>
    </row>
    <row r="390" spans="1:19" x14ac:dyDescent="0.3">
      <c r="A390" s="161"/>
      <c r="B390" s="161" t="s">
        <v>281</v>
      </c>
      <c r="C390" s="4">
        <f>SUM(C191+C192+C193+C194+C201+C202)</f>
        <v>142343.25</v>
      </c>
      <c r="D390" s="4">
        <f t="shared" ref="D390:P390" si="43">SUM(D191+D192+D193+D194+D201+D202)</f>
        <v>144247.47</v>
      </c>
      <c r="E390" s="4">
        <f t="shared" si="43"/>
        <v>146151.71</v>
      </c>
      <c r="F390" s="4">
        <f t="shared" si="43"/>
        <v>148055.94</v>
      </c>
      <c r="G390" s="4">
        <f t="shared" si="43"/>
        <v>149960.45000000001</v>
      </c>
      <c r="H390" s="4">
        <f t="shared" si="43"/>
        <v>151865.25</v>
      </c>
      <c r="I390" s="4">
        <f t="shared" si="43"/>
        <v>153770.06</v>
      </c>
      <c r="J390" s="4">
        <f t="shared" si="43"/>
        <v>155674.84</v>
      </c>
      <c r="K390" s="4">
        <f t="shared" si="43"/>
        <v>157579.62</v>
      </c>
      <c r="L390" s="4">
        <f t="shared" si="43"/>
        <v>159484.42000000001</v>
      </c>
      <c r="M390" s="4">
        <f t="shared" si="43"/>
        <v>161389.22</v>
      </c>
      <c r="N390" s="4">
        <f t="shared" si="43"/>
        <v>163293.99</v>
      </c>
      <c r="O390" s="4">
        <f t="shared" si="43"/>
        <v>165198.81</v>
      </c>
      <c r="P390" s="4">
        <f t="shared" si="43"/>
        <v>153770.33333333334</v>
      </c>
      <c r="Q390" s="168"/>
      <c r="R390" s="4"/>
      <c r="S390" s="4"/>
    </row>
    <row r="391" spans="1:19" x14ac:dyDescent="0.3">
      <c r="A391" s="161"/>
      <c r="B391" s="161" t="s">
        <v>282</v>
      </c>
      <c r="C391" s="4">
        <f>SUM(C203:C223)+C246</f>
        <v>105955041.16250001</v>
      </c>
      <c r="D391" s="4">
        <f t="shared" ref="D391:O391" si="44">SUM(D203:D223)+D246</f>
        <v>106374361.06000002</v>
      </c>
      <c r="E391" s="4">
        <f t="shared" si="44"/>
        <v>106868265.04000002</v>
      </c>
      <c r="F391" s="4">
        <f t="shared" si="44"/>
        <v>107403156.14000002</v>
      </c>
      <c r="G391" s="4">
        <f t="shared" si="44"/>
        <v>107922695.62000002</v>
      </c>
      <c r="H391" s="4">
        <f t="shared" si="44"/>
        <v>108475864.66999999</v>
      </c>
      <c r="I391" s="4">
        <f t="shared" si="44"/>
        <v>109032955.55999999</v>
      </c>
      <c r="J391" s="4">
        <f t="shared" si="44"/>
        <v>109570211.27</v>
      </c>
      <c r="K391" s="4">
        <f t="shared" si="44"/>
        <v>110067678.03000002</v>
      </c>
      <c r="L391" s="4">
        <f t="shared" si="44"/>
        <v>110578630.31</v>
      </c>
      <c r="M391" s="4">
        <f t="shared" si="44"/>
        <v>110734781.75999999</v>
      </c>
      <c r="N391" s="4">
        <f t="shared" si="44"/>
        <v>111277217.59</v>
      </c>
      <c r="O391" s="4">
        <f t="shared" si="44"/>
        <v>111862300.07000002</v>
      </c>
      <c r="P391" s="4">
        <f t="shared" ref="P391" si="45">SUM(P203:P223)+P246</f>
        <v>108934540.63885416</v>
      </c>
      <c r="Q391" s="168"/>
      <c r="R391" s="4"/>
      <c r="S391" s="4"/>
    </row>
    <row r="392" spans="1:19" x14ac:dyDescent="0.3">
      <c r="A392" s="161"/>
      <c r="B392" s="161" t="s">
        <v>283</v>
      </c>
      <c r="C392" s="4">
        <f>SUM(C226:C245)</f>
        <v>691522.19</v>
      </c>
      <c r="D392" s="4">
        <f t="shared" ref="D392:P392" si="46">SUM(D226:D245)</f>
        <v>698355.58000000007</v>
      </c>
      <c r="E392" s="4">
        <f t="shared" si="46"/>
        <v>705205.8</v>
      </c>
      <c r="F392" s="4">
        <f t="shared" si="46"/>
        <v>712073.58000000007</v>
      </c>
      <c r="G392" s="4">
        <f t="shared" si="46"/>
        <v>718942.27</v>
      </c>
      <c r="H392" s="4">
        <f t="shared" si="46"/>
        <v>725811.25</v>
      </c>
      <c r="I392" s="4">
        <f t="shared" si="46"/>
        <v>732680.21</v>
      </c>
      <c r="J392" s="4">
        <f t="shared" si="46"/>
        <v>739549.23</v>
      </c>
      <c r="K392" s="4">
        <f t="shared" si="46"/>
        <v>734301.83</v>
      </c>
      <c r="L392" s="4">
        <f t="shared" si="46"/>
        <v>741143.81</v>
      </c>
      <c r="M392" s="4">
        <f t="shared" si="46"/>
        <v>747988.47000000009</v>
      </c>
      <c r="N392" s="4">
        <f t="shared" si="46"/>
        <v>754835.83</v>
      </c>
      <c r="O392" s="4">
        <f t="shared" si="46"/>
        <v>761683.2699999999</v>
      </c>
      <c r="P392" s="4">
        <f t="shared" si="46"/>
        <v>728124.21583333332</v>
      </c>
      <c r="Q392" s="168"/>
      <c r="R392" s="4"/>
      <c r="S392" s="4"/>
    </row>
    <row r="393" spans="1:19" x14ac:dyDescent="0.3">
      <c r="A393" s="161"/>
      <c r="B393" s="8" t="s">
        <v>28</v>
      </c>
      <c r="C393" s="4">
        <f>+C224</f>
        <v>0</v>
      </c>
      <c r="D393" s="4">
        <f t="shared" ref="D393:P394" si="47">+D224</f>
        <v>0</v>
      </c>
      <c r="E393" s="4">
        <f t="shared" si="47"/>
        <v>0</v>
      </c>
      <c r="F393" s="4">
        <f t="shared" si="47"/>
        <v>0</v>
      </c>
      <c r="G393" s="4">
        <f t="shared" si="47"/>
        <v>0</v>
      </c>
      <c r="H393" s="4">
        <f t="shared" si="47"/>
        <v>0</v>
      </c>
      <c r="I393" s="4">
        <f t="shared" si="47"/>
        <v>0</v>
      </c>
      <c r="J393" s="4">
        <f t="shared" si="47"/>
        <v>0</v>
      </c>
      <c r="K393" s="4">
        <f t="shared" si="47"/>
        <v>0</v>
      </c>
      <c r="L393" s="4">
        <f t="shared" si="47"/>
        <v>0</v>
      </c>
      <c r="M393" s="4">
        <f t="shared" si="47"/>
        <v>0</v>
      </c>
      <c r="N393" s="4">
        <f t="shared" si="47"/>
        <v>0</v>
      </c>
      <c r="O393" s="4">
        <f t="shared" si="47"/>
        <v>0</v>
      </c>
      <c r="P393" s="4">
        <f t="shared" si="47"/>
        <v>0</v>
      </c>
      <c r="Q393" s="168"/>
      <c r="R393" s="4"/>
      <c r="S393" s="4"/>
    </row>
    <row r="394" spans="1:19" x14ac:dyDescent="0.3">
      <c r="A394" s="161"/>
      <c r="B394" s="8" t="s">
        <v>284</v>
      </c>
      <c r="C394" s="4">
        <f>+C225</f>
        <v>54191.9</v>
      </c>
      <c r="D394" s="4">
        <f t="shared" si="47"/>
        <v>56778.48</v>
      </c>
      <c r="E394" s="4">
        <f t="shared" si="47"/>
        <v>59365.06</v>
      </c>
      <c r="F394" s="4">
        <f t="shared" si="47"/>
        <v>61957.120000000003</v>
      </c>
      <c r="G394" s="4">
        <f t="shared" si="47"/>
        <v>64554.65</v>
      </c>
      <c r="H394" s="4">
        <f t="shared" si="47"/>
        <v>67152.2</v>
      </c>
      <c r="I394" s="4">
        <f t="shared" si="47"/>
        <v>69749.72</v>
      </c>
      <c r="J394" s="4">
        <f t="shared" si="47"/>
        <v>72347.259999999995</v>
      </c>
      <c r="K394" s="4">
        <f t="shared" si="47"/>
        <v>74944.789999999994</v>
      </c>
      <c r="L394" s="4">
        <f t="shared" si="47"/>
        <v>77542.33</v>
      </c>
      <c r="M394" s="4">
        <f t="shared" si="47"/>
        <v>80139.86</v>
      </c>
      <c r="N394" s="4">
        <f t="shared" si="47"/>
        <v>82737.39</v>
      </c>
      <c r="O394" s="4">
        <f t="shared" si="47"/>
        <v>85334.94</v>
      </c>
      <c r="P394" s="4">
        <f t="shared" si="47"/>
        <v>69752.69</v>
      </c>
      <c r="Q394" s="168"/>
      <c r="R394" s="4"/>
      <c r="S394" s="4"/>
    </row>
    <row r="395" spans="1:19" x14ac:dyDescent="0.3">
      <c r="A395" s="161"/>
      <c r="B395" s="161" t="s">
        <v>285</v>
      </c>
      <c r="C395" s="4">
        <f>SUM(C195:C200,C155:C188)</f>
        <v>0</v>
      </c>
      <c r="D395" s="4">
        <f t="shared" ref="D395:P395" si="48">SUM(D195:D200,D155:D188)</f>
        <v>0</v>
      </c>
      <c r="E395" s="4">
        <f t="shared" si="48"/>
        <v>0</v>
      </c>
      <c r="F395" s="4">
        <f t="shared" si="48"/>
        <v>0</v>
      </c>
      <c r="G395" s="4">
        <f t="shared" si="48"/>
        <v>0</v>
      </c>
      <c r="H395" s="4">
        <f t="shared" si="48"/>
        <v>0</v>
      </c>
      <c r="I395" s="4">
        <f t="shared" si="48"/>
        <v>0</v>
      </c>
      <c r="J395" s="4">
        <f t="shared" si="48"/>
        <v>0</v>
      </c>
      <c r="K395" s="4">
        <f t="shared" si="48"/>
        <v>0</v>
      </c>
      <c r="L395" s="4">
        <f t="shared" si="48"/>
        <v>0</v>
      </c>
      <c r="M395" s="4">
        <f t="shared" si="48"/>
        <v>0</v>
      </c>
      <c r="N395" s="4">
        <f t="shared" si="48"/>
        <v>0</v>
      </c>
      <c r="O395" s="4">
        <f t="shared" si="48"/>
        <v>0</v>
      </c>
      <c r="P395" s="4">
        <f t="shared" si="48"/>
        <v>0</v>
      </c>
      <c r="Q395" s="168"/>
      <c r="R395" s="4"/>
      <c r="S395" s="4"/>
    </row>
    <row r="396" spans="1:19" x14ac:dyDescent="0.3">
      <c r="A396" s="161"/>
      <c r="B396" s="161" t="s">
        <v>286</v>
      </c>
      <c r="C396" s="4">
        <f t="shared" ref="C396:P396" si="49">+C189+C190</f>
        <v>0</v>
      </c>
      <c r="D396" s="4">
        <f t="shared" si="49"/>
        <v>0</v>
      </c>
      <c r="E396" s="4">
        <f t="shared" si="49"/>
        <v>0</v>
      </c>
      <c r="F396" s="4">
        <f t="shared" si="49"/>
        <v>0</v>
      </c>
      <c r="G396" s="4">
        <f t="shared" si="49"/>
        <v>0</v>
      </c>
      <c r="H396" s="4">
        <f t="shared" si="49"/>
        <v>0</v>
      </c>
      <c r="I396" s="4">
        <f t="shared" si="49"/>
        <v>0</v>
      </c>
      <c r="J396" s="4">
        <f t="shared" si="49"/>
        <v>0</v>
      </c>
      <c r="K396" s="4">
        <f t="shared" si="49"/>
        <v>0</v>
      </c>
      <c r="L396" s="4">
        <f t="shared" si="49"/>
        <v>0</v>
      </c>
      <c r="M396" s="4">
        <f t="shared" si="49"/>
        <v>0</v>
      </c>
      <c r="N396" s="4">
        <f t="shared" si="49"/>
        <v>0</v>
      </c>
      <c r="O396" s="4">
        <f t="shared" si="49"/>
        <v>0</v>
      </c>
      <c r="P396" s="4">
        <f t="shared" si="49"/>
        <v>0</v>
      </c>
      <c r="Q396" s="168"/>
      <c r="R396" s="4"/>
      <c r="S396" s="4"/>
    </row>
    <row r="397" spans="1:19" x14ac:dyDescent="0.3">
      <c r="A397" s="161"/>
      <c r="B397" s="161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68"/>
      <c r="R397" s="4"/>
      <c r="S397" s="4"/>
    </row>
    <row r="398" spans="1:19" x14ac:dyDescent="0.3">
      <c r="A398" s="161"/>
      <c r="B398" s="161" t="s">
        <v>289</v>
      </c>
      <c r="C398" s="4">
        <f>SUM(C387:C397)</f>
        <v>108709314.80250001</v>
      </c>
      <c r="D398" s="4">
        <f t="shared" ref="D398:P398" si="50">SUM(D387:D397)</f>
        <v>109139958.89000002</v>
      </c>
      <c r="E398" s="4">
        <f t="shared" si="50"/>
        <v>109645203.91000003</v>
      </c>
      <c r="F398" s="4">
        <f t="shared" si="50"/>
        <v>110191459.08000001</v>
      </c>
      <c r="G398" s="4">
        <f t="shared" si="50"/>
        <v>110722369.29000002</v>
      </c>
      <c r="H398" s="4">
        <f t="shared" si="50"/>
        <v>111286909.66999999</v>
      </c>
      <c r="I398" s="4">
        <f t="shared" si="50"/>
        <v>111855371.84999998</v>
      </c>
      <c r="J398" s="4">
        <f t="shared" si="50"/>
        <v>112403998.90000001</v>
      </c>
      <c r="K398" s="4">
        <f t="shared" si="50"/>
        <v>112900720.57000002</v>
      </c>
      <c r="L398" s="4">
        <f t="shared" si="50"/>
        <v>113423017.17</v>
      </c>
      <c r="M398" s="4">
        <f t="shared" si="50"/>
        <v>113590515.60999998</v>
      </c>
      <c r="N398" s="4">
        <f t="shared" si="50"/>
        <v>114144301.10000001</v>
      </c>
      <c r="O398" s="4">
        <f t="shared" si="50"/>
        <v>114740733.39000002</v>
      </c>
      <c r="P398" s="4">
        <f t="shared" si="50"/>
        <v>111752404.17802083</v>
      </c>
      <c r="Q398" s="168"/>
      <c r="R398" s="4"/>
      <c r="S398" s="4"/>
    </row>
    <row r="399" spans="1:19" x14ac:dyDescent="0.3">
      <c r="A399" s="161"/>
      <c r="B399" s="161"/>
      <c r="C399" s="4">
        <f t="shared" ref="C399:P399" si="51">+C398-C247</f>
        <v>0</v>
      </c>
      <c r="D399" s="4">
        <f t="shared" si="51"/>
        <v>0</v>
      </c>
      <c r="E399" s="4">
        <f t="shared" si="51"/>
        <v>0</v>
      </c>
      <c r="F399" s="4">
        <f t="shared" si="51"/>
        <v>0</v>
      </c>
      <c r="G399" s="4">
        <f t="shared" si="51"/>
        <v>0</v>
      </c>
      <c r="H399" s="4">
        <f t="shared" si="51"/>
        <v>0</v>
      </c>
      <c r="I399" s="4">
        <f t="shared" si="51"/>
        <v>0</v>
      </c>
      <c r="J399" s="4">
        <f t="shared" si="51"/>
        <v>0</v>
      </c>
      <c r="K399" s="4">
        <f t="shared" si="51"/>
        <v>0</v>
      </c>
      <c r="L399" s="4">
        <f t="shared" si="51"/>
        <v>0</v>
      </c>
      <c r="M399" s="4">
        <f t="shared" si="51"/>
        <v>0</v>
      </c>
      <c r="N399" s="4">
        <f t="shared" si="51"/>
        <v>0</v>
      </c>
      <c r="O399" s="4">
        <f t="shared" si="51"/>
        <v>0</v>
      </c>
      <c r="P399" s="4">
        <f t="shared" si="51"/>
        <v>0</v>
      </c>
      <c r="Q399" s="168"/>
      <c r="R399" s="4"/>
      <c r="S399" s="4"/>
    </row>
    <row r="400" spans="1:19" x14ac:dyDescent="0.3">
      <c r="A400" s="161" t="s">
        <v>146</v>
      </c>
      <c r="B400" s="470"/>
    </row>
    <row r="401" spans="1:19" x14ac:dyDescent="0.3">
      <c r="A401" s="470"/>
      <c r="B401" s="161" t="s">
        <v>278</v>
      </c>
      <c r="C401" s="4">
        <f t="shared" ref="C401:P401" si="52">+C252+C253+C254+C255+C256</f>
        <v>62524337.56000001</v>
      </c>
      <c r="D401" s="4">
        <f t="shared" si="52"/>
        <v>62759202.31000001</v>
      </c>
      <c r="E401" s="4">
        <f t="shared" si="52"/>
        <v>62996863.700000003</v>
      </c>
      <c r="F401" s="4">
        <f t="shared" si="52"/>
        <v>63238775.020000003</v>
      </c>
      <c r="G401" s="4">
        <f t="shared" si="52"/>
        <v>63483063.81000001</v>
      </c>
      <c r="H401" s="4">
        <f t="shared" si="52"/>
        <v>63728791.130000003</v>
      </c>
      <c r="I401" s="4">
        <f t="shared" si="52"/>
        <v>63975818.31000001</v>
      </c>
      <c r="J401" s="4">
        <f t="shared" si="52"/>
        <v>64222813.81000001</v>
      </c>
      <c r="K401" s="4">
        <f t="shared" si="52"/>
        <v>64469852.410000004</v>
      </c>
      <c r="L401" s="4">
        <f t="shared" si="52"/>
        <v>64717574.100000001</v>
      </c>
      <c r="M401" s="4">
        <f t="shared" si="52"/>
        <v>64965997.539999999</v>
      </c>
      <c r="N401" s="4">
        <f t="shared" si="52"/>
        <v>65214416.660000004</v>
      </c>
      <c r="O401" s="4">
        <f t="shared" si="52"/>
        <v>65471040.090000004</v>
      </c>
      <c r="P401" s="4">
        <f t="shared" si="52"/>
        <v>63980904.802083336</v>
      </c>
      <c r="S401" s="4"/>
    </row>
    <row r="402" spans="1:19" x14ac:dyDescent="0.3">
      <c r="A402" s="470"/>
      <c r="B402" s="161" t="s">
        <v>279</v>
      </c>
      <c r="C402" s="4">
        <f t="shared" ref="C402:P402" si="53">+C250+C251</f>
        <v>0</v>
      </c>
      <c r="D402" s="4">
        <f t="shared" si="53"/>
        <v>0</v>
      </c>
      <c r="E402" s="4">
        <f t="shared" si="53"/>
        <v>0</v>
      </c>
      <c r="F402" s="4">
        <f t="shared" si="53"/>
        <v>0</v>
      </c>
      <c r="G402" s="4">
        <f t="shared" si="53"/>
        <v>0</v>
      </c>
      <c r="H402" s="4">
        <f t="shared" si="53"/>
        <v>0</v>
      </c>
      <c r="I402" s="4">
        <f t="shared" si="53"/>
        <v>0</v>
      </c>
      <c r="J402" s="4">
        <f t="shared" si="53"/>
        <v>0</v>
      </c>
      <c r="K402" s="4">
        <f t="shared" si="53"/>
        <v>0</v>
      </c>
      <c r="L402" s="4">
        <f t="shared" si="53"/>
        <v>0</v>
      </c>
      <c r="M402" s="4">
        <f t="shared" si="53"/>
        <v>0</v>
      </c>
      <c r="N402" s="4">
        <f t="shared" si="53"/>
        <v>0</v>
      </c>
      <c r="O402" s="4">
        <f t="shared" si="53"/>
        <v>0</v>
      </c>
      <c r="P402" s="4">
        <f t="shared" si="53"/>
        <v>0</v>
      </c>
      <c r="S402" s="4"/>
    </row>
    <row r="403" spans="1:19" x14ac:dyDescent="0.3">
      <c r="A403" s="470"/>
      <c r="B403" s="161" t="s">
        <v>280</v>
      </c>
      <c r="C403" s="4">
        <f t="shared" ref="C403:O403" si="54">SUM(C257:C276)</f>
        <v>691035.75</v>
      </c>
      <c r="D403" s="4">
        <f t="shared" si="54"/>
        <v>691035.75</v>
      </c>
      <c r="E403" s="4">
        <f t="shared" si="54"/>
        <v>691035.75</v>
      </c>
      <c r="F403" s="4">
        <f t="shared" si="54"/>
        <v>691035.75</v>
      </c>
      <c r="G403" s="4">
        <f t="shared" si="54"/>
        <v>691035.69</v>
      </c>
      <c r="H403" s="4">
        <f t="shared" si="54"/>
        <v>691035.7</v>
      </c>
      <c r="I403" s="4">
        <f t="shared" si="54"/>
        <v>691035.7</v>
      </c>
      <c r="J403" s="4">
        <f t="shared" si="54"/>
        <v>691035.7</v>
      </c>
      <c r="K403" s="4">
        <f t="shared" si="54"/>
        <v>691035.71</v>
      </c>
      <c r="L403" s="4">
        <f t="shared" si="54"/>
        <v>691035.7</v>
      </c>
      <c r="M403" s="4">
        <f t="shared" si="54"/>
        <v>691035.7</v>
      </c>
      <c r="N403" s="4">
        <f t="shared" si="54"/>
        <v>691035.69</v>
      </c>
      <c r="O403" s="4">
        <f t="shared" si="54"/>
        <v>691035.69</v>
      </c>
      <c r="P403" s="4">
        <f t="shared" ref="P403" si="55">SUM(P257:P276)</f>
        <v>691035.71333333326</v>
      </c>
      <c r="S403" s="4"/>
    </row>
    <row r="404" spans="1:19" x14ac:dyDescent="0.3">
      <c r="A404" s="470"/>
      <c r="B404" s="161" t="s">
        <v>281</v>
      </c>
      <c r="C404" s="4">
        <f>SUM(C313+C314+C315+C316+C323+C324)</f>
        <v>35198591.270000003</v>
      </c>
      <c r="D404" s="4">
        <f t="shared" ref="D404:P404" si="56">SUM(D313+D314+D315+D316+D323+D324)</f>
        <v>35611863.93</v>
      </c>
      <c r="E404" s="4">
        <f t="shared" si="56"/>
        <v>36025881.670000002</v>
      </c>
      <c r="F404" s="4">
        <f t="shared" si="56"/>
        <v>36441031.539999999</v>
      </c>
      <c r="G404" s="4">
        <f t="shared" si="56"/>
        <v>36857900.759999998</v>
      </c>
      <c r="H404" s="4">
        <f t="shared" si="56"/>
        <v>37276168.989999995</v>
      </c>
      <c r="I404" s="4">
        <f t="shared" si="56"/>
        <v>37694606.850000001</v>
      </c>
      <c r="J404" s="4">
        <f t="shared" si="56"/>
        <v>38115049.399999999</v>
      </c>
      <c r="K404" s="4">
        <f t="shared" si="56"/>
        <v>38535521.539999992</v>
      </c>
      <c r="L404" s="4">
        <f t="shared" si="56"/>
        <v>38957364.340000004</v>
      </c>
      <c r="M404" s="4">
        <f t="shared" si="56"/>
        <v>39379388.189999998</v>
      </c>
      <c r="N404" s="4">
        <f t="shared" si="56"/>
        <v>39801542.710000001</v>
      </c>
      <c r="O404" s="4">
        <f t="shared" si="56"/>
        <v>40224172.430000007</v>
      </c>
      <c r="P404" s="4">
        <f t="shared" si="56"/>
        <v>37700641.814166673</v>
      </c>
      <c r="S404" s="4"/>
    </row>
    <row r="405" spans="1:19" x14ac:dyDescent="0.3">
      <c r="A405" s="470"/>
      <c r="B405" s="161" t="s">
        <v>282</v>
      </c>
      <c r="C405" s="4">
        <f>SUM(C325:C345)+C368</f>
        <v>990378349.65999997</v>
      </c>
      <c r="D405" s="4">
        <f t="shared" ref="D405:O405" si="57">SUM(D325:D345)+D368</f>
        <v>994028244.84999979</v>
      </c>
      <c r="E405" s="4">
        <f t="shared" si="57"/>
        <v>997877668.97000027</v>
      </c>
      <c r="F405" s="4">
        <f t="shared" si="57"/>
        <v>1001460545.9400001</v>
      </c>
      <c r="G405" s="4">
        <f t="shared" si="57"/>
        <v>1004738481.9</v>
      </c>
      <c r="H405" s="4">
        <f t="shared" si="57"/>
        <v>1008257483.3</v>
      </c>
      <c r="I405" s="4">
        <f t="shared" si="57"/>
        <v>1011729124.3700001</v>
      </c>
      <c r="J405" s="4">
        <f t="shared" si="57"/>
        <v>1015259307.63</v>
      </c>
      <c r="K405" s="4">
        <f t="shared" si="57"/>
        <v>1019060727.45</v>
      </c>
      <c r="L405" s="4">
        <f t="shared" si="57"/>
        <v>1022176196.7500004</v>
      </c>
      <c r="M405" s="4">
        <f t="shared" si="57"/>
        <v>1025018668.8299999</v>
      </c>
      <c r="N405" s="4">
        <f t="shared" si="57"/>
        <v>1028199174.58</v>
      </c>
      <c r="O405" s="4">
        <f t="shared" si="57"/>
        <v>1032025124.5699999</v>
      </c>
      <c r="P405" s="4">
        <f t="shared" ref="P405" si="58">SUM(P325:P345)+P368</f>
        <v>1011583946.8070834</v>
      </c>
      <c r="S405" s="4"/>
    </row>
    <row r="406" spans="1:19" x14ac:dyDescent="0.3">
      <c r="A406" s="470"/>
      <c r="B406" s="161" t="s">
        <v>283</v>
      </c>
      <c r="C406" s="4">
        <f>SUM(C348:C367)</f>
        <v>54185254.540000007</v>
      </c>
      <c r="D406" s="4">
        <f t="shared" ref="D406:P406" si="59">SUM(D348:D367)</f>
        <v>50853849.110000014</v>
      </c>
      <c r="E406" s="4">
        <f t="shared" si="59"/>
        <v>51621896.509999998</v>
      </c>
      <c r="F406" s="4">
        <f t="shared" si="59"/>
        <v>52414707.479999997</v>
      </c>
      <c r="G406" s="4">
        <f t="shared" si="59"/>
        <v>53254299.859999999</v>
      </c>
      <c r="H406" s="4">
        <f t="shared" si="59"/>
        <v>53744783.229999997</v>
      </c>
      <c r="I406" s="4">
        <f t="shared" si="59"/>
        <v>54350553.569999993</v>
      </c>
      <c r="J406" s="4">
        <f t="shared" si="59"/>
        <v>55166222.960000008</v>
      </c>
      <c r="K406" s="4">
        <f t="shared" si="59"/>
        <v>55624930.510000005</v>
      </c>
      <c r="L406" s="4">
        <f t="shared" si="59"/>
        <v>56459605.999999993</v>
      </c>
      <c r="M406" s="4">
        <f t="shared" si="59"/>
        <v>57355537.299999997</v>
      </c>
      <c r="N406" s="4">
        <f t="shared" si="59"/>
        <v>58254318.559999995</v>
      </c>
      <c r="O406" s="4">
        <f t="shared" si="59"/>
        <v>59042688.969999999</v>
      </c>
      <c r="P406" s="4">
        <f t="shared" si="59"/>
        <v>54642889.737083338</v>
      </c>
      <c r="S406" s="4"/>
    </row>
    <row r="407" spans="1:19" x14ac:dyDescent="0.3">
      <c r="A407" s="470"/>
      <c r="B407" s="8" t="s">
        <v>28</v>
      </c>
      <c r="C407" s="4">
        <f>+C346</f>
        <v>437351</v>
      </c>
      <c r="D407" s="4">
        <f t="shared" ref="D407:P408" si="60">+D346</f>
        <v>437351</v>
      </c>
      <c r="E407" s="4">
        <f t="shared" si="60"/>
        <v>437351</v>
      </c>
      <c r="F407" s="4">
        <f t="shared" si="60"/>
        <v>437351</v>
      </c>
      <c r="G407" s="4">
        <f t="shared" si="60"/>
        <v>437351</v>
      </c>
      <c r="H407" s="4">
        <f t="shared" si="60"/>
        <v>437351</v>
      </c>
      <c r="I407" s="4">
        <f t="shared" si="60"/>
        <v>437351</v>
      </c>
      <c r="J407" s="4">
        <f t="shared" si="60"/>
        <v>437351</v>
      </c>
      <c r="K407" s="4">
        <f t="shared" si="60"/>
        <v>437351</v>
      </c>
      <c r="L407" s="4">
        <f t="shared" si="60"/>
        <v>437351</v>
      </c>
      <c r="M407" s="4">
        <f t="shared" si="60"/>
        <v>437351</v>
      </c>
      <c r="N407" s="4">
        <f t="shared" si="60"/>
        <v>437351</v>
      </c>
      <c r="O407" s="4">
        <f t="shared" si="60"/>
        <v>437351</v>
      </c>
      <c r="P407" s="4">
        <f t="shared" si="60"/>
        <v>437351</v>
      </c>
      <c r="S407" s="4"/>
    </row>
    <row r="408" spans="1:19" x14ac:dyDescent="0.3">
      <c r="A408" s="470"/>
      <c r="B408" s="8" t="s">
        <v>284</v>
      </c>
      <c r="C408" s="4">
        <f>+C347</f>
        <v>10343506.77</v>
      </c>
      <c r="D408" s="4">
        <f t="shared" si="60"/>
        <v>10441220.700000001</v>
      </c>
      <c r="E408" s="4">
        <f t="shared" si="60"/>
        <v>10538947.040000001</v>
      </c>
      <c r="F408" s="4">
        <f t="shared" si="60"/>
        <v>10636914.34</v>
      </c>
      <c r="G408" s="4">
        <f t="shared" si="60"/>
        <v>10735124.210000001</v>
      </c>
      <c r="H408" s="4">
        <f t="shared" si="60"/>
        <v>10833342.069999998</v>
      </c>
      <c r="I408" s="4">
        <f t="shared" si="60"/>
        <v>10931562.66</v>
      </c>
      <c r="J408" s="4">
        <f t="shared" si="60"/>
        <v>11029786.49</v>
      </c>
      <c r="K408" s="4">
        <f t="shared" si="60"/>
        <v>11128004.02</v>
      </c>
      <c r="L408" s="4">
        <f t="shared" si="60"/>
        <v>11226260.76</v>
      </c>
      <c r="M408" s="4">
        <f t="shared" si="60"/>
        <v>11324566.17</v>
      </c>
      <c r="N408" s="4">
        <f t="shared" si="60"/>
        <v>11422882.860000001</v>
      </c>
      <c r="O408" s="4">
        <f t="shared" si="60"/>
        <v>11521247.91</v>
      </c>
      <c r="P408" s="4">
        <f t="shared" si="60"/>
        <v>10931749.055000002</v>
      </c>
      <c r="S408" s="4"/>
    </row>
    <row r="409" spans="1:19" x14ac:dyDescent="0.3">
      <c r="A409" s="470"/>
      <c r="B409" s="161" t="s">
        <v>285</v>
      </c>
      <c r="C409" s="4">
        <f>SUM(C317:C322,C277:C310)</f>
        <v>136434080.39999995</v>
      </c>
      <c r="D409" s="4">
        <f t="shared" ref="D409:P409" si="61">SUM(D317:D322,D277:D310)</f>
        <v>137060612.74000001</v>
      </c>
      <c r="E409" s="4">
        <f t="shared" si="61"/>
        <v>137688203.49999997</v>
      </c>
      <c r="F409" s="4">
        <f t="shared" si="61"/>
        <v>135042843.80999997</v>
      </c>
      <c r="G409" s="4">
        <f t="shared" si="61"/>
        <v>135668643.35999995</v>
      </c>
      <c r="H409" s="4">
        <f t="shared" si="61"/>
        <v>136299148.41999999</v>
      </c>
      <c r="I409" s="4">
        <f t="shared" si="61"/>
        <v>136931900.08000007</v>
      </c>
      <c r="J409" s="4">
        <f t="shared" si="61"/>
        <v>137565119.33999994</v>
      </c>
      <c r="K409" s="4">
        <f t="shared" si="61"/>
        <v>138197975.22</v>
      </c>
      <c r="L409" s="4">
        <f t="shared" si="61"/>
        <v>138833127.83999994</v>
      </c>
      <c r="M409" s="4">
        <f t="shared" si="61"/>
        <v>139469792.33999997</v>
      </c>
      <c r="N409" s="4">
        <f t="shared" si="61"/>
        <v>140106457.91000003</v>
      </c>
      <c r="O409" s="4">
        <f t="shared" si="61"/>
        <v>140744214.84</v>
      </c>
      <c r="P409" s="4">
        <f t="shared" si="61"/>
        <v>137621081.01499999</v>
      </c>
      <c r="S409" s="4"/>
    </row>
    <row r="410" spans="1:19" x14ac:dyDescent="0.3">
      <c r="A410" s="470"/>
      <c r="B410" s="161" t="s">
        <v>286</v>
      </c>
      <c r="C410" s="4">
        <f t="shared" ref="C410:P410" si="62">+C311+C312</f>
        <v>2123803.83</v>
      </c>
      <c r="D410" s="4">
        <f t="shared" si="62"/>
        <v>2126448.2999999998</v>
      </c>
      <c r="E410" s="4">
        <f t="shared" si="62"/>
        <v>2129092.7800000003</v>
      </c>
      <c r="F410" s="4">
        <f t="shared" si="62"/>
        <v>2131737.2400000002</v>
      </c>
      <c r="G410" s="4">
        <f t="shared" si="62"/>
        <v>2134381.66</v>
      </c>
      <c r="H410" s="4">
        <f t="shared" si="62"/>
        <v>2137026.17</v>
      </c>
      <c r="I410" s="4">
        <f t="shared" si="62"/>
        <v>2139670.6100000003</v>
      </c>
      <c r="J410" s="4">
        <f t="shared" si="62"/>
        <v>2142315.0499999998</v>
      </c>
      <c r="K410" s="4">
        <f t="shared" si="62"/>
        <v>2144959.4699999997</v>
      </c>
      <c r="L410" s="4">
        <f t="shared" si="62"/>
        <v>2147603.98</v>
      </c>
      <c r="M410" s="4">
        <f t="shared" si="62"/>
        <v>2150248.4299999997</v>
      </c>
      <c r="N410" s="4">
        <f t="shared" si="62"/>
        <v>2152892.8899999997</v>
      </c>
      <c r="O410" s="4">
        <f t="shared" si="62"/>
        <v>2155537.31</v>
      </c>
      <c r="P410" s="4">
        <f t="shared" si="62"/>
        <v>2139670.5958333332</v>
      </c>
      <c r="S410" s="4"/>
    </row>
    <row r="411" spans="1:19" x14ac:dyDescent="0.3">
      <c r="A411" s="470"/>
      <c r="B411" s="16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S411" s="4"/>
    </row>
    <row r="412" spans="1:19" x14ac:dyDescent="0.3">
      <c r="A412" s="470"/>
      <c r="B412" s="161" t="s">
        <v>289</v>
      </c>
      <c r="C412" s="4">
        <f>SUM(C401:C411)</f>
        <v>1292316310.7799997</v>
      </c>
      <c r="D412" s="4">
        <f t="shared" ref="D412:P412" si="63">SUM(D401:D411)</f>
        <v>1294009828.6899998</v>
      </c>
      <c r="E412" s="4">
        <f t="shared" si="63"/>
        <v>1300006940.9200001</v>
      </c>
      <c r="F412" s="4">
        <f t="shared" si="63"/>
        <v>1302494942.1199999</v>
      </c>
      <c r="G412" s="4">
        <f t="shared" si="63"/>
        <v>1308000282.25</v>
      </c>
      <c r="H412" s="4">
        <f t="shared" si="63"/>
        <v>1313405130.01</v>
      </c>
      <c r="I412" s="4">
        <f t="shared" si="63"/>
        <v>1318881623.1500001</v>
      </c>
      <c r="J412" s="4">
        <f t="shared" si="63"/>
        <v>1324629001.3799999</v>
      </c>
      <c r="K412" s="4">
        <f t="shared" si="63"/>
        <v>1330290357.3300002</v>
      </c>
      <c r="L412" s="4">
        <f t="shared" si="63"/>
        <v>1335646120.4700003</v>
      </c>
      <c r="M412" s="4">
        <f t="shared" si="63"/>
        <v>1340792585.5</v>
      </c>
      <c r="N412" s="4">
        <f t="shared" si="63"/>
        <v>1346280072.8600001</v>
      </c>
      <c r="O412" s="4">
        <f t="shared" si="63"/>
        <v>1352312412.8099999</v>
      </c>
      <c r="P412" s="4">
        <f t="shared" si="63"/>
        <v>1319729270.5395837</v>
      </c>
      <c r="S412" s="4"/>
    </row>
    <row r="413" spans="1:19" x14ac:dyDescent="0.3">
      <c r="A413" s="161"/>
      <c r="B413" s="8"/>
      <c r="C413" s="4">
        <f t="shared" ref="C413:P413" si="64">+C412-C369</f>
        <v>0</v>
      </c>
      <c r="D413" s="4">
        <f t="shared" si="64"/>
        <v>0</v>
      </c>
      <c r="E413" s="4">
        <f t="shared" si="64"/>
        <v>0</v>
      </c>
      <c r="F413" s="4">
        <f t="shared" si="64"/>
        <v>0</v>
      </c>
      <c r="G413" s="4">
        <f t="shared" si="64"/>
        <v>0</v>
      </c>
      <c r="H413" s="4">
        <f t="shared" si="64"/>
        <v>0</v>
      </c>
      <c r="I413" s="4">
        <f t="shared" si="64"/>
        <v>0</v>
      </c>
      <c r="J413" s="4">
        <f t="shared" si="64"/>
        <v>0</v>
      </c>
      <c r="K413" s="4">
        <f t="shared" si="64"/>
        <v>0</v>
      </c>
      <c r="L413" s="4">
        <f t="shared" si="64"/>
        <v>0</v>
      </c>
      <c r="M413" s="4">
        <f t="shared" si="64"/>
        <v>0</v>
      </c>
      <c r="N413" s="4">
        <f t="shared" si="64"/>
        <v>0</v>
      </c>
      <c r="O413" s="4">
        <f t="shared" si="64"/>
        <v>0</v>
      </c>
      <c r="P413" s="4">
        <f t="shared" si="64"/>
        <v>0</v>
      </c>
    </row>
    <row r="415" spans="1:19" x14ac:dyDescent="0.3"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9" x14ac:dyDescent="0.3"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3:16" x14ac:dyDescent="0.3"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3:16" x14ac:dyDescent="0.3"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3:16" x14ac:dyDescent="0.3"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3:16" x14ac:dyDescent="0.3"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3:16" x14ac:dyDescent="0.3"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3:16" x14ac:dyDescent="0.3"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3:16" x14ac:dyDescent="0.3"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3:16" x14ac:dyDescent="0.3"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3:16" x14ac:dyDescent="0.3">
      <c r="C425" s="1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="85" zoomScaleNormal="85" workbookViewId="0">
      <selection activeCell="B2" sqref="B2"/>
    </sheetView>
  </sheetViews>
  <sheetFormatPr defaultRowHeight="14.4" x14ac:dyDescent="0.3"/>
  <cols>
    <col min="1" max="1" width="5.6640625" customWidth="1"/>
    <col min="2" max="2" width="56.6640625" customWidth="1"/>
    <col min="3" max="7" width="14.6640625" customWidth="1"/>
    <col min="8" max="8" width="14.6640625" style="7" customWidth="1"/>
    <col min="9" max="9" width="36.6640625" customWidth="1"/>
    <col min="10" max="10" width="14.6640625" customWidth="1"/>
    <col min="11" max="11" width="14.6640625" style="4" customWidth="1"/>
    <col min="12" max="13" width="14.6640625" customWidth="1"/>
  </cols>
  <sheetData>
    <row r="1" spans="1:16" ht="18" x14ac:dyDescent="0.35">
      <c r="B1" s="301" t="s">
        <v>2252</v>
      </c>
      <c r="P1" t="s">
        <v>2253</v>
      </c>
    </row>
    <row r="2" spans="1:16" x14ac:dyDescent="0.3">
      <c r="B2" s="8"/>
      <c r="P2" s="9" t="s">
        <v>1904</v>
      </c>
    </row>
    <row r="3" spans="1:16" x14ac:dyDescent="0.3">
      <c r="P3" s="9" t="s">
        <v>2254</v>
      </c>
    </row>
    <row r="4" spans="1:16" ht="43.2" x14ac:dyDescent="0.3">
      <c r="B4" s="302" t="s">
        <v>2255</v>
      </c>
      <c r="C4" s="302" t="s">
        <v>2256</v>
      </c>
      <c r="D4" s="302" t="s">
        <v>2257</v>
      </c>
      <c r="E4" s="302" t="s">
        <v>2258</v>
      </c>
      <c r="F4" s="302" t="s">
        <v>2259</v>
      </c>
      <c r="G4" s="302" t="s">
        <v>2260</v>
      </c>
      <c r="H4" s="303" t="s">
        <v>2261</v>
      </c>
      <c r="I4" s="302" t="s">
        <v>2262</v>
      </c>
      <c r="J4" s="302" t="s">
        <v>2263</v>
      </c>
      <c r="K4" s="302" t="s">
        <v>2264</v>
      </c>
      <c r="L4" s="302" t="s">
        <v>2265</v>
      </c>
      <c r="M4" s="302" t="s">
        <v>306</v>
      </c>
      <c r="P4" s="9" t="s">
        <v>1906</v>
      </c>
    </row>
    <row r="5" spans="1:16" x14ac:dyDescent="0.3">
      <c r="B5" s="304"/>
      <c r="C5" s="304"/>
      <c r="D5" s="304"/>
      <c r="E5" s="304"/>
      <c r="F5" s="304"/>
      <c r="G5" s="304"/>
      <c r="H5" s="305"/>
      <c r="I5" s="304"/>
      <c r="J5" s="304"/>
      <c r="K5" s="304"/>
      <c r="L5" s="304"/>
      <c r="M5" s="304"/>
      <c r="P5" s="9" t="s">
        <v>1907</v>
      </c>
    </row>
    <row r="6" spans="1:16" x14ac:dyDescent="0.3">
      <c r="A6" s="84">
        <v>1</v>
      </c>
      <c r="B6" s="306" t="s">
        <v>2266</v>
      </c>
      <c r="C6" s="168">
        <v>1305928.04587889</v>
      </c>
      <c r="D6" s="4">
        <v>52229.313766414198</v>
      </c>
      <c r="E6" s="4">
        <f>+C6+D6</f>
        <v>1358157.3596453043</v>
      </c>
      <c r="F6" s="162" t="s">
        <v>2267</v>
      </c>
      <c r="G6" s="164">
        <v>0.10419999999999996</v>
      </c>
      <c r="H6" s="168">
        <f>+E6*G6</f>
        <v>141519.99687504064</v>
      </c>
      <c r="I6" t="s">
        <v>2268</v>
      </c>
      <c r="J6" s="219">
        <v>0.5</v>
      </c>
      <c r="K6" s="4">
        <f>+J6*H6</f>
        <v>70759.99843752032</v>
      </c>
      <c r="L6" s="164">
        <v>4.3299999999999998E-2</v>
      </c>
      <c r="M6" s="4">
        <f>+K6*L6</f>
        <v>3063.9079323446299</v>
      </c>
      <c r="N6" t="str">
        <f>LEFT(I6,O6)</f>
        <v>361</v>
      </c>
      <c r="O6" s="171">
        <v>3</v>
      </c>
      <c r="P6" s="9" t="s">
        <v>1908</v>
      </c>
    </row>
    <row r="7" spans="1:16" x14ac:dyDescent="0.3">
      <c r="A7" s="84"/>
      <c r="B7" s="306"/>
      <c r="C7" s="168"/>
      <c r="D7" s="4"/>
      <c r="E7" s="4"/>
      <c r="F7" s="162"/>
      <c r="G7" s="164"/>
      <c r="H7" s="168"/>
      <c r="I7" t="s">
        <v>2269</v>
      </c>
      <c r="J7" s="219">
        <v>0.5</v>
      </c>
      <c r="K7" s="4">
        <f>+J7*H6</f>
        <v>70759.99843752032</v>
      </c>
      <c r="L7" s="164">
        <v>3.0899999999999997E-2</v>
      </c>
      <c r="M7" s="4">
        <f t="shared" ref="M7:M30" si="0">+K7*L7</f>
        <v>2186.4839517193777</v>
      </c>
      <c r="N7" t="str">
        <f t="shared" ref="N7:N30" si="1">LEFT(I7,O7)</f>
        <v>363.2</v>
      </c>
      <c r="O7" s="171">
        <v>5</v>
      </c>
    </row>
    <row r="8" spans="1:16" x14ac:dyDescent="0.3">
      <c r="A8" s="84">
        <f>+A6+1</f>
        <v>2</v>
      </c>
      <c r="B8" s="306" t="s">
        <v>2270</v>
      </c>
      <c r="C8" s="168">
        <v>3873014.97</v>
      </c>
      <c r="D8" s="4">
        <v>7000</v>
      </c>
      <c r="E8" s="4">
        <f t="shared" ref="E8:E29" si="2">+C8+D8</f>
        <v>3880014.97</v>
      </c>
      <c r="F8" s="162" t="s">
        <v>308</v>
      </c>
      <c r="G8" s="164">
        <v>0.11209999999999998</v>
      </c>
      <c r="H8" s="168">
        <f t="shared" ref="H8:H29" si="3">+E8*G8</f>
        <v>434949.67813699995</v>
      </c>
      <c r="I8" t="s">
        <v>2271</v>
      </c>
      <c r="J8" s="219">
        <v>1</v>
      </c>
      <c r="K8" s="4">
        <f>+H8*J8</f>
        <v>434949.67813699995</v>
      </c>
      <c r="L8" s="164">
        <v>2.2700000000000001E-2</v>
      </c>
      <c r="M8" s="4">
        <f t="shared" si="0"/>
        <v>9873.3576937098987</v>
      </c>
      <c r="N8" t="str">
        <f t="shared" si="1"/>
        <v>390</v>
      </c>
      <c r="O8" s="171">
        <v>3</v>
      </c>
    </row>
    <row r="9" spans="1:16" x14ac:dyDescent="0.3">
      <c r="A9" s="84">
        <f>+A8+1</f>
        <v>3</v>
      </c>
      <c r="B9" s="306" t="s">
        <v>2272</v>
      </c>
      <c r="C9" s="168">
        <v>6722861.7700000005</v>
      </c>
      <c r="D9" s="4">
        <v>18000</v>
      </c>
      <c r="E9" s="4">
        <f t="shared" si="2"/>
        <v>6740861.7700000005</v>
      </c>
      <c r="F9" s="162" t="s">
        <v>2273</v>
      </c>
      <c r="G9" s="164">
        <v>1</v>
      </c>
      <c r="H9" s="168">
        <f t="shared" si="3"/>
        <v>6740861.7700000005</v>
      </c>
      <c r="I9" t="s">
        <v>2274</v>
      </c>
      <c r="J9" s="219">
        <v>0.85</v>
      </c>
      <c r="K9" s="4">
        <f>+H9*J9</f>
        <v>5729732.5044999998</v>
      </c>
      <c r="L9" s="164">
        <v>1.8799999999999997E-2</v>
      </c>
      <c r="M9" s="4">
        <f t="shared" si="0"/>
        <v>107718.97108459998</v>
      </c>
      <c r="N9" t="str">
        <f t="shared" si="1"/>
        <v>367</v>
      </c>
      <c r="O9" s="171">
        <v>3</v>
      </c>
    </row>
    <row r="10" spans="1:16" x14ac:dyDescent="0.3">
      <c r="A10" s="84"/>
      <c r="B10" s="306"/>
      <c r="C10" s="168"/>
      <c r="D10" s="4"/>
      <c r="E10" s="4"/>
      <c r="F10" s="162"/>
      <c r="G10" s="164"/>
      <c r="H10" s="168"/>
      <c r="I10" t="s">
        <v>2275</v>
      </c>
      <c r="J10" s="219">
        <v>0.05</v>
      </c>
      <c r="K10" s="4">
        <f>+H9*J10</f>
        <v>337043.08850000007</v>
      </c>
      <c r="L10" s="164">
        <v>2.5399999999999999E-2</v>
      </c>
      <c r="M10" s="4">
        <f t="shared" si="0"/>
        <v>8560.894447900002</v>
      </c>
      <c r="N10" t="str">
        <f t="shared" si="1"/>
        <v>376.11</v>
      </c>
      <c r="O10" s="171">
        <v>6</v>
      </c>
    </row>
    <row r="11" spans="1:16" x14ac:dyDescent="0.3">
      <c r="A11" s="84"/>
      <c r="B11" s="306"/>
      <c r="C11" s="168"/>
      <c r="D11" s="4"/>
      <c r="E11" s="4"/>
      <c r="F11" s="162"/>
      <c r="G11" s="164"/>
      <c r="H11" s="168"/>
      <c r="I11" t="s">
        <v>2276</v>
      </c>
      <c r="J11" s="219">
        <v>0.1</v>
      </c>
      <c r="K11" s="4">
        <f>+H9*J11</f>
        <v>674086.17700000014</v>
      </c>
      <c r="L11" s="164">
        <v>2.3199999999999998E-2</v>
      </c>
      <c r="M11" s="4">
        <f t="shared" si="0"/>
        <v>15638.799306400002</v>
      </c>
      <c r="N11" t="str">
        <f t="shared" si="1"/>
        <v>376.12</v>
      </c>
      <c r="O11" s="171">
        <v>6</v>
      </c>
    </row>
    <row r="12" spans="1:16" x14ac:dyDescent="0.3">
      <c r="A12" s="84">
        <f>+A9+1</f>
        <v>4</v>
      </c>
      <c r="B12" s="306" t="s">
        <v>2277</v>
      </c>
      <c r="C12" s="168">
        <v>4983463.28</v>
      </c>
      <c r="D12" s="4">
        <v>0</v>
      </c>
      <c r="E12" s="4">
        <f t="shared" si="2"/>
        <v>4983463.28</v>
      </c>
      <c r="F12" s="162" t="s">
        <v>2267</v>
      </c>
      <c r="G12" s="164">
        <f>+G6</f>
        <v>0.10419999999999996</v>
      </c>
      <c r="H12" s="168">
        <f t="shared" si="3"/>
        <v>519276.87377599982</v>
      </c>
      <c r="I12" t="s">
        <v>2278</v>
      </c>
      <c r="J12" s="219">
        <v>0.25</v>
      </c>
      <c r="K12" s="4">
        <f>+H12*J12</f>
        <v>129819.21844399995</v>
      </c>
      <c r="L12" s="164">
        <v>3.7900000000000003E-2</v>
      </c>
      <c r="M12" s="4">
        <f t="shared" si="0"/>
        <v>4920.1483790275988</v>
      </c>
      <c r="N12" t="str">
        <f t="shared" si="1"/>
        <v>361</v>
      </c>
      <c r="O12" s="171">
        <v>3</v>
      </c>
    </row>
    <row r="13" spans="1:16" x14ac:dyDescent="0.3">
      <c r="A13" s="84"/>
      <c r="B13" s="306"/>
      <c r="C13" s="168"/>
      <c r="D13" s="4"/>
      <c r="E13" s="4"/>
      <c r="F13" s="162"/>
      <c r="G13" s="164"/>
      <c r="H13" s="168"/>
      <c r="I13" t="s">
        <v>2279</v>
      </c>
      <c r="J13" s="219">
        <v>0.25</v>
      </c>
      <c r="K13" s="4">
        <f>+H12*J13</f>
        <v>129819.21844399995</v>
      </c>
      <c r="L13" s="164">
        <v>2.58E-2</v>
      </c>
      <c r="M13" s="4">
        <f t="shared" si="0"/>
        <v>3349.3358358551986</v>
      </c>
      <c r="N13" t="str">
        <f t="shared" si="1"/>
        <v>362</v>
      </c>
      <c r="O13" s="171">
        <v>3</v>
      </c>
    </row>
    <row r="14" spans="1:16" x14ac:dyDescent="0.3">
      <c r="A14" s="84"/>
      <c r="B14" s="306"/>
      <c r="C14" s="168"/>
      <c r="D14" s="4"/>
      <c r="E14" s="4"/>
      <c r="F14" s="162"/>
      <c r="G14" s="164"/>
      <c r="H14" s="168"/>
      <c r="I14" t="s">
        <v>2280</v>
      </c>
      <c r="J14" s="219">
        <v>0.25</v>
      </c>
      <c r="K14" s="4">
        <f>+H12*J14</f>
        <v>129819.21844399995</v>
      </c>
      <c r="L14" s="164">
        <v>1.3100000000000001E-2</v>
      </c>
      <c r="M14" s="4">
        <f t="shared" si="0"/>
        <v>1700.6317616163994</v>
      </c>
      <c r="N14" t="str">
        <f t="shared" si="1"/>
        <v>363.1</v>
      </c>
      <c r="O14" s="171">
        <v>5</v>
      </c>
    </row>
    <row r="15" spans="1:16" x14ac:dyDescent="0.3">
      <c r="A15" s="84"/>
      <c r="B15" s="306"/>
      <c r="C15" s="168"/>
      <c r="D15" s="4"/>
      <c r="E15" s="4"/>
      <c r="F15" s="162"/>
      <c r="G15" s="164"/>
      <c r="H15" s="168"/>
      <c r="I15" t="s">
        <v>2281</v>
      </c>
      <c r="J15" s="219">
        <v>0.25</v>
      </c>
      <c r="K15" s="4">
        <f>+H12*J15</f>
        <v>129819.21844399995</v>
      </c>
      <c r="L15" s="164">
        <v>4.6999999999999993E-3</v>
      </c>
      <c r="M15" s="4">
        <f t="shared" si="0"/>
        <v>610.15032668679964</v>
      </c>
      <c r="N15" t="str">
        <f t="shared" si="1"/>
        <v>363.2</v>
      </c>
      <c r="O15" s="171">
        <v>5</v>
      </c>
    </row>
    <row r="16" spans="1:16" x14ac:dyDescent="0.3">
      <c r="A16" s="84">
        <f>+A12+1</f>
        <v>5</v>
      </c>
      <c r="B16" s="306" t="s">
        <v>2282</v>
      </c>
      <c r="C16" s="168">
        <v>1788678.89</v>
      </c>
      <c r="D16" s="4">
        <v>11000</v>
      </c>
      <c r="E16" s="4">
        <f t="shared" si="2"/>
        <v>1799678.89</v>
      </c>
      <c r="F16" s="162" t="s">
        <v>2267</v>
      </c>
      <c r="G16" s="164">
        <f>+G12</f>
        <v>0.10419999999999996</v>
      </c>
      <c r="H16" s="168">
        <f t="shared" si="3"/>
        <v>187526.5403379999</v>
      </c>
      <c r="I16" t="s">
        <v>2268</v>
      </c>
      <c r="J16" s="219">
        <v>0.5</v>
      </c>
      <c r="K16" s="4">
        <f>+J16*H16</f>
        <v>93763.270168999952</v>
      </c>
      <c r="L16" s="164">
        <f>+L6</f>
        <v>4.3299999999999998E-2</v>
      </c>
      <c r="M16" s="4">
        <f t="shared" si="0"/>
        <v>4059.9495983176976</v>
      </c>
      <c r="N16" t="str">
        <f t="shared" si="1"/>
        <v>361</v>
      </c>
      <c r="O16" s="171">
        <v>3</v>
      </c>
    </row>
    <row r="17" spans="1:15" x14ac:dyDescent="0.3">
      <c r="A17" s="84"/>
      <c r="B17" s="306"/>
      <c r="C17" s="168"/>
      <c r="D17" s="4"/>
      <c r="E17" s="4"/>
      <c r="F17" s="162"/>
      <c r="G17" s="164"/>
      <c r="H17" s="168"/>
      <c r="I17" t="s">
        <v>2269</v>
      </c>
      <c r="J17" s="219">
        <v>0.5</v>
      </c>
      <c r="K17" s="4">
        <f>+J17*H16</f>
        <v>93763.270168999952</v>
      </c>
      <c r="L17" s="164">
        <f>+L7</f>
        <v>3.0899999999999997E-2</v>
      </c>
      <c r="M17" s="4">
        <f t="shared" si="0"/>
        <v>2897.2850482220983</v>
      </c>
      <c r="N17" t="str">
        <f t="shared" si="1"/>
        <v>363.2</v>
      </c>
      <c r="O17" s="171">
        <v>5</v>
      </c>
    </row>
    <row r="18" spans="1:15" x14ac:dyDescent="0.3">
      <c r="A18" s="84">
        <f>+A16+1</f>
        <v>6</v>
      </c>
      <c r="B18" s="306" t="s">
        <v>2283</v>
      </c>
      <c r="C18" s="168">
        <v>1586317.8800000001</v>
      </c>
      <c r="D18" s="4">
        <v>11000</v>
      </c>
      <c r="E18" s="4">
        <f t="shared" si="2"/>
        <v>1597317.8800000001</v>
      </c>
      <c r="F18" s="162" t="s">
        <v>2267</v>
      </c>
      <c r="G18" s="164">
        <f>+G16</f>
        <v>0.10419999999999996</v>
      </c>
      <c r="H18" s="168">
        <f t="shared" si="3"/>
        <v>166440.52309599996</v>
      </c>
      <c r="I18" t="s">
        <v>2268</v>
      </c>
      <c r="J18" s="219">
        <v>0.5</v>
      </c>
      <c r="K18" s="4">
        <f>+J18*H18</f>
        <v>83220.26154799998</v>
      </c>
      <c r="L18" s="164">
        <f>+L16</f>
        <v>4.3299999999999998E-2</v>
      </c>
      <c r="M18" s="4">
        <f t="shared" si="0"/>
        <v>3603.4373250283988</v>
      </c>
      <c r="N18" t="str">
        <f t="shared" si="1"/>
        <v>361</v>
      </c>
      <c r="O18" s="171">
        <v>3</v>
      </c>
    </row>
    <row r="19" spans="1:15" x14ac:dyDescent="0.3">
      <c r="A19" s="84"/>
      <c r="B19" s="306"/>
      <c r="C19" s="168"/>
      <c r="D19" s="4"/>
      <c r="E19" s="4"/>
      <c r="F19" s="162"/>
      <c r="G19" s="164"/>
      <c r="H19" s="168"/>
      <c r="I19" t="s">
        <v>2269</v>
      </c>
      <c r="J19" s="219">
        <v>0.5</v>
      </c>
      <c r="K19" s="4">
        <f>+J19*H18</f>
        <v>83220.26154799998</v>
      </c>
      <c r="L19" s="164">
        <f>+L17</f>
        <v>3.0899999999999997E-2</v>
      </c>
      <c r="M19" s="4">
        <f t="shared" si="0"/>
        <v>2571.506081833199</v>
      </c>
      <c r="N19" t="str">
        <f t="shared" si="1"/>
        <v>363.2</v>
      </c>
      <c r="O19" s="171">
        <v>5</v>
      </c>
    </row>
    <row r="20" spans="1:15" x14ac:dyDescent="0.3">
      <c r="A20" s="84">
        <f>+A18+1</f>
        <v>7</v>
      </c>
      <c r="B20" s="7" t="s">
        <v>2284</v>
      </c>
      <c r="C20" s="168">
        <v>1315668.67625954</v>
      </c>
      <c r="D20" s="4">
        <v>0</v>
      </c>
      <c r="E20" s="4">
        <f t="shared" si="2"/>
        <v>1315668.67625954</v>
      </c>
      <c r="F20" s="162" t="s">
        <v>307</v>
      </c>
      <c r="G20" s="164">
        <v>0.11160000000000003</v>
      </c>
      <c r="H20" s="168">
        <f t="shared" si="3"/>
        <v>146828.6242705647</v>
      </c>
      <c r="I20" t="s">
        <v>2285</v>
      </c>
      <c r="J20" s="219">
        <v>1</v>
      </c>
      <c r="K20" s="4">
        <f>+H20*J20</f>
        <v>146828.6242705647</v>
      </c>
      <c r="L20" s="164">
        <v>6.6699999999999995E-2</v>
      </c>
      <c r="M20" s="4">
        <f t="shared" si="0"/>
        <v>9793.4692388466647</v>
      </c>
      <c r="N20" t="str">
        <f t="shared" si="1"/>
        <v>397</v>
      </c>
      <c r="O20" s="171">
        <v>3</v>
      </c>
    </row>
    <row r="21" spans="1:15" x14ac:dyDescent="0.3">
      <c r="A21" s="84">
        <f>+A20+1</f>
        <v>8</v>
      </c>
      <c r="B21" s="7" t="s">
        <v>2286</v>
      </c>
      <c r="C21" s="168">
        <v>1808493.80630333</v>
      </c>
      <c r="D21" s="4">
        <v>0</v>
      </c>
      <c r="E21" s="4">
        <f t="shared" si="2"/>
        <v>1808493.80630333</v>
      </c>
      <c r="F21" s="162" t="s">
        <v>307</v>
      </c>
      <c r="G21" s="164">
        <f>+G20</f>
        <v>0.11160000000000003</v>
      </c>
      <c r="H21" s="168">
        <f t="shared" si="3"/>
        <v>201827.90878345168</v>
      </c>
      <c r="I21" t="s">
        <v>2285</v>
      </c>
      <c r="J21" s="219">
        <v>1</v>
      </c>
      <c r="K21" s="4">
        <f>+H21*J21</f>
        <v>201827.90878345168</v>
      </c>
      <c r="L21" s="164">
        <f>+L20</f>
        <v>6.6699999999999995E-2</v>
      </c>
      <c r="M21" s="4">
        <f t="shared" si="0"/>
        <v>13461.921515856226</v>
      </c>
      <c r="N21" t="str">
        <f t="shared" si="1"/>
        <v>397</v>
      </c>
      <c r="O21" s="171">
        <v>3</v>
      </c>
    </row>
    <row r="22" spans="1:15" x14ac:dyDescent="0.3">
      <c r="A22" s="84">
        <f>+A21+1</f>
        <v>9</v>
      </c>
      <c r="B22" s="306" t="s">
        <v>2287</v>
      </c>
      <c r="C22" s="168">
        <v>4897190</v>
      </c>
      <c r="D22" s="4">
        <v>0</v>
      </c>
      <c r="E22" s="4">
        <f t="shared" si="2"/>
        <v>4897190</v>
      </c>
      <c r="F22" s="162" t="s">
        <v>307</v>
      </c>
      <c r="G22" s="164">
        <f>+G21</f>
        <v>0.11160000000000003</v>
      </c>
      <c r="H22" s="168">
        <f t="shared" si="3"/>
        <v>546526.40400000021</v>
      </c>
      <c r="I22" t="s">
        <v>2288</v>
      </c>
      <c r="J22" s="219">
        <v>0.75</v>
      </c>
      <c r="K22" s="4">
        <f>+J22*H22</f>
        <v>409894.80300000019</v>
      </c>
      <c r="L22" s="164">
        <v>6.7799999999999999E-2</v>
      </c>
      <c r="M22" s="4">
        <f t="shared" si="0"/>
        <v>27790.867643400012</v>
      </c>
      <c r="N22" t="str">
        <f t="shared" si="1"/>
        <v>303.1</v>
      </c>
      <c r="O22" s="171">
        <v>5</v>
      </c>
    </row>
    <row r="23" spans="1:15" x14ac:dyDescent="0.3">
      <c r="A23" s="84"/>
      <c r="B23" s="306"/>
      <c r="C23" s="168"/>
      <c r="D23" s="4"/>
      <c r="E23" s="4"/>
      <c r="F23" s="162"/>
      <c r="G23" s="164"/>
      <c r="H23" s="168"/>
      <c r="I23" t="s">
        <v>2289</v>
      </c>
      <c r="J23" s="219">
        <v>0.25</v>
      </c>
      <c r="K23" s="4">
        <f>+J23*H22</f>
        <v>136631.60100000005</v>
      </c>
      <c r="L23" s="164">
        <v>0.2</v>
      </c>
      <c r="M23" s="4">
        <f t="shared" si="0"/>
        <v>27326.320200000013</v>
      </c>
      <c r="N23" t="str">
        <f t="shared" si="1"/>
        <v>391.2</v>
      </c>
      <c r="O23" s="171">
        <v>5</v>
      </c>
    </row>
    <row r="24" spans="1:15" x14ac:dyDescent="0.3">
      <c r="A24" s="84">
        <f>+A22+1</f>
        <v>10</v>
      </c>
      <c r="B24" s="306" t="s">
        <v>2290</v>
      </c>
      <c r="C24" s="168">
        <v>237875</v>
      </c>
      <c r="D24" s="4">
        <v>0</v>
      </c>
      <c r="E24" s="4">
        <f t="shared" si="2"/>
        <v>237875</v>
      </c>
      <c r="F24" s="162" t="s">
        <v>2273</v>
      </c>
      <c r="G24" s="164">
        <v>1</v>
      </c>
      <c r="H24" s="168">
        <f t="shared" si="3"/>
        <v>237875</v>
      </c>
      <c r="I24" t="s">
        <v>2291</v>
      </c>
      <c r="J24" s="219">
        <v>0.6</v>
      </c>
      <c r="K24" s="4">
        <f>+J24*H24</f>
        <v>142725</v>
      </c>
      <c r="L24" s="164">
        <f>+L14</f>
        <v>1.3100000000000001E-2</v>
      </c>
      <c r="M24" s="4">
        <f t="shared" si="0"/>
        <v>1869.6975</v>
      </c>
      <c r="N24" t="str">
        <f t="shared" si="1"/>
        <v>363.1</v>
      </c>
      <c r="O24" s="171">
        <v>5</v>
      </c>
    </row>
    <row r="25" spans="1:15" x14ac:dyDescent="0.3">
      <c r="A25" s="84"/>
      <c r="B25" s="306"/>
      <c r="C25" s="168"/>
      <c r="D25" s="4"/>
      <c r="E25" s="4"/>
      <c r="F25" s="162"/>
      <c r="G25" s="164"/>
      <c r="H25" s="168"/>
      <c r="I25" t="s">
        <v>2275</v>
      </c>
      <c r="J25" s="219">
        <v>0.4</v>
      </c>
      <c r="K25" s="4">
        <f>+J25*H24</f>
        <v>95150</v>
      </c>
      <c r="L25" s="164">
        <f>+L10</f>
        <v>2.5399999999999999E-2</v>
      </c>
      <c r="M25" s="4">
        <f t="shared" si="0"/>
        <v>2416.81</v>
      </c>
      <c r="N25" t="str">
        <f t="shared" si="1"/>
        <v>376.11</v>
      </c>
      <c r="O25" s="171">
        <v>6</v>
      </c>
    </row>
    <row r="26" spans="1:15" x14ac:dyDescent="0.3">
      <c r="A26" s="84">
        <f>+A24+1</f>
        <v>11</v>
      </c>
      <c r="B26" s="306" t="s">
        <v>2292</v>
      </c>
      <c r="C26" s="168">
        <v>5436107</v>
      </c>
      <c r="D26" s="4">
        <v>0</v>
      </c>
      <c r="E26" s="4">
        <f t="shared" si="2"/>
        <v>5436107</v>
      </c>
      <c r="F26" s="307" t="s">
        <v>308</v>
      </c>
      <c r="G26" s="164">
        <f>+G8</f>
        <v>0.11209999999999998</v>
      </c>
      <c r="H26" s="168">
        <f t="shared" si="3"/>
        <v>609387.5946999999</v>
      </c>
      <c r="I26" t="s">
        <v>2285</v>
      </c>
      <c r="J26" s="219">
        <v>1</v>
      </c>
      <c r="K26" s="4">
        <f>+H26*J26</f>
        <v>609387.5946999999</v>
      </c>
      <c r="L26" s="164">
        <f>+L21</f>
        <v>6.6699999999999995E-2</v>
      </c>
      <c r="M26" s="4">
        <f t="shared" si="0"/>
        <v>40646.152566489989</v>
      </c>
      <c r="N26" t="str">
        <f t="shared" si="1"/>
        <v>397</v>
      </c>
      <c r="O26" s="171">
        <v>3</v>
      </c>
    </row>
    <row r="27" spans="1:15" x14ac:dyDescent="0.3">
      <c r="A27" s="84">
        <f>+A26+1</f>
        <v>12</v>
      </c>
      <c r="B27" s="7" t="s">
        <v>2293</v>
      </c>
      <c r="C27" s="168">
        <v>1311731.56175267</v>
      </c>
      <c r="D27" s="4">
        <v>0</v>
      </c>
      <c r="E27" s="4">
        <f t="shared" si="2"/>
        <v>1311731.56175267</v>
      </c>
      <c r="F27" s="162" t="s">
        <v>2267</v>
      </c>
      <c r="G27" s="164">
        <f>+G18</f>
        <v>0.10419999999999996</v>
      </c>
      <c r="H27" s="168">
        <f t="shared" si="3"/>
        <v>136682.42873462816</v>
      </c>
      <c r="I27" t="s">
        <v>2291</v>
      </c>
      <c r="J27" s="219">
        <v>0.6</v>
      </c>
      <c r="K27" s="4">
        <f>+J27*H27</f>
        <v>82009.457240776901</v>
      </c>
      <c r="L27" s="164">
        <f>+L24</f>
        <v>1.3100000000000001E-2</v>
      </c>
      <c r="M27" s="4">
        <f t="shared" si="0"/>
        <v>1074.3238898541774</v>
      </c>
      <c r="N27" t="str">
        <f t="shared" si="1"/>
        <v>363.1</v>
      </c>
      <c r="O27" s="171">
        <v>5</v>
      </c>
    </row>
    <row r="28" spans="1:15" x14ac:dyDescent="0.3">
      <c r="A28" s="84"/>
      <c r="B28" s="7"/>
      <c r="C28" s="168"/>
      <c r="D28" s="4"/>
      <c r="E28" s="4"/>
      <c r="F28" s="162"/>
      <c r="G28" s="164"/>
      <c r="H28" s="168"/>
      <c r="I28" t="s">
        <v>2275</v>
      </c>
      <c r="J28" s="219">
        <v>0.4</v>
      </c>
      <c r="K28" s="4">
        <f>+J28*H27</f>
        <v>54672.97149385127</v>
      </c>
      <c r="L28" s="164">
        <f>+L25</f>
        <v>2.5399999999999999E-2</v>
      </c>
      <c r="M28" s="4">
        <f t="shared" si="0"/>
        <v>1388.6934759438222</v>
      </c>
      <c r="N28" t="str">
        <f t="shared" si="1"/>
        <v>376.11</v>
      </c>
      <c r="O28" s="171">
        <v>6</v>
      </c>
    </row>
    <row r="29" spans="1:15" x14ac:dyDescent="0.3">
      <c r="A29" s="84">
        <f>+A27+1</f>
        <v>13</v>
      </c>
      <c r="B29" s="7" t="s">
        <v>2294</v>
      </c>
      <c r="C29" s="168">
        <v>1135716.4571085901</v>
      </c>
      <c r="D29" s="4">
        <v>15000</v>
      </c>
      <c r="E29" s="4">
        <f t="shared" si="2"/>
        <v>1150716.4571085901</v>
      </c>
      <c r="F29" s="162" t="s">
        <v>2267</v>
      </c>
      <c r="G29" s="164">
        <f>+G27</f>
        <v>0.10419999999999996</v>
      </c>
      <c r="H29" s="168">
        <f t="shared" si="3"/>
        <v>119904.65483071504</v>
      </c>
      <c r="I29" t="s">
        <v>2291</v>
      </c>
      <c r="J29" s="219">
        <v>0.6</v>
      </c>
      <c r="K29" s="4">
        <f>+J29*H29</f>
        <v>71942.792898429019</v>
      </c>
      <c r="L29" s="164">
        <f>+L27</f>
        <v>1.3100000000000001E-2</v>
      </c>
      <c r="M29" s="4">
        <f t="shared" si="0"/>
        <v>942.45058696942021</v>
      </c>
      <c r="N29" t="str">
        <f t="shared" si="1"/>
        <v>363.1</v>
      </c>
      <c r="O29" s="171">
        <v>5</v>
      </c>
    </row>
    <row r="30" spans="1:15" x14ac:dyDescent="0.3">
      <c r="A30" s="84"/>
      <c r="C30" s="4"/>
      <c r="D30" s="4"/>
      <c r="E30" s="4"/>
      <c r="F30" s="4"/>
      <c r="G30" s="4"/>
      <c r="H30" s="168"/>
      <c r="I30" t="s">
        <v>2275</v>
      </c>
      <c r="J30" s="219">
        <v>0.4</v>
      </c>
      <c r="K30" s="4">
        <f>+J30*H29</f>
        <v>47961.861932286018</v>
      </c>
      <c r="L30" s="164">
        <f>+L28</f>
        <v>2.5399999999999999E-2</v>
      </c>
      <c r="M30" s="4">
        <f t="shared" si="0"/>
        <v>1218.2312930800647</v>
      </c>
      <c r="N30" t="str">
        <f t="shared" si="1"/>
        <v>376.11</v>
      </c>
      <c r="O30" s="171">
        <v>6</v>
      </c>
    </row>
    <row r="31" spans="1:15" x14ac:dyDescent="0.3">
      <c r="C31" s="4"/>
      <c r="D31" s="4"/>
      <c r="E31" s="4"/>
      <c r="F31" s="4"/>
      <c r="G31" s="4"/>
      <c r="H31" s="168"/>
    </row>
    <row r="32" spans="1:15" s="7" customFormat="1" ht="15" thickBot="1" x14ac:dyDescent="0.35">
      <c r="A32" s="127">
        <f>+A29+1</f>
        <v>14</v>
      </c>
      <c r="C32" s="168"/>
      <c r="D32" s="168"/>
      <c r="E32" s="308">
        <f>SUM(E6:E31)</f>
        <v>36517276.651069432</v>
      </c>
      <c r="F32" s="168" t="s">
        <v>2295</v>
      </c>
      <c r="G32" s="168"/>
      <c r="H32" s="308">
        <f>SUM(H6:H31)</f>
        <v>10189607.997541402</v>
      </c>
      <c r="J32" s="7" t="s">
        <v>2296</v>
      </c>
      <c r="M32" s="308">
        <f>SUM(M6:M31)</f>
        <v>298683.79668370174</v>
      </c>
    </row>
    <row r="33" spans="8:8" ht="15" thickTop="1" x14ac:dyDescent="0.3">
      <c r="H33" s="309"/>
    </row>
    <row r="34" spans="8:8" x14ac:dyDescent="0.3">
      <c r="H34" s="309"/>
    </row>
    <row r="35" spans="8:8" x14ac:dyDescent="0.3">
      <c r="H35" s="309"/>
    </row>
    <row r="36" spans="8:8" x14ac:dyDescent="0.3">
      <c r="H36" s="309"/>
    </row>
    <row r="37" spans="8:8" x14ac:dyDescent="0.3">
      <c r="H37" s="309"/>
    </row>
    <row r="38" spans="8:8" x14ac:dyDescent="0.3">
      <c r="H38" s="309"/>
    </row>
    <row r="39" spans="8:8" x14ac:dyDescent="0.3">
      <c r="H39" s="309"/>
    </row>
    <row r="40" spans="8:8" x14ac:dyDescent="0.3">
      <c r="H40" s="309"/>
    </row>
  </sheetData>
  <pageMargins left="0.7" right="0.7" top="0.75" bottom="0.75" header="0.3" footer="0.3"/>
  <pageSetup scale="3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0"/>
  <sheetViews>
    <sheetView zoomScale="85" zoomScaleNormal="85" workbookViewId="0">
      <selection activeCell="E11" sqref="E11"/>
    </sheetView>
  </sheetViews>
  <sheetFormatPr defaultColWidth="9.109375" defaultRowHeight="14.4" x14ac:dyDescent="0.3"/>
  <cols>
    <col min="1" max="1" width="10.88671875" style="127" customWidth="1"/>
    <col min="2" max="2" width="35.5546875" style="7" customWidth="1"/>
    <col min="3" max="3" width="15.5546875" style="168" customWidth="1"/>
    <col min="4" max="5" width="14.5546875" style="7" customWidth="1"/>
    <col min="6" max="6" width="14.5546875" style="168" customWidth="1"/>
    <col min="7" max="7" width="13.5546875" style="7" customWidth="1"/>
    <col min="8" max="8" width="15.109375" style="7" customWidth="1"/>
    <col min="9" max="9" width="12.5546875" style="7" customWidth="1"/>
    <col min="10" max="10" width="15.88671875" style="7" customWidth="1"/>
    <col min="11" max="16384" width="9.109375" style="7"/>
  </cols>
  <sheetData>
    <row r="1" spans="1:7" x14ac:dyDescent="0.3">
      <c r="G1" s="168" t="s">
        <v>1938</v>
      </c>
    </row>
    <row r="2" spans="1:7" x14ac:dyDescent="0.3">
      <c r="G2" s="538" t="s">
        <v>1904</v>
      </c>
    </row>
    <row r="3" spans="1:7" x14ac:dyDescent="0.3">
      <c r="D3" s="667" t="s">
        <v>1939</v>
      </c>
      <c r="E3" s="667" t="s">
        <v>1939</v>
      </c>
      <c r="G3" s="538" t="s">
        <v>1940</v>
      </c>
    </row>
    <row r="4" spans="1:7" x14ac:dyDescent="0.3">
      <c r="C4" s="668" t="s">
        <v>276</v>
      </c>
      <c r="D4" s="669" t="s">
        <v>1941</v>
      </c>
      <c r="E4" s="669" t="s">
        <v>1942</v>
      </c>
      <c r="G4" s="538" t="s">
        <v>1906</v>
      </c>
    </row>
    <row r="5" spans="1:7" x14ac:dyDescent="0.3">
      <c r="A5" s="127" t="s">
        <v>146</v>
      </c>
      <c r="E5" s="152"/>
      <c r="G5" s="538" t="s">
        <v>1907</v>
      </c>
    </row>
    <row r="6" spans="1:7" x14ac:dyDescent="0.3">
      <c r="E6" s="152"/>
      <c r="G6" s="538" t="s">
        <v>1908</v>
      </c>
    </row>
    <row r="7" spans="1:7" x14ac:dyDescent="0.3">
      <c r="A7" s="127">
        <v>301</v>
      </c>
      <c r="B7" s="7" t="s">
        <v>323</v>
      </c>
      <c r="C7" s="168">
        <f>+C132+C257</f>
        <v>1174</v>
      </c>
      <c r="E7" s="152">
        <f t="shared" ref="E7:E70" si="0">+E132+E257</f>
        <v>0</v>
      </c>
      <c r="F7" s="670"/>
    </row>
    <row r="8" spans="1:7" x14ac:dyDescent="0.3">
      <c r="A8" s="127">
        <v>302</v>
      </c>
      <c r="B8" s="7" t="s">
        <v>324</v>
      </c>
      <c r="C8" s="168">
        <f t="shared" ref="C8:C71" si="1">+C133+C258</f>
        <v>83621.27</v>
      </c>
      <c r="E8" s="152">
        <f t="shared" si="0"/>
        <v>0</v>
      </c>
      <c r="F8" s="670"/>
    </row>
    <row r="9" spans="1:7" x14ac:dyDescent="0.3">
      <c r="A9" s="127">
        <v>303.10000000000002</v>
      </c>
      <c r="B9" s="7" t="s">
        <v>348</v>
      </c>
      <c r="C9" s="168">
        <f t="shared" si="1"/>
        <v>68369532.019583344</v>
      </c>
      <c r="E9" s="168">
        <f t="shared" si="0"/>
        <v>4635454.2709277505</v>
      </c>
      <c r="F9" s="670"/>
    </row>
    <row r="10" spans="1:7" x14ac:dyDescent="0.3">
      <c r="A10" s="127">
        <v>303.2</v>
      </c>
      <c r="B10" s="7" t="s">
        <v>325</v>
      </c>
      <c r="C10" s="168">
        <f t="shared" si="1"/>
        <v>32348167.730000004</v>
      </c>
      <c r="E10" s="168">
        <f t="shared" si="0"/>
        <v>0</v>
      </c>
      <c r="F10" s="670"/>
    </row>
    <row r="11" spans="1:7" x14ac:dyDescent="0.3">
      <c r="A11" s="127">
        <v>303.3</v>
      </c>
      <c r="B11" s="7" t="s">
        <v>349</v>
      </c>
      <c r="C11" s="168">
        <f t="shared" si="1"/>
        <v>4146951</v>
      </c>
      <c r="E11" s="168">
        <f t="shared" si="0"/>
        <v>0</v>
      </c>
      <c r="F11" s="670"/>
    </row>
    <row r="12" spans="1:7" x14ac:dyDescent="0.3">
      <c r="A12" s="127">
        <v>303.39999999999998</v>
      </c>
      <c r="B12" s="7" t="s">
        <v>350</v>
      </c>
      <c r="C12" s="168">
        <f t="shared" si="1"/>
        <v>682892.54999999993</v>
      </c>
      <c r="E12" s="168">
        <f t="shared" si="0"/>
        <v>0</v>
      </c>
      <c r="F12" s="670"/>
    </row>
    <row r="13" spans="1:7" x14ac:dyDescent="0.3">
      <c r="A13" s="127">
        <v>303.5</v>
      </c>
      <c r="B13" s="7" t="s">
        <v>351</v>
      </c>
      <c r="C13" s="168">
        <f t="shared" si="1"/>
        <v>0</v>
      </c>
      <c r="E13" s="168">
        <f t="shared" si="0"/>
        <v>0</v>
      </c>
      <c r="F13" s="670"/>
    </row>
    <row r="14" spans="1:7" x14ac:dyDescent="0.3">
      <c r="A14" s="127">
        <v>304.10000000000002</v>
      </c>
      <c r="B14" s="7" t="s">
        <v>327</v>
      </c>
      <c r="C14" s="168">
        <f t="shared" si="1"/>
        <v>24998</v>
      </c>
      <c r="E14" s="152">
        <f t="shared" si="0"/>
        <v>0</v>
      </c>
      <c r="F14" s="670"/>
    </row>
    <row r="15" spans="1:7" x14ac:dyDescent="0.3">
      <c r="A15" s="127">
        <v>305.2</v>
      </c>
      <c r="B15" s="7" t="s">
        <v>352</v>
      </c>
      <c r="C15" s="168">
        <f t="shared" si="1"/>
        <v>0</v>
      </c>
      <c r="E15" s="152">
        <f t="shared" si="0"/>
        <v>0</v>
      </c>
      <c r="F15" s="670"/>
    </row>
    <row r="16" spans="1:7" x14ac:dyDescent="0.3">
      <c r="A16" s="127">
        <v>305.5</v>
      </c>
      <c r="B16" s="7" t="s">
        <v>353</v>
      </c>
      <c r="C16" s="168">
        <f t="shared" si="1"/>
        <v>13156</v>
      </c>
      <c r="E16" s="152">
        <f t="shared" si="0"/>
        <v>0</v>
      </c>
      <c r="F16" s="670"/>
    </row>
    <row r="17" spans="1:6" x14ac:dyDescent="0.3">
      <c r="A17" s="127">
        <v>312.3</v>
      </c>
      <c r="B17" s="7" t="s">
        <v>354</v>
      </c>
      <c r="C17" s="168">
        <f t="shared" si="1"/>
        <v>0</v>
      </c>
      <c r="E17" s="152">
        <f t="shared" si="0"/>
        <v>0</v>
      </c>
      <c r="F17" s="670"/>
    </row>
    <row r="18" spans="1:6" x14ac:dyDescent="0.3">
      <c r="A18" s="127">
        <v>318.3</v>
      </c>
      <c r="B18" s="7" t="s">
        <v>355</v>
      </c>
      <c r="C18" s="168">
        <f t="shared" si="1"/>
        <v>144896</v>
      </c>
      <c r="E18" s="152">
        <f t="shared" si="0"/>
        <v>0</v>
      </c>
      <c r="F18" s="670"/>
    </row>
    <row r="19" spans="1:6" x14ac:dyDescent="0.3">
      <c r="A19" s="127">
        <v>318.5</v>
      </c>
      <c r="B19" s="7" t="s">
        <v>356</v>
      </c>
      <c r="C19" s="168">
        <f t="shared" si="1"/>
        <v>243551</v>
      </c>
      <c r="E19" s="152">
        <f t="shared" si="0"/>
        <v>0</v>
      </c>
      <c r="F19" s="670"/>
    </row>
    <row r="20" spans="1:6" x14ac:dyDescent="0.3">
      <c r="A20" s="127">
        <v>325</v>
      </c>
      <c r="B20" s="7" t="s">
        <v>357</v>
      </c>
      <c r="C20" s="168">
        <f t="shared" si="1"/>
        <v>0</v>
      </c>
      <c r="E20" s="152">
        <f t="shared" si="0"/>
        <v>0</v>
      </c>
      <c r="F20" s="670"/>
    </row>
    <row r="21" spans="1:6" x14ac:dyDescent="0.3">
      <c r="A21" s="127">
        <v>327</v>
      </c>
      <c r="B21" s="7" t="s">
        <v>358</v>
      </c>
      <c r="C21" s="168">
        <f t="shared" si="1"/>
        <v>0</v>
      </c>
      <c r="E21" s="152">
        <f t="shared" si="0"/>
        <v>0</v>
      </c>
      <c r="F21" s="670"/>
    </row>
    <row r="22" spans="1:6" x14ac:dyDescent="0.3">
      <c r="A22" s="127">
        <v>328</v>
      </c>
      <c r="B22" s="7" t="s">
        <v>357</v>
      </c>
      <c r="C22" s="168">
        <f t="shared" si="1"/>
        <v>0</v>
      </c>
      <c r="E22" s="152">
        <f t="shared" si="0"/>
        <v>0</v>
      </c>
      <c r="F22" s="670"/>
    </row>
    <row r="23" spans="1:6" x14ac:dyDescent="0.3">
      <c r="A23" s="127">
        <v>331</v>
      </c>
      <c r="B23" s="7" t="s">
        <v>358</v>
      </c>
      <c r="C23" s="168">
        <f t="shared" si="1"/>
        <v>0</v>
      </c>
      <c r="E23" s="152">
        <f t="shared" si="0"/>
        <v>0</v>
      </c>
      <c r="F23" s="670"/>
    </row>
    <row r="24" spans="1:6" x14ac:dyDescent="0.3">
      <c r="A24" s="127">
        <v>332</v>
      </c>
      <c r="B24" s="7" t="s">
        <v>358</v>
      </c>
      <c r="C24" s="168">
        <f t="shared" si="1"/>
        <v>0</v>
      </c>
      <c r="E24" s="152">
        <f t="shared" si="0"/>
        <v>0</v>
      </c>
      <c r="F24" s="670"/>
    </row>
    <row r="25" spans="1:6" x14ac:dyDescent="0.3">
      <c r="A25" s="127">
        <v>333</v>
      </c>
      <c r="B25" s="7" t="s">
        <v>358</v>
      </c>
      <c r="C25" s="168">
        <f t="shared" si="1"/>
        <v>0</v>
      </c>
      <c r="E25" s="152">
        <f t="shared" si="0"/>
        <v>0</v>
      </c>
      <c r="F25" s="670"/>
    </row>
    <row r="26" spans="1:6" x14ac:dyDescent="0.3">
      <c r="A26" s="127">
        <v>334</v>
      </c>
      <c r="B26" s="7" t="s">
        <v>358</v>
      </c>
      <c r="C26" s="168">
        <f t="shared" si="1"/>
        <v>0</v>
      </c>
      <c r="E26" s="152">
        <f t="shared" si="0"/>
        <v>0</v>
      </c>
      <c r="F26" s="670"/>
    </row>
    <row r="27" spans="1:6" x14ac:dyDescent="0.3">
      <c r="A27" s="127">
        <v>305.11</v>
      </c>
      <c r="B27" s="7" t="s">
        <v>359</v>
      </c>
      <c r="C27" s="168">
        <f t="shared" si="1"/>
        <v>8320</v>
      </c>
      <c r="E27" s="152">
        <f t="shared" si="0"/>
        <v>0</v>
      </c>
      <c r="F27" s="670"/>
    </row>
    <row r="28" spans="1:6" x14ac:dyDescent="0.3">
      <c r="A28" s="127">
        <v>305.17</v>
      </c>
      <c r="B28" s="7" t="s">
        <v>360</v>
      </c>
      <c r="C28" s="168">
        <f t="shared" si="1"/>
        <v>46587</v>
      </c>
      <c r="E28" s="152">
        <f t="shared" si="0"/>
        <v>0</v>
      </c>
      <c r="F28" s="670"/>
    </row>
    <row r="29" spans="1:6" x14ac:dyDescent="0.3">
      <c r="A29" s="127">
        <v>311</v>
      </c>
      <c r="B29" s="7" t="s">
        <v>361</v>
      </c>
      <c r="C29" s="168">
        <f t="shared" si="1"/>
        <v>0</v>
      </c>
      <c r="E29" s="152">
        <f t="shared" si="0"/>
        <v>0</v>
      </c>
      <c r="F29" s="670"/>
    </row>
    <row r="30" spans="1:6" x14ac:dyDescent="0.3">
      <c r="A30" s="127">
        <v>311.39999999999998</v>
      </c>
      <c r="B30" s="7" t="s">
        <v>362</v>
      </c>
      <c r="C30" s="168">
        <f t="shared" si="1"/>
        <v>0</v>
      </c>
      <c r="E30" s="152">
        <f t="shared" si="0"/>
        <v>0</v>
      </c>
      <c r="F30" s="670"/>
    </row>
    <row r="31" spans="1:6" x14ac:dyDescent="0.3">
      <c r="A31" s="127">
        <v>311.7</v>
      </c>
      <c r="B31" s="7" t="s">
        <v>363</v>
      </c>
      <c r="C31" s="168">
        <f t="shared" si="1"/>
        <v>4033</v>
      </c>
      <c r="E31" s="152">
        <f t="shared" si="0"/>
        <v>0</v>
      </c>
      <c r="F31" s="670"/>
    </row>
    <row r="32" spans="1:6" x14ac:dyDescent="0.3">
      <c r="A32" s="127">
        <v>311.8</v>
      </c>
      <c r="B32" s="7" t="s">
        <v>364</v>
      </c>
      <c r="C32" s="168">
        <f t="shared" si="1"/>
        <v>4209</v>
      </c>
      <c r="E32" s="152">
        <f t="shared" si="0"/>
        <v>0</v>
      </c>
      <c r="F32" s="670"/>
    </row>
    <row r="33" spans="1:6" x14ac:dyDescent="0.3">
      <c r="A33" s="127">
        <v>319</v>
      </c>
      <c r="B33" s="7" t="s">
        <v>365</v>
      </c>
      <c r="C33" s="168">
        <f t="shared" si="1"/>
        <v>185448</v>
      </c>
      <c r="E33" s="152">
        <f t="shared" si="0"/>
        <v>0</v>
      </c>
      <c r="F33" s="670"/>
    </row>
    <row r="34" spans="1:6" x14ac:dyDescent="0.3">
      <c r="A34" s="127">
        <v>350.1</v>
      </c>
      <c r="B34" s="7" t="s">
        <v>327</v>
      </c>
      <c r="C34" s="168">
        <f t="shared" si="1"/>
        <v>106549</v>
      </c>
      <c r="E34" s="168">
        <f t="shared" si="0"/>
        <v>0</v>
      </c>
      <c r="F34" s="670"/>
    </row>
    <row r="35" spans="1:6" x14ac:dyDescent="0.3">
      <c r="A35" s="127">
        <v>350.2</v>
      </c>
      <c r="B35" s="7" t="s">
        <v>366</v>
      </c>
      <c r="C35" s="168">
        <f t="shared" si="1"/>
        <v>109624.93999999996</v>
      </c>
      <c r="E35" s="168">
        <f t="shared" si="0"/>
        <v>1567.6366419999995</v>
      </c>
      <c r="F35" s="670"/>
    </row>
    <row r="36" spans="1:6" x14ac:dyDescent="0.3">
      <c r="A36" s="127">
        <v>351</v>
      </c>
      <c r="B36" s="7" t="s">
        <v>367</v>
      </c>
      <c r="C36" s="168">
        <f t="shared" si="1"/>
        <v>7705662.0658333348</v>
      </c>
      <c r="E36" s="168">
        <f t="shared" si="0"/>
        <v>115584.93098750002</v>
      </c>
      <c r="F36" s="670"/>
    </row>
    <row r="37" spans="1:6" x14ac:dyDescent="0.3">
      <c r="A37" s="127">
        <v>352</v>
      </c>
      <c r="B37" s="7" t="s">
        <v>368</v>
      </c>
      <c r="C37" s="168">
        <f t="shared" si="1"/>
        <v>22014652.297083333</v>
      </c>
      <c r="E37" s="168">
        <f t="shared" si="0"/>
        <v>330219.78445624997</v>
      </c>
      <c r="F37" s="670"/>
    </row>
    <row r="38" spans="1:6" x14ac:dyDescent="0.3">
      <c r="A38" s="127">
        <v>352.1</v>
      </c>
      <c r="B38" s="7" t="s">
        <v>369</v>
      </c>
      <c r="C38" s="168">
        <f t="shared" si="1"/>
        <v>3938491.32</v>
      </c>
      <c r="E38" s="168">
        <f t="shared" si="0"/>
        <v>65772.805043999993</v>
      </c>
      <c r="F38" s="670"/>
    </row>
    <row r="39" spans="1:6" x14ac:dyDescent="0.3">
      <c r="A39" s="127">
        <v>352.2</v>
      </c>
      <c r="B39" s="7" t="s">
        <v>370</v>
      </c>
      <c r="C39" s="168">
        <f t="shared" si="1"/>
        <v>7272553.0900000026</v>
      </c>
      <c r="E39" s="168">
        <f t="shared" si="0"/>
        <v>125815.16845700004</v>
      </c>
      <c r="F39" s="670"/>
    </row>
    <row r="40" spans="1:6" x14ac:dyDescent="0.3">
      <c r="A40" s="127">
        <v>352.3</v>
      </c>
      <c r="B40" s="7" t="s">
        <v>371</v>
      </c>
      <c r="C40" s="168">
        <f t="shared" si="1"/>
        <v>6440889.8200000003</v>
      </c>
      <c r="E40" s="168">
        <f t="shared" si="0"/>
        <v>101121.97017400002</v>
      </c>
      <c r="F40" s="670"/>
    </row>
    <row r="41" spans="1:6" x14ac:dyDescent="0.3">
      <c r="A41" s="127">
        <v>353</v>
      </c>
      <c r="B41" s="7" t="s">
        <v>372</v>
      </c>
      <c r="C41" s="168">
        <f t="shared" si="1"/>
        <v>6567490.120000001</v>
      </c>
      <c r="E41" s="168">
        <f t="shared" si="0"/>
        <v>135290.29647200002</v>
      </c>
      <c r="F41" s="670"/>
    </row>
    <row r="42" spans="1:6" x14ac:dyDescent="0.3">
      <c r="A42" s="127">
        <v>354</v>
      </c>
      <c r="B42" s="7" t="s">
        <v>373</v>
      </c>
      <c r="C42" s="168">
        <f t="shared" si="1"/>
        <v>0</v>
      </c>
      <c r="E42" s="168">
        <f t="shared" si="0"/>
        <v>0</v>
      </c>
      <c r="F42" s="670"/>
    </row>
    <row r="43" spans="1:6" x14ac:dyDescent="0.3">
      <c r="A43" s="127">
        <v>354.1</v>
      </c>
      <c r="B43" s="7" t="s">
        <v>1909</v>
      </c>
      <c r="C43" s="168">
        <f t="shared" si="1"/>
        <v>4154699.6599999988</v>
      </c>
      <c r="E43" s="168">
        <f t="shared" si="0"/>
        <v>62735.96486599998</v>
      </c>
      <c r="F43" s="670"/>
    </row>
    <row r="44" spans="1:6" x14ac:dyDescent="0.3">
      <c r="A44" s="127">
        <v>354.2</v>
      </c>
      <c r="B44" s="7" t="s">
        <v>1910</v>
      </c>
      <c r="C44" s="168">
        <f t="shared" si="1"/>
        <v>4154699</v>
      </c>
      <c r="E44" s="168">
        <f t="shared" si="0"/>
        <v>61489.5452</v>
      </c>
      <c r="F44" s="670"/>
    </row>
    <row r="45" spans="1:6" x14ac:dyDescent="0.3">
      <c r="A45" s="127">
        <v>354.3</v>
      </c>
      <c r="B45" s="7" t="s">
        <v>1911</v>
      </c>
      <c r="C45" s="168">
        <f t="shared" si="1"/>
        <v>19640514.360000003</v>
      </c>
      <c r="E45" s="168">
        <f t="shared" si="0"/>
        <v>365313.56709600007</v>
      </c>
      <c r="F45" s="670"/>
    </row>
    <row r="46" spans="1:6" x14ac:dyDescent="0.3">
      <c r="A46" s="127">
        <v>354.4</v>
      </c>
      <c r="B46" s="7" t="s">
        <v>1912</v>
      </c>
      <c r="C46" s="168">
        <f t="shared" si="1"/>
        <v>3316171.1700000004</v>
      </c>
      <c r="E46" s="168">
        <f t="shared" si="0"/>
        <v>64002.103581000003</v>
      </c>
      <c r="F46" s="670"/>
    </row>
    <row r="47" spans="1:6" x14ac:dyDescent="0.3">
      <c r="A47" s="127">
        <v>354.6</v>
      </c>
      <c r="B47" s="7" t="s">
        <v>1913</v>
      </c>
      <c r="C47" s="168">
        <f t="shared" si="1"/>
        <v>86443.026666666658</v>
      </c>
      <c r="E47" s="168">
        <f t="shared" si="0"/>
        <v>1893.1022839999998</v>
      </c>
      <c r="F47" s="670"/>
    </row>
    <row r="48" spans="1:6" x14ac:dyDescent="0.3">
      <c r="A48" s="127">
        <v>355</v>
      </c>
      <c r="B48" s="7" t="s">
        <v>374</v>
      </c>
      <c r="C48" s="168">
        <f t="shared" si="1"/>
        <v>7407962.8445833353</v>
      </c>
      <c r="E48" s="168">
        <f t="shared" si="0"/>
        <v>168160.75657204172</v>
      </c>
      <c r="F48" s="670"/>
    </row>
    <row r="49" spans="1:6" x14ac:dyDescent="0.3">
      <c r="A49" s="127">
        <v>356</v>
      </c>
      <c r="B49" s="7" t="s">
        <v>375</v>
      </c>
      <c r="C49" s="168">
        <f t="shared" si="1"/>
        <v>316646.39666666661</v>
      </c>
      <c r="E49" s="168">
        <f t="shared" si="0"/>
        <v>4338.0556343333328</v>
      </c>
      <c r="F49" s="670"/>
    </row>
    <row r="50" spans="1:6" x14ac:dyDescent="0.3">
      <c r="A50" s="127">
        <v>357</v>
      </c>
      <c r="B50" s="7" t="s">
        <v>376</v>
      </c>
      <c r="C50" s="168">
        <f t="shared" si="1"/>
        <v>1631181.2962499997</v>
      </c>
      <c r="E50" s="168">
        <f t="shared" si="0"/>
        <v>35396.634128624995</v>
      </c>
      <c r="F50" s="670"/>
    </row>
    <row r="51" spans="1:6" x14ac:dyDescent="0.3">
      <c r="A51" s="127">
        <v>360.11</v>
      </c>
      <c r="B51" s="7" t="s">
        <v>377</v>
      </c>
      <c r="C51" s="168">
        <f t="shared" si="1"/>
        <v>83598</v>
      </c>
      <c r="E51" s="168">
        <f t="shared" si="0"/>
        <v>0</v>
      </c>
      <c r="F51" s="670"/>
    </row>
    <row r="52" spans="1:6" x14ac:dyDescent="0.3">
      <c r="A52" s="127">
        <v>360.12</v>
      </c>
      <c r="B52" s="7" t="s">
        <v>378</v>
      </c>
      <c r="C52" s="168">
        <f t="shared" si="1"/>
        <v>536674.82000000007</v>
      </c>
      <c r="E52" s="168">
        <f t="shared" si="0"/>
        <v>0</v>
      </c>
      <c r="F52" s="670"/>
    </row>
    <row r="53" spans="1:6" x14ac:dyDescent="0.3">
      <c r="A53" s="127">
        <v>360.2</v>
      </c>
      <c r="B53" s="7" t="s">
        <v>379</v>
      </c>
      <c r="C53" s="168">
        <f t="shared" si="1"/>
        <v>106557.31000000004</v>
      </c>
      <c r="E53" s="168">
        <f t="shared" si="0"/>
        <v>0</v>
      </c>
      <c r="F53" s="670"/>
    </row>
    <row r="54" spans="1:6" x14ac:dyDescent="0.3">
      <c r="A54" s="127">
        <v>361.11</v>
      </c>
      <c r="B54" s="7" t="s">
        <v>329</v>
      </c>
      <c r="C54" s="168">
        <f t="shared" si="1"/>
        <v>5285740.7654166678</v>
      </c>
      <c r="E54" s="168">
        <f t="shared" si="0"/>
        <v>200329.57500929173</v>
      </c>
      <c r="F54" s="670"/>
    </row>
    <row r="55" spans="1:6" x14ac:dyDescent="0.3">
      <c r="A55" s="127">
        <v>361.12</v>
      </c>
      <c r="B55" s="7" t="s">
        <v>329</v>
      </c>
      <c r="C55" s="168">
        <f t="shared" si="1"/>
        <v>10100644.703749998</v>
      </c>
      <c r="E55" s="168">
        <f t="shared" si="0"/>
        <v>437357.91567237489</v>
      </c>
      <c r="F55" s="670"/>
    </row>
    <row r="56" spans="1:6" x14ac:dyDescent="0.3">
      <c r="A56" s="127">
        <v>361.2</v>
      </c>
      <c r="B56" s="7" t="s">
        <v>380</v>
      </c>
      <c r="C56" s="168">
        <f t="shared" si="1"/>
        <v>26757</v>
      </c>
      <c r="E56" s="168">
        <f t="shared" si="0"/>
        <v>473.59890000000001</v>
      </c>
      <c r="F56" s="670"/>
    </row>
    <row r="57" spans="1:6" x14ac:dyDescent="0.3">
      <c r="A57" s="127">
        <v>362.11</v>
      </c>
      <c r="B57" s="7" t="s">
        <v>381</v>
      </c>
      <c r="C57" s="168">
        <f t="shared" si="1"/>
        <v>4528378.5437500002</v>
      </c>
      <c r="E57" s="168">
        <f t="shared" si="0"/>
        <v>116832.16642875</v>
      </c>
      <c r="F57" s="670"/>
    </row>
    <row r="58" spans="1:6" x14ac:dyDescent="0.3">
      <c r="A58" s="127">
        <v>362.12</v>
      </c>
      <c r="B58" s="7" t="s">
        <v>382</v>
      </c>
      <c r="C58" s="168">
        <f t="shared" si="1"/>
        <v>5907953.7625000002</v>
      </c>
      <c r="E58" s="168">
        <f t="shared" si="0"/>
        <v>143563.27642875002</v>
      </c>
      <c r="F58" s="670"/>
    </row>
    <row r="59" spans="1:6" x14ac:dyDescent="0.3">
      <c r="A59" s="127">
        <v>362.2</v>
      </c>
      <c r="B59" s="7" t="s">
        <v>383</v>
      </c>
      <c r="C59" s="168">
        <f t="shared" si="1"/>
        <v>1600.1399999999996</v>
      </c>
      <c r="E59" s="168">
        <f t="shared" si="0"/>
        <v>16.001399999999997</v>
      </c>
      <c r="F59" s="670"/>
    </row>
    <row r="60" spans="1:6" x14ac:dyDescent="0.3">
      <c r="A60" s="127">
        <v>363.11</v>
      </c>
      <c r="B60" s="7" t="s">
        <v>384</v>
      </c>
      <c r="C60" s="168">
        <f t="shared" si="1"/>
        <v>3325220.6058333335</v>
      </c>
      <c r="E60" s="168">
        <f t="shared" si="0"/>
        <v>43560.389936416672</v>
      </c>
      <c r="F60" s="670"/>
    </row>
    <row r="61" spans="1:6" x14ac:dyDescent="0.3">
      <c r="A61" s="127">
        <v>363.12</v>
      </c>
      <c r="B61" s="7" t="s">
        <v>385</v>
      </c>
      <c r="C61" s="168">
        <f t="shared" si="1"/>
        <v>10740768.129166668</v>
      </c>
      <c r="E61" s="168">
        <f t="shared" si="0"/>
        <v>71963.146465416678</v>
      </c>
      <c r="F61" s="670"/>
    </row>
    <row r="62" spans="1:6" x14ac:dyDescent="0.3">
      <c r="A62" s="127">
        <v>363.21</v>
      </c>
      <c r="B62" s="7" t="s">
        <v>386</v>
      </c>
      <c r="C62" s="168">
        <f t="shared" si="1"/>
        <v>4715064.5162500003</v>
      </c>
      <c r="E62" s="168">
        <f t="shared" si="0"/>
        <v>22160.803226374999</v>
      </c>
      <c r="F62" s="670"/>
    </row>
    <row r="63" spans="1:6" x14ac:dyDescent="0.3">
      <c r="A63" s="127">
        <v>363.22</v>
      </c>
      <c r="B63" s="7" t="s">
        <v>387</v>
      </c>
      <c r="C63" s="168">
        <f t="shared" si="1"/>
        <v>4299137.3962500012</v>
      </c>
      <c r="E63" s="168">
        <f t="shared" si="0"/>
        <v>132843.34554412501</v>
      </c>
      <c r="F63" s="670"/>
    </row>
    <row r="64" spans="1:6" x14ac:dyDescent="0.3">
      <c r="A64" s="127">
        <v>363.31</v>
      </c>
      <c r="B64" s="7" t="s">
        <v>388</v>
      </c>
      <c r="C64" s="168">
        <f t="shared" si="1"/>
        <v>180903.23</v>
      </c>
      <c r="E64" s="168">
        <f t="shared" si="0"/>
        <v>0</v>
      </c>
      <c r="F64" s="670"/>
    </row>
    <row r="65" spans="1:6" x14ac:dyDescent="0.3">
      <c r="A65" s="127">
        <v>363.32</v>
      </c>
      <c r="B65" s="7" t="s">
        <v>389</v>
      </c>
      <c r="C65" s="168">
        <f t="shared" si="1"/>
        <v>4375771.1066666692</v>
      </c>
      <c r="E65" s="168">
        <f t="shared" si="0"/>
        <v>331683.44988533354</v>
      </c>
      <c r="F65" s="670"/>
    </row>
    <row r="66" spans="1:6" x14ac:dyDescent="0.3">
      <c r="A66" s="127">
        <v>363.41</v>
      </c>
      <c r="B66" s="7" t="s">
        <v>390</v>
      </c>
      <c r="C66" s="168">
        <f t="shared" si="1"/>
        <v>2437846.1029166658</v>
      </c>
      <c r="E66" s="168">
        <f t="shared" si="0"/>
        <v>97270.059506374979</v>
      </c>
      <c r="F66" s="670"/>
    </row>
    <row r="67" spans="1:6" x14ac:dyDescent="0.3">
      <c r="A67" s="127">
        <v>363.42</v>
      </c>
      <c r="B67" s="7" t="s">
        <v>390</v>
      </c>
      <c r="C67" s="168">
        <f t="shared" si="1"/>
        <v>10010641.290416665</v>
      </c>
      <c r="E67" s="168">
        <f t="shared" si="0"/>
        <v>13013.833677541665</v>
      </c>
      <c r="F67" s="670"/>
    </row>
    <row r="68" spans="1:6" x14ac:dyDescent="0.3">
      <c r="A68" s="127">
        <v>363.5</v>
      </c>
      <c r="B68" s="7" t="s">
        <v>391</v>
      </c>
      <c r="C68" s="168">
        <f t="shared" si="1"/>
        <v>3051295.4900000007</v>
      </c>
      <c r="E68" s="168">
        <f t="shared" si="0"/>
        <v>79943.941838000028</v>
      </c>
      <c r="F68" s="670"/>
    </row>
    <row r="69" spans="1:6" x14ac:dyDescent="0.3">
      <c r="A69" s="127">
        <v>363.6</v>
      </c>
      <c r="B69" s="7" t="s">
        <v>392</v>
      </c>
      <c r="C69" s="168">
        <f t="shared" si="1"/>
        <v>739473</v>
      </c>
      <c r="E69" s="168">
        <f t="shared" si="0"/>
        <v>0</v>
      </c>
      <c r="F69" s="670"/>
    </row>
    <row r="70" spans="1:6" x14ac:dyDescent="0.3">
      <c r="A70" s="127">
        <v>365.1</v>
      </c>
      <c r="B70" s="7" t="s">
        <v>327</v>
      </c>
      <c r="C70" s="168">
        <f t="shared" si="1"/>
        <v>128856.34541666665</v>
      </c>
      <c r="E70" s="168">
        <f t="shared" si="0"/>
        <v>0</v>
      </c>
      <c r="F70" s="670"/>
    </row>
    <row r="71" spans="1:6" x14ac:dyDescent="0.3">
      <c r="A71" s="127">
        <v>365.2</v>
      </c>
      <c r="B71" s="7" t="s">
        <v>328</v>
      </c>
      <c r="C71" s="168">
        <f t="shared" si="1"/>
        <v>6455176.8600000003</v>
      </c>
      <c r="E71" s="168">
        <f t="shared" ref="E71:E81" si="2">+E196+E321</f>
        <v>98118.688271999999</v>
      </c>
      <c r="F71" s="670"/>
    </row>
    <row r="72" spans="1:6" x14ac:dyDescent="0.3">
      <c r="A72" s="127">
        <v>366.3</v>
      </c>
      <c r="B72" s="7" t="s">
        <v>380</v>
      </c>
      <c r="C72" s="168">
        <f t="shared" ref="C72:C127" si="3">+C197+C322</f>
        <v>1546072.6099999996</v>
      </c>
      <c r="E72" s="168">
        <f t="shared" si="2"/>
        <v>27056.270674999996</v>
      </c>
      <c r="F72" s="670"/>
    </row>
    <row r="73" spans="1:6" x14ac:dyDescent="0.3">
      <c r="A73" s="127">
        <v>367</v>
      </c>
      <c r="B73" s="7" t="s">
        <v>326</v>
      </c>
      <c r="C73" s="168">
        <f t="shared" si="3"/>
        <v>155215564.29374996</v>
      </c>
      <c r="E73" s="168">
        <f t="shared" si="2"/>
        <v>2918052.6087224991</v>
      </c>
      <c r="F73" s="670"/>
    </row>
    <row r="74" spans="1:6" x14ac:dyDescent="0.3">
      <c r="A74" s="127">
        <v>367.21</v>
      </c>
      <c r="B74" s="7" t="s">
        <v>393</v>
      </c>
      <c r="C74" s="168">
        <f t="shared" si="3"/>
        <v>1994582.3900000004</v>
      </c>
      <c r="E74" s="168">
        <f t="shared" si="2"/>
        <v>34306.817108000003</v>
      </c>
      <c r="F74" s="670"/>
    </row>
    <row r="75" spans="1:6" x14ac:dyDescent="0.3">
      <c r="A75" s="127">
        <v>367.22</v>
      </c>
      <c r="B75" s="7" t="s">
        <v>394</v>
      </c>
      <c r="C75" s="168">
        <f t="shared" si="3"/>
        <v>14949264</v>
      </c>
      <c r="E75" s="168">
        <f t="shared" si="2"/>
        <v>237693.29760000002</v>
      </c>
      <c r="F75" s="670"/>
    </row>
    <row r="76" spans="1:6" x14ac:dyDescent="0.3">
      <c r="A76" s="127">
        <v>367.23</v>
      </c>
      <c r="B76" s="7" t="s">
        <v>394</v>
      </c>
      <c r="C76" s="168">
        <f t="shared" si="3"/>
        <v>34881341.360000007</v>
      </c>
      <c r="E76" s="168">
        <f t="shared" si="2"/>
        <v>676698.02238400013</v>
      </c>
      <c r="F76" s="670"/>
    </row>
    <row r="77" spans="1:6" x14ac:dyDescent="0.3">
      <c r="A77" s="127">
        <v>367.24</v>
      </c>
      <c r="B77" s="7" t="s">
        <v>395</v>
      </c>
      <c r="C77" s="168">
        <f t="shared" si="3"/>
        <v>17466181.889999997</v>
      </c>
      <c r="E77" s="168">
        <f t="shared" si="2"/>
        <v>338843.92866599996</v>
      </c>
      <c r="F77" s="670"/>
    </row>
    <row r="78" spans="1:6" x14ac:dyDescent="0.3">
      <c r="A78" s="127">
        <v>367.25</v>
      </c>
      <c r="B78" s="7" t="s">
        <v>396</v>
      </c>
      <c r="C78" s="168">
        <f t="shared" si="3"/>
        <v>18613651.150000002</v>
      </c>
      <c r="E78" s="168">
        <f t="shared" si="2"/>
        <v>362966.19742500002</v>
      </c>
      <c r="F78" s="670"/>
    </row>
    <row r="79" spans="1:6" x14ac:dyDescent="0.3">
      <c r="A79" s="127">
        <v>367.26</v>
      </c>
      <c r="B79" s="7" t="s">
        <v>397</v>
      </c>
      <c r="C79" s="168">
        <f t="shared" si="3"/>
        <v>68232675.580000013</v>
      </c>
      <c r="E79" s="168">
        <f t="shared" si="2"/>
        <v>1330537.1738100003</v>
      </c>
      <c r="F79" s="670"/>
    </row>
    <row r="80" spans="1:6" x14ac:dyDescent="0.3">
      <c r="A80" s="127">
        <v>368</v>
      </c>
      <c r="B80" s="7" t="s">
        <v>398</v>
      </c>
      <c r="C80" s="168">
        <f t="shared" si="3"/>
        <v>0</v>
      </c>
      <c r="E80" s="168">
        <f t="shared" si="2"/>
        <v>0</v>
      </c>
      <c r="F80" s="670"/>
    </row>
    <row r="81" spans="1:6" x14ac:dyDescent="0.3">
      <c r="A81" s="127">
        <v>369</v>
      </c>
      <c r="B81" s="7" t="s">
        <v>399</v>
      </c>
      <c r="C81" s="168">
        <f t="shared" si="3"/>
        <v>3969549.0799999987</v>
      </c>
      <c r="E81" s="168">
        <f t="shared" si="2"/>
        <v>84551.395403999966</v>
      </c>
      <c r="F81" s="670"/>
    </row>
    <row r="82" spans="1:6" x14ac:dyDescent="0.3">
      <c r="A82" s="127" t="s">
        <v>1943</v>
      </c>
      <c r="B82" s="7" t="s">
        <v>400</v>
      </c>
      <c r="C82" s="168">
        <f t="shared" si="3"/>
        <v>0</v>
      </c>
      <c r="E82" s="168"/>
      <c r="F82" s="670"/>
    </row>
    <row r="83" spans="1:6" x14ac:dyDescent="0.3">
      <c r="A83" s="127">
        <v>374.1</v>
      </c>
      <c r="B83" s="7" t="s">
        <v>327</v>
      </c>
      <c r="C83" s="168">
        <f t="shared" si="3"/>
        <v>85773.439999999988</v>
      </c>
      <c r="E83" s="168">
        <f t="shared" ref="E83:E108" si="4">+E208+E333</f>
        <v>0</v>
      </c>
      <c r="F83" s="670"/>
    </row>
    <row r="84" spans="1:6" x14ac:dyDescent="0.3">
      <c r="A84" s="127">
        <v>374.2</v>
      </c>
      <c r="B84" s="7" t="s">
        <v>328</v>
      </c>
      <c r="C84" s="168">
        <f t="shared" si="3"/>
        <v>1884151.7941666667</v>
      </c>
      <c r="E84" s="168">
        <f t="shared" si="4"/>
        <v>10551.250047333335</v>
      </c>
      <c r="F84" s="670"/>
    </row>
    <row r="85" spans="1:6" x14ac:dyDescent="0.3">
      <c r="A85" s="127">
        <v>375</v>
      </c>
      <c r="B85" s="7" t="s">
        <v>329</v>
      </c>
      <c r="C85" s="168">
        <f t="shared" si="3"/>
        <v>1415457.7975000001</v>
      </c>
      <c r="E85" s="168">
        <f t="shared" si="4"/>
        <v>0</v>
      </c>
      <c r="F85" s="670"/>
    </row>
    <row r="86" spans="1:6" x14ac:dyDescent="0.3">
      <c r="A86" s="127">
        <v>376.11</v>
      </c>
      <c r="B86" s="7" t="s">
        <v>330</v>
      </c>
      <c r="C86" s="168">
        <f t="shared" si="3"/>
        <v>596300351.44333327</v>
      </c>
      <c r="E86" s="168">
        <f t="shared" si="4"/>
        <v>15146028.926660664</v>
      </c>
      <c r="F86" s="670"/>
    </row>
    <row r="87" spans="1:6" x14ac:dyDescent="0.3">
      <c r="A87" s="127">
        <v>376.12</v>
      </c>
      <c r="B87" s="7" t="s">
        <v>331</v>
      </c>
      <c r="C87" s="168">
        <f t="shared" si="3"/>
        <v>550499248.74666667</v>
      </c>
      <c r="E87" s="168">
        <f t="shared" si="4"/>
        <v>12771582.570922667</v>
      </c>
      <c r="F87" s="670"/>
    </row>
    <row r="88" spans="1:6" x14ac:dyDescent="0.3">
      <c r="A88" s="127">
        <v>377</v>
      </c>
      <c r="B88" s="7" t="s">
        <v>373</v>
      </c>
      <c r="C88" s="168">
        <f t="shared" si="3"/>
        <v>818380</v>
      </c>
      <c r="E88" s="168">
        <f t="shared" si="4"/>
        <v>10802.616</v>
      </c>
      <c r="F88" s="670"/>
    </row>
    <row r="89" spans="1:6" x14ac:dyDescent="0.3">
      <c r="A89" s="127">
        <v>378</v>
      </c>
      <c r="B89" s="7" t="s">
        <v>332</v>
      </c>
      <c r="C89" s="168">
        <f t="shared" si="3"/>
        <v>35081840.035416663</v>
      </c>
      <c r="E89" s="168">
        <f t="shared" si="4"/>
        <v>764784.11277208326</v>
      </c>
      <c r="F89" s="670"/>
    </row>
    <row r="90" spans="1:6" x14ac:dyDescent="0.3">
      <c r="A90" s="127">
        <v>379</v>
      </c>
      <c r="B90" s="7" t="s">
        <v>333</v>
      </c>
      <c r="C90" s="168">
        <f t="shared" si="3"/>
        <v>11467873.258333329</v>
      </c>
      <c r="E90" s="168">
        <f t="shared" si="4"/>
        <v>243118.91307666659</v>
      </c>
      <c r="F90" s="670"/>
    </row>
    <row r="91" spans="1:6" x14ac:dyDescent="0.3">
      <c r="A91" s="127">
        <v>380</v>
      </c>
      <c r="B91" s="7" t="s">
        <v>334</v>
      </c>
      <c r="C91" s="168">
        <f t="shared" si="3"/>
        <v>773889104.55708313</v>
      </c>
      <c r="E91" s="168">
        <f t="shared" si="4"/>
        <v>22210617.300788287</v>
      </c>
      <c r="F91" s="670"/>
    </row>
    <row r="92" spans="1:6" x14ac:dyDescent="0.3">
      <c r="A92" s="127">
        <v>381</v>
      </c>
      <c r="B92" s="7" t="s">
        <v>335</v>
      </c>
      <c r="C92" s="168">
        <f t="shared" si="3"/>
        <v>90040790.011249989</v>
      </c>
      <c r="E92" s="168">
        <f t="shared" si="4"/>
        <v>2007909.6172508751</v>
      </c>
      <c r="F92" s="670"/>
    </row>
    <row r="93" spans="1:6" x14ac:dyDescent="0.3">
      <c r="A93" s="127">
        <v>381.1</v>
      </c>
      <c r="B93" s="7" t="s">
        <v>401</v>
      </c>
      <c r="C93" s="168">
        <f t="shared" si="3"/>
        <v>1696938.4600000007</v>
      </c>
      <c r="E93" s="168">
        <f t="shared" si="4"/>
        <v>49041.521494000022</v>
      </c>
      <c r="F93" s="670"/>
    </row>
    <row r="94" spans="1:6" x14ac:dyDescent="0.3">
      <c r="A94" s="127">
        <v>381.2</v>
      </c>
      <c r="B94" s="7" t="s">
        <v>336</v>
      </c>
      <c r="C94" s="168">
        <f t="shared" si="3"/>
        <v>43213501.577083334</v>
      </c>
      <c r="E94" s="168">
        <f t="shared" si="4"/>
        <v>2527989.8422593749</v>
      </c>
      <c r="F94" s="670"/>
    </row>
    <row r="95" spans="1:6" x14ac:dyDescent="0.3">
      <c r="A95" s="127">
        <v>382</v>
      </c>
      <c r="B95" s="7" t="s">
        <v>337</v>
      </c>
      <c r="C95" s="168">
        <f t="shared" si="3"/>
        <v>60808121.473750003</v>
      </c>
      <c r="E95" s="168">
        <f t="shared" si="4"/>
        <v>2943113.0793295</v>
      </c>
      <c r="F95" s="670"/>
    </row>
    <row r="96" spans="1:6" x14ac:dyDescent="0.3">
      <c r="A96" s="127">
        <v>382.1</v>
      </c>
      <c r="B96" s="7" t="s">
        <v>402</v>
      </c>
      <c r="C96" s="168">
        <f t="shared" si="3"/>
        <v>481019.76999999984</v>
      </c>
      <c r="E96" s="168">
        <f t="shared" si="4"/>
        <v>41415.802196999983</v>
      </c>
      <c r="F96" s="670"/>
    </row>
    <row r="97" spans="1:6" x14ac:dyDescent="0.3">
      <c r="A97" s="127">
        <v>382.2</v>
      </c>
      <c r="B97" s="7" t="s">
        <v>338</v>
      </c>
      <c r="C97" s="168">
        <f t="shared" si="3"/>
        <v>9263551.5241666678</v>
      </c>
      <c r="E97" s="168">
        <f t="shared" si="4"/>
        <v>361278.50944250007</v>
      </c>
      <c r="F97" s="670"/>
    </row>
    <row r="98" spans="1:6" x14ac:dyDescent="0.3">
      <c r="A98" s="127">
        <v>383</v>
      </c>
      <c r="B98" s="7" t="s">
        <v>339</v>
      </c>
      <c r="C98" s="168">
        <f t="shared" si="3"/>
        <v>1981420.8458333334</v>
      </c>
      <c r="E98" s="168">
        <f t="shared" si="4"/>
        <v>57857.488698333334</v>
      </c>
      <c r="F98" s="670"/>
    </row>
    <row r="99" spans="1:6" x14ac:dyDescent="0.3">
      <c r="A99" s="127">
        <v>386</v>
      </c>
      <c r="B99" s="7" t="s">
        <v>403</v>
      </c>
      <c r="C99" s="168">
        <f t="shared" si="3"/>
        <v>1051466.8216666665</v>
      </c>
      <c r="E99" s="168">
        <f t="shared" si="4"/>
        <v>0</v>
      </c>
      <c r="F99" s="670"/>
    </row>
    <row r="100" spans="1:6" x14ac:dyDescent="0.3">
      <c r="A100" s="127">
        <v>386.1</v>
      </c>
      <c r="B100" s="7" t="s">
        <v>1914</v>
      </c>
      <c r="C100" s="168">
        <f t="shared" si="3"/>
        <v>10767.625</v>
      </c>
      <c r="E100" s="168">
        <f t="shared" si="4"/>
        <v>0</v>
      </c>
      <c r="F100" s="670"/>
    </row>
    <row r="101" spans="1:6" x14ac:dyDescent="0.3">
      <c r="A101" s="127">
        <v>387.1</v>
      </c>
      <c r="B101" s="7" t="s">
        <v>404</v>
      </c>
      <c r="C101" s="168">
        <f t="shared" si="3"/>
        <v>173858.98</v>
      </c>
      <c r="E101" s="168">
        <f t="shared" si="4"/>
        <v>1425.643636</v>
      </c>
      <c r="F101" s="670"/>
    </row>
    <row r="102" spans="1:6" x14ac:dyDescent="0.3">
      <c r="A102" s="127">
        <v>387.2</v>
      </c>
      <c r="B102" s="7" t="s">
        <v>340</v>
      </c>
      <c r="C102" s="168">
        <f t="shared" si="3"/>
        <v>96424</v>
      </c>
      <c r="E102" s="168">
        <f t="shared" si="4"/>
        <v>0</v>
      </c>
      <c r="F102" s="670"/>
    </row>
    <row r="103" spans="1:6" x14ac:dyDescent="0.3">
      <c r="A103" s="127">
        <v>387.3</v>
      </c>
      <c r="B103" s="7" t="s">
        <v>405</v>
      </c>
      <c r="C103" s="168">
        <f t="shared" si="3"/>
        <v>72671</v>
      </c>
      <c r="E103" s="168">
        <f t="shared" si="4"/>
        <v>0</v>
      </c>
      <c r="F103" s="670"/>
    </row>
    <row r="104" spans="1:6" x14ac:dyDescent="0.3">
      <c r="A104" s="127">
        <v>389</v>
      </c>
      <c r="B104" s="7" t="s">
        <v>327</v>
      </c>
      <c r="C104" s="168">
        <f t="shared" si="3"/>
        <v>10767907.069999998</v>
      </c>
      <c r="E104" s="168">
        <f t="shared" si="4"/>
        <v>0</v>
      </c>
      <c r="F104" s="670"/>
    </row>
    <row r="105" spans="1:6" x14ac:dyDescent="0.3">
      <c r="A105" s="127">
        <v>390</v>
      </c>
      <c r="B105" s="7" t="s">
        <v>329</v>
      </c>
      <c r="C105" s="168">
        <f t="shared" si="3"/>
        <v>60340041.611249998</v>
      </c>
      <c r="E105" s="168">
        <f t="shared" si="4"/>
        <v>1369718.9445753752</v>
      </c>
      <c r="F105" s="670"/>
    </row>
    <row r="106" spans="1:6" x14ac:dyDescent="0.3">
      <c r="A106" s="127">
        <v>390.1</v>
      </c>
      <c r="B106" s="7" t="s">
        <v>341</v>
      </c>
      <c r="C106" s="168">
        <f t="shared" si="3"/>
        <v>19269310.219583333</v>
      </c>
      <c r="E106" s="168">
        <f t="shared" si="4"/>
        <v>414290.16972104157</v>
      </c>
      <c r="F106" s="670"/>
    </row>
    <row r="107" spans="1:6" x14ac:dyDescent="0.3">
      <c r="A107" s="127">
        <v>391.1</v>
      </c>
      <c r="B107" s="7" t="s">
        <v>342</v>
      </c>
      <c r="C107" s="168">
        <f t="shared" si="3"/>
        <v>7734525.1533333398</v>
      </c>
      <c r="E107" s="168">
        <f t="shared" si="4"/>
        <v>386726.25766666699</v>
      </c>
      <c r="F107" s="670"/>
    </row>
    <row r="108" spans="1:6" x14ac:dyDescent="0.3">
      <c r="A108" s="127">
        <v>391.2</v>
      </c>
      <c r="B108" s="7" t="s">
        <v>406</v>
      </c>
      <c r="C108" s="168">
        <f t="shared" si="3"/>
        <v>21833026.224166684</v>
      </c>
      <c r="E108" s="168">
        <f t="shared" si="4"/>
        <v>4366605.2448333371</v>
      </c>
      <c r="F108" s="670"/>
    </row>
    <row r="109" spans="1:6" x14ac:dyDescent="0.3">
      <c r="A109" s="127" t="s">
        <v>1944</v>
      </c>
      <c r="B109" s="7" t="s">
        <v>407</v>
      </c>
      <c r="C109" s="168">
        <f t="shared" si="3"/>
        <v>0</v>
      </c>
      <c r="E109" s="168"/>
      <c r="F109" s="670"/>
    </row>
    <row r="110" spans="1:6" x14ac:dyDescent="0.3">
      <c r="A110" s="127" t="s">
        <v>1945</v>
      </c>
      <c r="B110" s="7" t="s">
        <v>325</v>
      </c>
      <c r="C110" s="168">
        <f t="shared" si="3"/>
        <v>0</v>
      </c>
      <c r="E110" s="168"/>
      <c r="F110" s="670"/>
    </row>
    <row r="111" spans="1:6" x14ac:dyDescent="0.3">
      <c r="A111" s="127">
        <v>392</v>
      </c>
      <c r="B111" s="7" t="s">
        <v>343</v>
      </c>
      <c r="C111" s="168">
        <f t="shared" si="3"/>
        <v>42774005.408750005</v>
      </c>
      <c r="E111" s="168">
        <f t="shared" ref="E111:E127" si="5">+E236+E361</f>
        <v>0</v>
      </c>
      <c r="F111" s="670"/>
    </row>
    <row r="112" spans="1:6" x14ac:dyDescent="0.3">
      <c r="A112" s="127">
        <v>393</v>
      </c>
      <c r="B112" s="7" t="s">
        <v>408</v>
      </c>
      <c r="C112" s="168">
        <f t="shared" si="3"/>
        <v>119406</v>
      </c>
      <c r="E112" s="168">
        <f t="shared" si="5"/>
        <v>0</v>
      </c>
      <c r="F112" s="670"/>
    </row>
    <row r="113" spans="1:8" x14ac:dyDescent="0.3">
      <c r="A113" s="127">
        <v>394</v>
      </c>
      <c r="B113" s="7" t="s">
        <v>344</v>
      </c>
      <c r="C113" s="168">
        <f t="shared" si="3"/>
        <v>12153073.093749993</v>
      </c>
      <c r="E113" s="168">
        <f t="shared" si="5"/>
        <v>486122.92374999973</v>
      </c>
      <c r="F113" s="670"/>
    </row>
    <row r="114" spans="1:8" x14ac:dyDescent="0.3">
      <c r="A114" s="127">
        <v>395</v>
      </c>
      <c r="B114" s="7" t="s">
        <v>409</v>
      </c>
      <c r="C114" s="168">
        <f t="shared" si="3"/>
        <v>277</v>
      </c>
      <c r="E114" s="168">
        <f t="shared" si="5"/>
        <v>0</v>
      </c>
      <c r="F114" s="670"/>
    </row>
    <row r="115" spans="1:8" x14ac:dyDescent="0.3">
      <c r="A115" s="127">
        <v>396</v>
      </c>
      <c r="B115" s="7" t="s">
        <v>345</v>
      </c>
      <c r="C115" s="168">
        <f t="shared" si="3"/>
        <v>10466927.468750004</v>
      </c>
      <c r="E115" s="168">
        <f t="shared" si="5"/>
        <v>0</v>
      </c>
      <c r="F115" s="670"/>
    </row>
    <row r="116" spans="1:8" x14ac:dyDescent="0.3">
      <c r="A116" s="127">
        <v>397</v>
      </c>
      <c r="B116" s="7" t="s">
        <v>410</v>
      </c>
      <c r="C116" s="168">
        <f t="shared" si="3"/>
        <v>88322.23</v>
      </c>
      <c r="E116" s="168">
        <f t="shared" si="5"/>
        <v>5891.0927409999995</v>
      </c>
      <c r="F116" s="670"/>
    </row>
    <row r="117" spans="1:8" x14ac:dyDescent="0.3">
      <c r="A117" s="127">
        <v>397.1</v>
      </c>
      <c r="B117" s="7" t="s">
        <v>411</v>
      </c>
      <c r="C117" s="168">
        <f t="shared" si="3"/>
        <v>38433.140000000072</v>
      </c>
      <c r="E117" s="168">
        <f t="shared" si="5"/>
        <v>3843.3140000000076</v>
      </c>
      <c r="F117" s="670"/>
    </row>
    <row r="118" spans="1:8" x14ac:dyDescent="0.3">
      <c r="A118" s="127">
        <v>397.2</v>
      </c>
      <c r="B118" s="7" t="s">
        <v>412</v>
      </c>
      <c r="C118" s="168">
        <f t="shared" si="3"/>
        <v>9957.649999999674</v>
      </c>
      <c r="E118" s="168">
        <f t="shared" si="5"/>
        <v>0</v>
      </c>
      <c r="F118" s="670"/>
    </row>
    <row r="119" spans="1:8" x14ac:dyDescent="0.3">
      <c r="A119" s="127">
        <v>397.3</v>
      </c>
      <c r="B119" s="7" t="s">
        <v>346</v>
      </c>
      <c r="C119" s="168">
        <f t="shared" si="3"/>
        <v>1924016.5116666649</v>
      </c>
      <c r="E119" s="168">
        <f t="shared" si="5"/>
        <v>128331.90132816654</v>
      </c>
      <c r="F119" s="670"/>
    </row>
    <row r="120" spans="1:8" x14ac:dyDescent="0.3">
      <c r="A120" s="127">
        <v>397.4</v>
      </c>
      <c r="B120" s="7" t="s">
        <v>413</v>
      </c>
      <c r="C120" s="168">
        <f t="shared" si="3"/>
        <v>2355119.8158333334</v>
      </c>
      <c r="E120" s="168">
        <f t="shared" si="5"/>
        <v>157086.49171608331</v>
      </c>
      <c r="F120" s="670"/>
    </row>
    <row r="121" spans="1:8" x14ac:dyDescent="0.3">
      <c r="A121" s="127">
        <v>397.5</v>
      </c>
      <c r="B121" s="7" t="s">
        <v>414</v>
      </c>
      <c r="C121" s="168">
        <f t="shared" si="3"/>
        <v>490766.50000000006</v>
      </c>
      <c r="E121" s="168">
        <f t="shared" si="5"/>
        <v>49076.650000000009</v>
      </c>
      <c r="F121" s="670"/>
    </row>
    <row r="122" spans="1:8" x14ac:dyDescent="0.3">
      <c r="A122" s="127">
        <v>398</v>
      </c>
      <c r="B122" s="7" t="s">
        <v>415</v>
      </c>
      <c r="C122" s="168">
        <f t="shared" si="3"/>
        <v>0</v>
      </c>
      <c r="E122" s="168">
        <f t="shared" si="5"/>
        <v>0</v>
      </c>
      <c r="F122" s="670"/>
    </row>
    <row r="123" spans="1:8" x14ac:dyDescent="0.3">
      <c r="A123" s="127">
        <v>398.1</v>
      </c>
      <c r="B123" s="7" t="s">
        <v>416</v>
      </c>
      <c r="C123" s="168">
        <f t="shared" si="3"/>
        <v>4359.3100000000122</v>
      </c>
      <c r="E123" s="168">
        <f t="shared" si="5"/>
        <v>0</v>
      </c>
      <c r="F123" s="670"/>
    </row>
    <row r="124" spans="1:8" x14ac:dyDescent="0.3">
      <c r="A124" s="127">
        <v>398.2</v>
      </c>
      <c r="B124" s="7" t="s">
        <v>417</v>
      </c>
      <c r="C124" s="168">
        <f t="shared" si="3"/>
        <v>12812.44</v>
      </c>
      <c r="E124" s="168">
        <f t="shared" si="5"/>
        <v>854.58974799999999</v>
      </c>
      <c r="F124" s="670"/>
    </row>
    <row r="125" spans="1:8" x14ac:dyDescent="0.3">
      <c r="A125" s="127">
        <v>398.3</v>
      </c>
      <c r="B125" s="7" t="s">
        <v>418</v>
      </c>
      <c r="C125" s="168">
        <f t="shared" si="3"/>
        <v>14873</v>
      </c>
      <c r="E125" s="168">
        <f t="shared" si="5"/>
        <v>0</v>
      </c>
      <c r="F125" s="670"/>
    </row>
    <row r="126" spans="1:8" x14ac:dyDescent="0.3">
      <c r="A126" s="127">
        <v>398.4</v>
      </c>
      <c r="B126" s="7" t="s">
        <v>347</v>
      </c>
      <c r="C126" s="168">
        <f t="shared" si="3"/>
        <v>10120</v>
      </c>
      <c r="E126" s="168">
        <f t="shared" si="5"/>
        <v>0</v>
      </c>
      <c r="F126" s="670"/>
    </row>
    <row r="127" spans="1:8" x14ac:dyDescent="0.3">
      <c r="A127" s="127">
        <v>398.5</v>
      </c>
      <c r="B127" s="7" t="s">
        <v>419</v>
      </c>
      <c r="C127" s="104">
        <f t="shared" si="3"/>
        <v>66739</v>
      </c>
      <c r="E127" s="104">
        <f t="shared" si="5"/>
        <v>0</v>
      </c>
      <c r="F127" s="670"/>
    </row>
    <row r="128" spans="1:8" x14ac:dyDescent="0.3">
      <c r="B128" s="7" t="s">
        <v>1915</v>
      </c>
      <c r="C128" s="168">
        <f>SUM(C7:C127)</f>
        <v>2965885440.4570837</v>
      </c>
      <c r="E128" s="152">
        <f>SUM(E7:E127)</f>
        <v>80590057.271162674</v>
      </c>
      <c r="H128" s="152"/>
    </row>
    <row r="129" spans="1:8" x14ac:dyDescent="0.3">
      <c r="C129" s="671"/>
      <c r="D129" s="667"/>
      <c r="E129" s="667"/>
      <c r="H129" s="152"/>
    </row>
    <row r="130" spans="1:8" x14ac:dyDescent="0.3">
      <c r="A130" s="87" t="s">
        <v>148</v>
      </c>
      <c r="H130" s="152"/>
    </row>
    <row r="132" spans="1:8" x14ac:dyDescent="0.3">
      <c r="A132" s="127">
        <v>301</v>
      </c>
      <c r="B132" s="7" t="s">
        <v>323</v>
      </c>
      <c r="C132" s="168">
        <v>852</v>
      </c>
      <c r="D132" s="672">
        <v>0</v>
      </c>
      <c r="E132" s="152">
        <v>0</v>
      </c>
    </row>
    <row r="133" spans="1:8" x14ac:dyDescent="0.3">
      <c r="A133" s="127">
        <v>302</v>
      </c>
      <c r="B133" s="7" t="s">
        <v>324</v>
      </c>
      <c r="C133" s="168">
        <v>83496.27</v>
      </c>
      <c r="D133" s="672">
        <v>0</v>
      </c>
      <c r="E133" s="152">
        <v>0</v>
      </c>
    </row>
    <row r="134" spans="1:8" x14ac:dyDescent="0.3">
      <c r="A134" s="127">
        <v>303.10000000000002</v>
      </c>
      <c r="B134" s="7" t="s">
        <v>348</v>
      </c>
      <c r="C134" s="168">
        <v>68369532.019583344</v>
      </c>
      <c r="D134" s="672">
        <v>6.7799999999999999E-2</v>
      </c>
      <c r="E134" s="152">
        <v>4635454.2709277505</v>
      </c>
    </row>
    <row r="135" spans="1:8" x14ac:dyDescent="0.3">
      <c r="A135" s="127">
        <v>303.2</v>
      </c>
      <c r="B135" s="7" t="s">
        <v>325</v>
      </c>
      <c r="C135" s="168">
        <v>30488304.730000004</v>
      </c>
      <c r="D135" s="672">
        <v>1E-4</v>
      </c>
      <c r="E135" s="152">
        <v>0</v>
      </c>
    </row>
    <row r="136" spans="1:8" x14ac:dyDescent="0.3">
      <c r="A136" s="127">
        <v>303.3</v>
      </c>
      <c r="B136" s="7" t="s">
        <v>349</v>
      </c>
      <c r="C136" s="168">
        <v>4146951</v>
      </c>
      <c r="D136" s="672">
        <v>0</v>
      </c>
      <c r="E136" s="152">
        <v>0</v>
      </c>
    </row>
    <row r="137" spans="1:8" x14ac:dyDescent="0.3">
      <c r="A137" s="127">
        <v>303.39999999999998</v>
      </c>
      <c r="B137" s="7" t="s">
        <v>350</v>
      </c>
      <c r="C137" s="168">
        <v>682892.54999999993</v>
      </c>
      <c r="D137" s="672">
        <v>0.1096</v>
      </c>
      <c r="E137" s="152">
        <v>0</v>
      </c>
    </row>
    <row r="138" spans="1:8" x14ac:dyDescent="0.3">
      <c r="A138" s="127">
        <v>303.5</v>
      </c>
      <c r="B138" s="7" t="s">
        <v>351</v>
      </c>
      <c r="C138" s="168">
        <v>0</v>
      </c>
      <c r="D138" s="672">
        <v>0</v>
      </c>
      <c r="E138" s="152">
        <v>0</v>
      </c>
    </row>
    <row r="139" spans="1:8" x14ac:dyDescent="0.3">
      <c r="A139" s="127">
        <v>304.10000000000002</v>
      </c>
      <c r="B139" s="7" t="s">
        <v>327</v>
      </c>
      <c r="C139" s="168">
        <v>24998</v>
      </c>
      <c r="D139" s="672">
        <v>0</v>
      </c>
      <c r="E139" s="152">
        <v>0</v>
      </c>
    </row>
    <row r="140" spans="1:8" x14ac:dyDescent="0.3">
      <c r="A140" s="127">
        <v>305.2</v>
      </c>
      <c r="B140" s="7" t="s">
        <v>352</v>
      </c>
      <c r="C140" s="168">
        <v>0</v>
      </c>
      <c r="D140" s="672">
        <v>0</v>
      </c>
      <c r="E140" s="152">
        <v>0</v>
      </c>
    </row>
    <row r="141" spans="1:8" x14ac:dyDescent="0.3">
      <c r="A141" s="127">
        <v>305.5</v>
      </c>
      <c r="B141" s="7" t="s">
        <v>353</v>
      </c>
      <c r="C141" s="168">
        <v>13156</v>
      </c>
      <c r="D141" s="672">
        <v>0</v>
      </c>
      <c r="E141" s="152">
        <v>0</v>
      </c>
    </row>
    <row r="142" spans="1:8" x14ac:dyDescent="0.3">
      <c r="A142" s="127">
        <v>312.3</v>
      </c>
      <c r="B142" s="7" t="s">
        <v>354</v>
      </c>
      <c r="C142" s="168">
        <v>0</v>
      </c>
      <c r="D142" s="672">
        <v>0</v>
      </c>
      <c r="E142" s="152">
        <v>0</v>
      </c>
    </row>
    <row r="143" spans="1:8" x14ac:dyDescent="0.3">
      <c r="A143" s="127">
        <v>318.3</v>
      </c>
      <c r="B143" s="7" t="s">
        <v>355</v>
      </c>
      <c r="C143" s="168">
        <v>144896</v>
      </c>
      <c r="D143" s="672">
        <v>0</v>
      </c>
      <c r="E143" s="152">
        <v>0</v>
      </c>
    </row>
    <row r="144" spans="1:8" x14ac:dyDescent="0.3">
      <c r="A144" s="127">
        <v>318.5</v>
      </c>
      <c r="B144" s="7" t="s">
        <v>356</v>
      </c>
      <c r="C144" s="168">
        <v>243551</v>
      </c>
      <c r="D144" s="672">
        <v>0</v>
      </c>
      <c r="E144" s="152">
        <v>0</v>
      </c>
    </row>
    <row r="145" spans="1:5" x14ac:dyDescent="0.3">
      <c r="A145" s="127">
        <v>325</v>
      </c>
      <c r="B145" s="7" t="s">
        <v>357</v>
      </c>
      <c r="C145" s="168">
        <v>0</v>
      </c>
      <c r="D145" s="672">
        <v>0</v>
      </c>
      <c r="E145" s="152">
        <v>0</v>
      </c>
    </row>
    <row r="146" spans="1:5" x14ac:dyDescent="0.3">
      <c r="A146" s="127">
        <v>327</v>
      </c>
      <c r="B146" s="7" t="s">
        <v>358</v>
      </c>
      <c r="C146" s="168">
        <v>0</v>
      </c>
      <c r="D146" s="672">
        <v>0</v>
      </c>
      <c r="E146" s="152">
        <v>0</v>
      </c>
    </row>
    <row r="147" spans="1:5" x14ac:dyDescent="0.3">
      <c r="A147" s="127">
        <v>328</v>
      </c>
      <c r="B147" s="7" t="s">
        <v>357</v>
      </c>
      <c r="C147" s="168">
        <v>0</v>
      </c>
      <c r="D147" s="672">
        <v>0</v>
      </c>
      <c r="E147" s="152">
        <v>0</v>
      </c>
    </row>
    <row r="148" spans="1:5" x14ac:dyDescent="0.3">
      <c r="A148" s="127">
        <v>331</v>
      </c>
      <c r="B148" s="7" t="s">
        <v>358</v>
      </c>
      <c r="C148" s="168">
        <v>0</v>
      </c>
      <c r="D148" s="672">
        <v>0</v>
      </c>
      <c r="E148" s="152">
        <v>0</v>
      </c>
    </row>
    <row r="149" spans="1:5" x14ac:dyDescent="0.3">
      <c r="A149" s="127">
        <v>332</v>
      </c>
      <c r="B149" s="7" t="s">
        <v>358</v>
      </c>
      <c r="C149" s="168">
        <v>0</v>
      </c>
      <c r="D149" s="672">
        <v>0</v>
      </c>
      <c r="E149" s="152">
        <v>0</v>
      </c>
    </row>
    <row r="150" spans="1:5" x14ac:dyDescent="0.3">
      <c r="A150" s="127">
        <v>333</v>
      </c>
      <c r="B150" s="7" t="s">
        <v>358</v>
      </c>
      <c r="C150" s="168">
        <v>0</v>
      </c>
      <c r="D150" s="672">
        <v>0</v>
      </c>
      <c r="E150" s="152">
        <v>0</v>
      </c>
    </row>
    <row r="151" spans="1:5" x14ac:dyDescent="0.3">
      <c r="A151" s="127">
        <v>334</v>
      </c>
      <c r="B151" s="7" t="s">
        <v>358</v>
      </c>
      <c r="C151" s="168">
        <v>0</v>
      </c>
      <c r="D151" s="672">
        <v>0</v>
      </c>
      <c r="E151" s="152">
        <v>0</v>
      </c>
    </row>
    <row r="152" spans="1:5" x14ac:dyDescent="0.3">
      <c r="A152" s="127">
        <v>305.11</v>
      </c>
      <c r="B152" s="7" t="s">
        <v>359</v>
      </c>
      <c r="C152" s="168">
        <v>8320</v>
      </c>
      <c r="D152" s="672">
        <v>0</v>
      </c>
      <c r="E152" s="152">
        <v>0</v>
      </c>
    </row>
    <row r="153" spans="1:5" x14ac:dyDescent="0.3">
      <c r="A153" s="127">
        <v>305.17</v>
      </c>
      <c r="B153" s="7" t="s">
        <v>360</v>
      </c>
      <c r="C153" s="168">
        <v>46587</v>
      </c>
      <c r="D153" s="672">
        <v>0</v>
      </c>
      <c r="E153" s="152">
        <v>0</v>
      </c>
    </row>
    <row r="154" spans="1:5" x14ac:dyDescent="0.3">
      <c r="A154" s="127">
        <v>311</v>
      </c>
      <c r="B154" s="7" t="s">
        <v>361</v>
      </c>
      <c r="C154" s="168">
        <v>0</v>
      </c>
      <c r="D154" s="672">
        <v>0</v>
      </c>
      <c r="E154" s="152">
        <v>0</v>
      </c>
    </row>
    <row r="155" spans="1:5" x14ac:dyDescent="0.3">
      <c r="A155" s="127">
        <v>311.39999999999998</v>
      </c>
      <c r="B155" s="7" t="s">
        <v>362</v>
      </c>
      <c r="C155" s="168">
        <v>0</v>
      </c>
      <c r="D155" s="672">
        <v>0</v>
      </c>
      <c r="E155" s="152">
        <v>0</v>
      </c>
    </row>
    <row r="156" spans="1:5" x14ac:dyDescent="0.3">
      <c r="A156" s="127">
        <v>311.7</v>
      </c>
      <c r="B156" s="7" t="s">
        <v>363</v>
      </c>
      <c r="C156" s="168">
        <v>4033</v>
      </c>
      <c r="D156" s="672">
        <v>0</v>
      </c>
      <c r="E156" s="152">
        <v>0</v>
      </c>
    </row>
    <row r="157" spans="1:5" x14ac:dyDescent="0.3">
      <c r="A157" s="127">
        <v>311.8</v>
      </c>
      <c r="B157" s="7" t="s">
        <v>364</v>
      </c>
      <c r="C157" s="168">
        <v>4209</v>
      </c>
      <c r="D157" s="672">
        <v>0</v>
      </c>
      <c r="E157" s="152">
        <v>0</v>
      </c>
    </row>
    <row r="158" spans="1:5" x14ac:dyDescent="0.3">
      <c r="A158" s="127">
        <v>319</v>
      </c>
      <c r="B158" s="7" t="s">
        <v>365</v>
      </c>
      <c r="C158" s="168">
        <v>185448</v>
      </c>
      <c r="D158" s="672">
        <v>0</v>
      </c>
      <c r="E158" s="152">
        <v>0</v>
      </c>
    </row>
    <row r="159" spans="1:5" x14ac:dyDescent="0.3">
      <c r="A159" s="127">
        <v>350.1</v>
      </c>
      <c r="B159" s="7" t="s">
        <v>327</v>
      </c>
      <c r="C159" s="168">
        <v>106549</v>
      </c>
      <c r="D159" s="672">
        <v>0</v>
      </c>
      <c r="E159" s="152">
        <v>0</v>
      </c>
    </row>
    <row r="160" spans="1:5" x14ac:dyDescent="0.3">
      <c r="A160" s="127">
        <v>350.2</v>
      </c>
      <c r="B160" s="7" t="s">
        <v>366</v>
      </c>
      <c r="C160" s="168">
        <v>109624.93999999996</v>
      </c>
      <c r="D160" s="672">
        <v>1.43E-2</v>
      </c>
      <c r="E160" s="152">
        <v>1567.6366419999995</v>
      </c>
    </row>
    <row r="161" spans="1:5" x14ac:dyDescent="0.3">
      <c r="A161" s="127">
        <v>351</v>
      </c>
      <c r="B161" s="7" t="s">
        <v>367</v>
      </c>
      <c r="C161" s="168">
        <v>7705662.0658333348</v>
      </c>
      <c r="D161" s="672">
        <v>1.4999999999999999E-2</v>
      </c>
      <c r="E161" s="152">
        <v>115584.93098750002</v>
      </c>
    </row>
    <row r="162" spans="1:5" x14ac:dyDescent="0.3">
      <c r="A162" s="127">
        <v>352</v>
      </c>
      <c r="B162" s="7" t="s">
        <v>368</v>
      </c>
      <c r="C162" s="168">
        <v>22014652.297083333</v>
      </c>
      <c r="D162" s="672">
        <v>1.4999999999999999E-2</v>
      </c>
      <c r="E162" s="152">
        <v>330219.78445624997</v>
      </c>
    </row>
    <row r="163" spans="1:5" x14ac:dyDescent="0.3">
      <c r="A163" s="127">
        <v>352.1</v>
      </c>
      <c r="B163" s="7" t="s">
        <v>369</v>
      </c>
      <c r="C163" s="168">
        <v>3938491.32</v>
      </c>
      <c r="D163" s="672">
        <v>1.67E-2</v>
      </c>
      <c r="E163" s="152">
        <v>65772.805043999993</v>
      </c>
    </row>
    <row r="164" spans="1:5" x14ac:dyDescent="0.3">
      <c r="A164" s="127">
        <v>352.2</v>
      </c>
      <c r="B164" s="7" t="s">
        <v>370</v>
      </c>
      <c r="C164" s="168">
        <v>7272553.0900000026</v>
      </c>
      <c r="D164" s="672">
        <v>1.7299999999999999E-2</v>
      </c>
      <c r="E164" s="152">
        <v>125815.16845700004</v>
      </c>
    </row>
    <row r="165" spans="1:5" x14ac:dyDescent="0.3">
      <c r="A165" s="127">
        <v>352.3</v>
      </c>
      <c r="B165" s="7" t="s">
        <v>371</v>
      </c>
      <c r="C165" s="168">
        <v>6440889.8200000003</v>
      </c>
      <c r="D165" s="672">
        <v>1.5700000000000002E-2</v>
      </c>
      <c r="E165" s="152">
        <v>101121.97017400002</v>
      </c>
    </row>
    <row r="166" spans="1:5" x14ac:dyDescent="0.3">
      <c r="A166" s="127">
        <v>353</v>
      </c>
      <c r="B166" s="7" t="s">
        <v>372</v>
      </c>
      <c r="C166" s="168">
        <v>6567490.120000001</v>
      </c>
      <c r="D166" s="672">
        <v>2.06E-2</v>
      </c>
      <c r="E166" s="152">
        <v>135290.29647200002</v>
      </c>
    </row>
    <row r="167" spans="1:5" x14ac:dyDescent="0.3">
      <c r="A167" s="127">
        <v>354</v>
      </c>
      <c r="B167" s="7" t="s">
        <v>373</v>
      </c>
      <c r="C167" s="168">
        <v>0</v>
      </c>
      <c r="D167" s="672">
        <v>2.1499999999999998E-2</v>
      </c>
      <c r="E167" s="152">
        <v>0</v>
      </c>
    </row>
    <row r="168" spans="1:5" x14ac:dyDescent="0.3">
      <c r="A168" s="127">
        <v>354.1</v>
      </c>
      <c r="B168" s="7" t="s">
        <v>1909</v>
      </c>
      <c r="C168" s="168">
        <v>4154699.6599999988</v>
      </c>
      <c r="D168" s="672">
        <v>1.5100000000000001E-2</v>
      </c>
      <c r="E168" s="152">
        <v>62735.96486599998</v>
      </c>
    </row>
    <row r="169" spans="1:5" x14ac:dyDescent="0.3">
      <c r="A169" s="127">
        <v>354.2</v>
      </c>
      <c r="B169" s="7" t="s">
        <v>1910</v>
      </c>
      <c r="C169" s="168">
        <v>4154699</v>
      </c>
      <c r="D169" s="672">
        <v>1.4800000000000001E-2</v>
      </c>
      <c r="E169" s="152">
        <v>61489.5452</v>
      </c>
    </row>
    <row r="170" spans="1:5" x14ac:dyDescent="0.3">
      <c r="A170" s="127">
        <v>354.3</v>
      </c>
      <c r="B170" s="7" t="s">
        <v>1911</v>
      </c>
      <c r="C170" s="168">
        <v>19640514.360000003</v>
      </c>
      <c r="D170" s="672">
        <v>1.8600000000000002E-2</v>
      </c>
      <c r="E170" s="152">
        <v>365313.56709600007</v>
      </c>
    </row>
    <row r="171" spans="1:5" x14ac:dyDescent="0.3">
      <c r="A171" s="127">
        <v>354.4</v>
      </c>
      <c r="B171" s="7" t="s">
        <v>1912</v>
      </c>
      <c r="C171" s="168">
        <v>3316171.1700000004</v>
      </c>
      <c r="D171" s="672">
        <v>1.9299999999999998E-2</v>
      </c>
      <c r="E171" s="152">
        <v>64002.103581000003</v>
      </c>
    </row>
    <row r="172" spans="1:5" x14ac:dyDescent="0.3">
      <c r="A172" s="127">
        <v>354.6</v>
      </c>
      <c r="B172" s="7" t="s">
        <v>1913</v>
      </c>
      <c r="C172" s="168">
        <v>86443.026666666658</v>
      </c>
      <c r="D172" s="672">
        <v>2.1899999999999999E-2</v>
      </c>
      <c r="E172" s="152">
        <v>1893.1022839999998</v>
      </c>
    </row>
    <row r="173" spans="1:5" x14ac:dyDescent="0.3">
      <c r="A173" s="127">
        <v>355</v>
      </c>
      <c r="B173" s="7" t="s">
        <v>374</v>
      </c>
      <c r="C173" s="168">
        <v>7407962.8445833353</v>
      </c>
      <c r="D173" s="672">
        <v>2.2700000000000001E-2</v>
      </c>
      <c r="E173" s="152">
        <v>168160.75657204172</v>
      </c>
    </row>
    <row r="174" spans="1:5" x14ac:dyDescent="0.3">
      <c r="A174" s="127">
        <v>356</v>
      </c>
      <c r="B174" s="7" t="s">
        <v>375</v>
      </c>
      <c r="C174" s="168">
        <v>316646.39666666661</v>
      </c>
      <c r="D174" s="672">
        <v>1.37E-2</v>
      </c>
      <c r="E174" s="152">
        <v>4338.0556343333328</v>
      </c>
    </row>
    <row r="175" spans="1:5" x14ac:dyDescent="0.3">
      <c r="A175" s="127">
        <v>357</v>
      </c>
      <c r="B175" s="7" t="s">
        <v>376</v>
      </c>
      <c r="C175" s="168">
        <v>1631181.2962499997</v>
      </c>
      <c r="D175" s="672">
        <v>2.1700000000000001E-2</v>
      </c>
      <c r="E175" s="152">
        <v>35396.634128624995</v>
      </c>
    </row>
    <row r="176" spans="1:5" x14ac:dyDescent="0.3">
      <c r="A176" s="127">
        <v>360.11</v>
      </c>
      <c r="B176" s="7" t="s">
        <v>377</v>
      </c>
      <c r="C176" s="168">
        <v>83598</v>
      </c>
      <c r="D176" s="672">
        <v>0</v>
      </c>
      <c r="E176" s="152">
        <v>0</v>
      </c>
    </row>
    <row r="177" spans="1:5" x14ac:dyDescent="0.3">
      <c r="A177" s="127">
        <v>360.12</v>
      </c>
      <c r="B177" s="7" t="s">
        <v>378</v>
      </c>
      <c r="C177" s="168">
        <v>536674.82000000007</v>
      </c>
      <c r="D177" s="672">
        <v>0</v>
      </c>
      <c r="E177" s="152">
        <v>0</v>
      </c>
    </row>
    <row r="178" spans="1:5" x14ac:dyDescent="0.3">
      <c r="A178" s="127">
        <v>360.2</v>
      </c>
      <c r="B178" s="7" t="s">
        <v>379</v>
      </c>
      <c r="C178" s="168">
        <v>106557.31000000004</v>
      </c>
      <c r="D178" s="672">
        <v>0</v>
      </c>
      <c r="E178" s="152">
        <v>0</v>
      </c>
    </row>
    <row r="179" spans="1:5" x14ac:dyDescent="0.3">
      <c r="A179" s="127">
        <v>361.11</v>
      </c>
      <c r="B179" s="7" t="s">
        <v>329</v>
      </c>
      <c r="C179" s="168">
        <v>5285740.7654166678</v>
      </c>
      <c r="D179" s="672">
        <v>3.7900000000000003E-2</v>
      </c>
      <c r="E179" s="152">
        <v>200329.57500929173</v>
      </c>
    </row>
    <row r="180" spans="1:5" x14ac:dyDescent="0.3">
      <c r="A180" s="127">
        <v>361.12</v>
      </c>
      <c r="B180" s="7" t="s">
        <v>329</v>
      </c>
      <c r="C180" s="168">
        <v>10100644.703749998</v>
      </c>
      <c r="D180" s="672">
        <v>4.3299999999999998E-2</v>
      </c>
      <c r="E180" s="152">
        <v>437357.91567237489</v>
      </c>
    </row>
    <row r="181" spans="1:5" x14ac:dyDescent="0.3">
      <c r="A181" s="127">
        <v>361.2</v>
      </c>
      <c r="B181" s="7" t="s">
        <v>380</v>
      </c>
      <c r="C181" s="168">
        <v>26757</v>
      </c>
      <c r="D181" s="672">
        <v>1.77E-2</v>
      </c>
      <c r="E181" s="152">
        <v>473.59890000000001</v>
      </c>
    </row>
    <row r="182" spans="1:5" x14ac:dyDescent="0.3">
      <c r="A182" s="127">
        <v>362.11</v>
      </c>
      <c r="B182" s="7" t="s">
        <v>381</v>
      </c>
      <c r="C182" s="168">
        <v>4528378.5437500002</v>
      </c>
      <c r="D182" s="672">
        <v>2.58E-2</v>
      </c>
      <c r="E182" s="152">
        <v>116832.16642875</v>
      </c>
    </row>
    <row r="183" spans="1:5" x14ac:dyDescent="0.3">
      <c r="A183" s="127">
        <v>362.12</v>
      </c>
      <c r="B183" s="7" t="s">
        <v>382</v>
      </c>
      <c r="C183" s="168">
        <v>5907953.7625000002</v>
      </c>
      <c r="D183" s="672">
        <v>2.4300000000000002E-2</v>
      </c>
      <c r="E183" s="152">
        <v>143563.27642875002</v>
      </c>
    </row>
    <row r="184" spans="1:5" x14ac:dyDescent="0.3">
      <c r="A184" s="127">
        <v>362.2</v>
      </c>
      <c r="B184" s="7" t="s">
        <v>383</v>
      </c>
      <c r="C184" s="168">
        <v>1600.1399999999996</v>
      </c>
      <c r="D184" s="672">
        <v>0.01</v>
      </c>
      <c r="E184" s="152">
        <v>16.001399999999997</v>
      </c>
    </row>
    <row r="185" spans="1:5" x14ac:dyDescent="0.3">
      <c r="A185" s="127">
        <v>363.11</v>
      </c>
      <c r="B185" s="7" t="s">
        <v>384</v>
      </c>
      <c r="C185" s="168">
        <v>3325220.6058333335</v>
      </c>
      <c r="D185" s="672">
        <v>1.3100000000000001E-2</v>
      </c>
      <c r="E185" s="152">
        <v>43560.389936416672</v>
      </c>
    </row>
    <row r="186" spans="1:5" x14ac:dyDescent="0.3">
      <c r="A186" s="127">
        <v>363.12</v>
      </c>
      <c r="B186" s="7" t="s">
        <v>385</v>
      </c>
      <c r="C186" s="168">
        <v>10740768.129166668</v>
      </c>
      <c r="D186" s="672">
        <v>6.7000000000000002E-3</v>
      </c>
      <c r="E186" s="152">
        <v>71963.146465416678</v>
      </c>
    </row>
    <row r="187" spans="1:5" x14ac:dyDescent="0.3">
      <c r="A187" s="127">
        <v>363.21</v>
      </c>
      <c r="B187" s="7" t="s">
        <v>386</v>
      </c>
      <c r="C187" s="168">
        <v>4715064.5162500003</v>
      </c>
      <c r="D187" s="672">
        <v>4.6999999999999993E-3</v>
      </c>
      <c r="E187" s="152">
        <v>22160.803226374999</v>
      </c>
    </row>
    <row r="188" spans="1:5" x14ac:dyDescent="0.3">
      <c r="A188" s="127">
        <v>363.22</v>
      </c>
      <c r="B188" s="7" t="s">
        <v>387</v>
      </c>
      <c r="C188" s="168">
        <v>4299137.3962500012</v>
      </c>
      <c r="D188" s="672">
        <v>3.0899999999999997E-2</v>
      </c>
      <c r="E188" s="152">
        <v>132843.34554412501</v>
      </c>
    </row>
    <row r="189" spans="1:5" x14ac:dyDescent="0.3">
      <c r="A189" s="127">
        <v>363.31</v>
      </c>
      <c r="B189" s="7" t="s">
        <v>388</v>
      </c>
      <c r="C189" s="168">
        <v>180903.23</v>
      </c>
      <c r="D189" s="672">
        <v>0</v>
      </c>
      <c r="E189" s="152">
        <v>0</v>
      </c>
    </row>
    <row r="190" spans="1:5" x14ac:dyDescent="0.3">
      <c r="A190" s="127">
        <v>363.32</v>
      </c>
      <c r="B190" s="7" t="s">
        <v>389</v>
      </c>
      <c r="C190" s="168">
        <v>4375771.1066666692</v>
      </c>
      <c r="D190" s="672">
        <v>7.5800000000000006E-2</v>
      </c>
      <c r="E190" s="152">
        <v>331683.44988533354</v>
      </c>
    </row>
    <row r="191" spans="1:5" x14ac:dyDescent="0.3">
      <c r="A191" s="127">
        <v>363.41</v>
      </c>
      <c r="B191" s="7" t="s">
        <v>390</v>
      </c>
      <c r="C191" s="168">
        <v>2437846.1029166658</v>
      </c>
      <c r="D191" s="672">
        <v>3.9900000000000005E-2</v>
      </c>
      <c r="E191" s="152">
        <v>97270.059506374979</v>
      </c>
    </row>
    <row r="192" spans="1:5" x14ac:dyDescent="0.3">
      <c r="A192" s="127">
        <v>363.42</v>
      </c>
      <c r="B192" s="7" t="s">
        <v>390</v>
      </c>
      <c r="C192" s="168">
        <v>10010641.290416665</v>
      </c>
      <c r="D192" s="672">
        <v>1.2999999999999999E-3</v>
      </c>
      <c r="E192" s="152">
        <v>13013.833677541665</v>
      </c>
    </row>
    <row r="193" spans="1:5" x14ac:dyDescent="0.3">
      <c r="A193" s="127">
        <v>363.5</v>
      </c>
      <c r="B193" s="7" t="s">
        <v>391</v>
      </c>
      <c r="C193" s="168">
        <v>3051295.4900000007</v>
      </c>
      <c r="D193" s="672">
        <v>2.6200000000000001E-2</v>
      </c>
      <c r="E193" s="152">
        <v>79943.941838000028</v>
      </c>
    </row>
    <row r="194" spans="1:5" x14ac:dyDescent="0.3">
      <c r="A194" s="127">
        <v>363.6</v>
      </c>
      <c r="B194" s="7" t="s">
        <v>392</v>
      </c>
      <c r="C194" s="168">
        <v>739473</v>
      </c>
      <c r="D194" s="672">
        <v>2.3E-3</v>
      </c>
      <c r="E194" s="152">
        <v>0</v>
      </c>
    </row>
    <row r="195" spans="1:5" x14ac:dyDescent="0.3">
      <c r="A195" s="127">
        <v>365.1</v>
      </c>
      <c r="B195" s="7" t="s">
        <v>327</v>
      </c>
      <c r="C195" s="168">
        <v>128856.34541666665</v>
      </c>
      <c r="D195" s="672">
        <v>0</v>
      </c>
      <c r="E195" s="152">
        <v>0</v>
      </c>
    </row>
    <row r="196" spans="1:5" x14ac:dyDescent="0.3">
      <c r="A196" s="127">
        <v>365.2</v>
      </c>
      <c r="B196" s="7" t="s">
        <v>328</v>
      </c>
      <c r="C196" s="168">
        <v>6455176.8600000003</v>
      </c>
      <c r="D196" s="672">
        <v>1.52E-2</v>
      </c>
      <c r="E196" s="152">
        <v>98118.688271999999</v>
      </c>
    </row>
    <row r="197" spans="1:5" x14ac:dyDescent="0.3">
      <c r="A197" s="127">
        <v>366.3</v>
      </c>
      <c r="B197" s="7" t="s">
        <v>380</v>
      </c>
      <c r="C197" s="168">
        <v>1546072.6099999996</v>
      </c>
      <c r="D197" s="672">
        <v>1.7500000000000002E-2</v>
      </c>
      <c r="E197" s="152">
        <v>27056.270674999996</v>
      </c>
    </row>
    <row r="198" spans="1:5" x14ac:dyDescent="0.3">
      <c r="A198" s="127">
        <v>367</v>
      </c>
      <c r="B198" s="7" t="s">
        <v>326</v>
      </c>
      <c r="C198" s="168">
        <v>154100658.71541664</v>
      </c>
      <c r="D198" s="672">
        <v>1.8799999999999997E-2</v>
      </c>
      <c r="E198" s="152">
        <v>2897092.3838498322</v>
      </c>
    </row>
    <row r="199" spans="1:5" x14ac:dyDescent="0.3">
      <c r="A199" s="127">
        <v>367.21</v>
      </c>
      <c r="B199" s="7" t="s">
        <v>393</v>
      </c>
      <c r="C199" s="168">
        <v>1994582.3900000004</v>
      </c>
      <c r="D199" s="672">
        <v>1.72E-2</v>
      </c>
      <c r="E199" s="152">
        <v>34306.817108000003</v>
      </c>
    </row>
    <row r="200" spans="1:5" x14ac:dyDescent="0.3">
      <c r="A200" s="127">
        <v>367.22</v>
      </c>
      <c r="B200" s="7" t="s">
        <v>394</v>
      </c>
      <c r="C200" s="168">
        <v>14949264</v>
      </c>
      <c r="D200" s="672">
        <v>1.5900000000000001E-2</v>
      </c>
      <c r="E200" s="152">
        <v>237693.29760000002</v>
      </c>
    </row>
    <row r="201" spans="1:5" x14ac:dyDescent="0.3">
      <c r="A201" s="127">
        <v>367.23</v>
      </c>
      <c r="B201" s="7" t="s">
        <v>394</v>
      </c>
      <c r="C201" s="168">
        <v>34881341.360000007</v>
      </c>
      <c r="D201" s="672">
        <v>1.9400000000000001E-2</v>
      </c>
      <c r="E201" s="152">
        <v>676698.02238400013</v>
      </c>
    </row>
    <row r="202" spans="1:5" x14ac:dyDescent="0.3">
      <c r="A202" s="127">
        <v>367.24</v>
      </c>
      <c r="B202" s="7" t="s">
        <v>395</v>
      </c>
      <c r="C202" s="168">
        <v>17466181.889999997</v>
      </c>
      <c r="D202" s="672">
        <v>1.9400000000000001E-2</v>
      </c>
      <c r="E202" s="152">
        <v>338843.92866599996</v>
      </c>
    </row>
    <row r="203" spans="1:5" x14ac:dyDescent="0.3">
      <c r="A203" s="127">
        <v>367.25</v>
      </c>
      <c r="B203" s="7" t="s">
        <v>396</v>
      </c>
      <c r="C203" s="168">
        <v>18613651.150000002</v>
      </c>
      <c r="D203" s="672">
        <v>1.95E-2</v>
      </c>
      <c r="E203" s="152">
        <v>362966.19742500002</v>
      </c>
    </row>
    <row r="204" spans="1:5" x14ac:dyDescent="0.3">
      <c r="A204" s="127">
        <v>367.26</v>
      </c>
      <c r="B204" s="7" t="s">
        <v>397</v>
      </c>
      <c r="C204" s="168">
        <v>68232675.580000013</v>
      </c>
      <c r="D204" s="672">
        <v>1.95E-2</v>
      </c>
      <c r="E204" s="152">
        <v>1330537.1738100003</v>
      </c>
    </row>
    <row r="205" spans="1:5" x14ac:dyDescent="0.3">
      <c r="A205" s="127">
        <v>368</v>
      </c>
      <c r="B205" s="7" t="s">
        <v>398</v>
      </c>
      <c r="C205" s="168">
        <v>0</v>
      </c>
      <c r="D205" s="672">
        <v>0</v>
      </c>
      <c r="E205" s="152">
        <v>0</v>
      </c>
    </row>
    <row r="206" spans="1:5" x14ac:dyDescent="0.3">
      <c r="A206" s="127">
        <v>369</v>
      </c>
      <c r="B206" s="7" t="s">
        <v>399</v>
      </c>
      <c r="C206" s="168">
        <v>3969549.0799999987</v>
      </c>
      <c r="D206" s="672">
        <v>2.1299999999999999E-2</v>
      </c>
      <c r="E206" s="152">
        <v>84551.395403999966</v>
      </c>
    </row>
    <row r="207" spans="1:5" x14ac:dyDescent="0.3">
      <c r="A207" s="127" t="s">
        <v>1943</v>
      </c>
      <c r="B207" s="7" t="s">
        <v>400</v>
      </c>
      <c r="D207" s="672"/>
      <c r="E207" s="152">
        <v>0</v>
      </c>
    </row>
    <row r="208" spans="1:5" x14ac:dyDescent="0.3">
      <c r="A208" s="127">
        <v>374.1</v>
      </c>
      <c r="B208" s="7" t="s">
        <v>327</v>
      </c>
      <c r="C208" s="168">
        <v>75384.439999999988</v>
      </c>
      <c r="D208" s="672">
        <v>0</v>
      </c>
      <c r="E208" s="152">
        <v>0</v>
      </c>
    </row>
    <row r="209" spans="1:5" x14ac:dyDescent="0.3">
      <c r="A209" s="127">
        <v>374.2</v>
      </c>
      <c r="B209" s="7" t="s">
        <v>328</v>
      </c>
      <c r="C209" s="168">
        <v>1856472.7941666667</v>
      </c>
      <c r="D209" s="672">
        <v>5.6000000000000008E-3</v>
      </c>
      <c r="E209" s="152">
        <v>10396.247647333335</v>
      </c>
    </row>
    <row r="210" spans="1:5" x14ac:dyDescent="0.3">
      <c r="A210" s="127">
        <v>375</v>
      </c>
      <c r="B210" s="7" t="s">
        <v>329</v>
      </c>
      <c r="C210" s="168">
        <v>49372</v>
      </c>
      <c r="D210" s="672">
        <v>0</v>
      </c>
      <c r="E210" s="152">
        <v>0</v>
      </c>
    </row>
    <row r="211" spans="1:5" x14ac:dyDescent="0.3">
      <c r="A211" s="127">
        <v>376.11</v>
      </c>
      <c r="B211" s="7" t="s">
        <v>330</v>
      </c>
      <c r="C211" s="168">
        <v>514967010.99083328</v>
      </c>
      <c r="D211" s="672">
        <v>2.5399999999999999E-2</v>
      </c>
      <c r="E211" s="152">
        <v>13080162.079167165</v>
      </c>
    </row>
    <row r="212" spans="1:5" x14ac:dyDescent="0.3">
      <c r="A212" s="127">
        <v>376.12</v>
      </c>
      <c r="B212" s="7" t="s">
        <v>331</v>
      </c>
      <c r="C212" s="168">
        <v>462389231.11708337</v>
      </c>
      <c r="D212" s="672">
        <v>2.3199999999999998E-2</v>
      </c>
      <c r="E212" s="152">
        <v>10727430.161916334</v>
      </c>
    </row>
    <row r="213" spans="1:5" x14ac:dyDescent="0.3">
      <c r="A213" s="127">
        <v>377</v>
      </c>
      <c r="B213" s="7" t="s">
        <v>373</v>
      </c>
      <c r="C213" s="168">
        <v>818380</v>
      </c>
      <c r="D213" s="672">
        <v>1.32E-2</v>
      </c>
      <c r="E213" s="152">
        <v>10802.616</v>
      </c>
    </row>
    <row r="214" spans="1:5" x14ac:dyDescent="0.3">
      <c r="A214" s="127">
        <v>378</v>
      </c>
      <c r="B214" s="7" t="s">
        <v>332</v>
      </c>
      <c r="C214" s="168">
        <v>32402297.977083329</v>
      </c>
      <c r="D214" s="672">
        <v>2.18E-2</v>
      </c>
      <c r="E214" s="152">
        <v>706370.09590041661</v>
      </c>
    </row>
    <row r="215" spans="1:5" x14ac:dyDescent="0.3">
      <c r="A215" s="127">
        <v>379</v>
      </c>
      <c r="B215" s="7" t="s">
        <v>333</v>
      </c>
      <c r="C215" s="168">
        <v>10196100.361666663</v>
      </c>
      <c r="D215" s="672">
        <v>2.12E-2</v>
      </c>
      <c r="E215" s="152">
        <v>216157.32766733324</v>
      </c>
    </row>
    <row r="216" spans="1:5" x14ac:dyDescent="0.3">
      <c r="A216" s="127">
        <v>380</v>
      </c>
      <c r="B216" s="7" t="s">
        <v>334</v>
      </c>
      <c r="C216" s="168">
        <v>702203118.8258332</v>
      </c>
      <c r="D216" s="672">
        <v>2.87E-2</v>
      </c>
      <c r="E216" s="152">
        <v>20153229.510301411</v>
      </c>
    </row>
    <row r="217" spans="1:5" x14ac:dyDescent="0.3">
      <c r="A217" s="127">
        <v>381</v>
      </c>
      <c r="B217" s="7" t="s">
        <v>335</v>
      </c>
      <c r="C217" s="168">
        <v>79212903.493333325</v>
      </c>
      <c r="D217" s="672">
        <v>2.23E-2</v>
      </c>
      <c r="E217" s="152">
        <v>1766447.7479013333</v>
      </c>
    </row>
    <row r="218" spans="1:5" x14ac:dyDescent="0.3">
      <c r="A218" s="127">
        <v>381.1</v>
      </c>
      <c r="B218" s="7" t="s">
        <v>401</v>
      </c>
      <c r="C218" s="168">
        <v>1696938.4600000007</v>
      </c>
      <c r="D218" s="672">
        <v>2.8900000000000002E-2</v>
      </c>
      <c r="E218" s="152">
        <v>49041.521494000022</v>
      </c>
    </row>
    <row r="219" spans="1:5" x14ac:dyDescent="0.3">
      <c r="A219" s="127">
        <v>381.2</v>
      </c>
      <c r="B219" s="7" t="s">
        <v>336</v>
      </c>
      <c r="C219" s="168">
        <v>36379746.780000001</v>
      </c>
      <c r="D219" s="672">
        <v>5.8499999999999996E-2</v>
      </c>
      <c r="E219" s="152">
        <v>2128215.1866299999</v>
      </c>
    </row>
    <row r="220" spans="1:5" x14ac:dyDescent="0.3">
      <c r="A220" s="127">
        <v>382</v>
      </c>
      <c r="B220" s="7" t="s">
        <v>337</v>
      </c>
      <c r="C220" s="168">
        <v>54585615.557500005</v>
      </c>
      <c r="D220" s="672">
        <v>4.8399999999999999E-2</v>
      </c>
      <c r="E220" s="152">
        <v>2641943.7929830002</v>
      </c>
    </row>
    <row r="221" spans="1:5" x14ac:dyDescent="0.3">
      <c r="A221" s="127">
        <v>382.1</v>
      </c>
      <c r="B221" s="7" t="s">
        <v>402</v>
      </c>
      <c r="C221" s="168">
        <v>481019.76999999984</v>
      </c>
      <c r="D221" s="672">
        <v>8.6099999999999996E-2</v>
      </c>
      <c r="E221" s="152">
        <v>41415.802196999983</v>
      </c>
    </row>
    <row r="222" spans="1:5" x14ac:dyDescent="0.3">
      <c r="A222" s="127">
        <v>382.2</v>
      </c>
      <c r="B222" s="7" t="s">
        <v>338</v>
      </c>
      <c r="C222" s="168">
        <v>8331585.7833333341</v>
      </c>
      <c r="D222" s="672">
        <v>3.9E-2</v>
      </c>
      <c r="E222" s="152">
        <v>324931.84555000003</v>
      </c>
    </row>
    <row r="223" spans="1:5" x14ac:dyDescent="0.3">
      <c r="A223" s="127">
        <v>383</v>
      </c>
      <c r="B223" s="7" t="s">
        <v>339</v>
      </c>
      <c r="C223" s="168">
        <v>1882693.9783333335</v>
      </c>
      <c r="D223" s="672">
        <v>2.92E-2</v>
      </c>
      <c r="E223" s="152">
        <v>54974.664167333336</v>
      </c>
    </row>
    <row r="224" spans="1:5" x14ac:dyDescent="0.3">
      <c r="A224" s="127">
        <v>386</v>
      </c>
      <c r="B224" s="7" t="s">
        <v>403</v>
      </c>
      <c r="C224" s="168">
        <v>1051466.8216666665</v>
      </c>
      <c r="E224" s="152">
        <v>0</v>
      </c>
    </row>
    <row r="225" spans="1:10" x14ac:dyDescent="0.3">
      <c r="A225" s="127">
        <v>386.1</v>
      </c>
      <c r="B225" s="7" t="s">
        <v>1914</v>
      </c>
      <c r="C225" s="168">
        <v>10767.625</v>
      </c>
      <c r="E225" s="152">
        <v>0</v>
      </c>
    </row>
    <row r="226" spans="1:10" x14ac:dyDescent="0.3">
      <c r="A226" s="127">
        <v>387.1</v>
      </c>
      <c r="B226" s="7" t="s">
        <v>404</v>
      </c>
      <c r="C226" s="168">
        <v>173858.98</v>
      </c>
      <c r="D226" s="672">
        <v>8.199999999999999E-3</v>
      </c>
      <c r="E226" s="152">
        <v>1425.643636</v>
      </c>
    </row>
    <row r="227" spans="1:10" x14ac:dyDescent="0.3">
      <c r="A227" s="127">
        <v>387.2</v>
      </c>
      <c r="B227" s="7" t="s">
        <v>340</v>
      </c>
      <c r="C227" s="168">
        <v>69794</v>
      </c>
      <c r="D227" s="672">
        <v>0</v>
      </c>
      <c r="E227" s="152">
        <v>0</v>
      </c>
    </row>
    <row r="228" spans="1:10" x14ac:dyDescent="0.3">
      <c r="A228" s="127">
        <v>387.3</v>
      </c>
      <c r="B228" s="7" t="s">
        <v>405</v>
      </c>
      <c r="C228" s="168">
        <v>72671</v>
      </c>
      <c r="D228" s="672">
        <v>0</v>
      </c>
      <c r="E228" s="152">
        <v>0</v>
      </c>
    </row>
    <row r="229" spans="1:10" x14ac:dyDescent="0.3">
      <c r="A229" s="127">
        <v>389</v>
      </c>
      <c r="B229" s="7" t="s">
        <v>327</v>
      </c>
      <c r="C229" s="168">
        <v>9609257.5499999989</v>
      </c>
      <c r="D229" s="672">
        <v>0</v>
      </c>
      <c r="E229" s="152">
        <v>0</v>
      </c>
      <c r="G229" s="7" t="s">
        <v>1946</v>
      </c>
    </row>
    <row r="230" spans="1:10" x14ac:dyDescent="0.3">
      <c r="A230" s="127">
        <v>390</v>
      </c>
      <c r="B230" s="7" t="s">
        <v>329</v>
      </c>
      <c r="C230" s="168">
        <v>58759177.272916667</v>
      </c>
      <c r="D230" s="672">
        <v>2.2700000000000001E-2</v>
      </c>
      <c r="E230" s="152">
        <v>1333833.3240952084</v>
      </c>
    </row>
    <row r="231" spans="1:10" x14ac:dyDescent="0.3">
      <c r="A231" s="127">
        <v>390.1</v>
      </c>
      <c r="B231" s="7" t="s">
        <v>341</v>
      </c>
      <c r="C231" s="168">
        <v>18579702.954166666</v>
      </c>
      <c r="D231" s="672">
        <v>2.1499999999999998E-2</v>
      </c>
      <c r="E231" s="152">
        <v>399463.61351458327</v>
      </c>
      <c r="I231" s="669" t="s">
        <v>1947</v>
      </c>
    </row>
    <row r="232" spans="1:10" x14ac:dyDescent="0.3">
      <c r="A232" s="127">
        <v>391.1</v>
      </c>
      <c r="B232" s="7" t="s">
        <v>342</v>
      </c>
      <c r="C232" s="168">
        <f>+J232-I232</f>
        <v>7718003.3333333395</v>
      </c>
      <c r="D232" s="672">
        <v>0.05</v>
      </c>
      <c r="E232" s="152">
        <v>385900.16666666698</v>
      </c>
      <c r="G232" s="127">
        <v>391.1</v>
      </c>
      <c r="H232" s="7" t="s">
        <v>342</v>
      </c>
      <c r="I232" s="168">
        <v>3704723.6</v>
      </c>
      <c r="J232" s="168">
        <v>11422726.933333339</v>
      </c>
    </row>
    <row r="233" spans="1:10" x14ac:dyDescent="0.3">
      <c r="A233" s="127">
        <v>391.2</v>
      </c>
      <c r="B233" s="7" t="s">
        <v>406</v>
      </c>
      <c r="C233" s="168">
        <f>+J233-I233</f>
        <v>21833026.224166684</v>
      </c>
      <c r="D233" s="672">
        <v>0.2</v>
      </c>
      <c r="E233" s="152">
        <v>4366605.2448333371</v>
      </c>
      <c r="G233" s="127">
        <v>391.2</v>
      </c>
      <c r="H233" s="7" t="s">
        <v>406</v>
      </c>
      <c r="I233" s="168">
        <v>6416183.7599999998</v>
      </c>
      <c r="J233" s="168">
        <v>28249209.984166682</v>
      </c>
    </row>
    <row r="234" spans="1:10" x14ac:dyDescent="0.3">
      <c r="A234" s="127" t="s">
        <v>1944</v>
      </c>
      <c r="B234" s="7" t="s">
        <v>407</v>
      </c>
      <c r="C234" s="7"/>
      <c r="E234" s="152">
        <v>0</v>
      </c>
      <c r="G234" s="127"/>
      <c r="I234" s="168"/>
      <c r="J234" s="168"/>
    </row>
    <row r="235" spans="1:10" x14ac:dyDescent="0.3">
      <c r="A235" s="127" t="s">
        <v>1945</v>
      </c>
      <c r="B235" s="7" t="s">
        <v>325</v>
      </c>
      <c r="C235" s="7"/>
      <c r="E235" s="152">
        <v>0</v>
      </c>
      <c r="G235" s="127"/>
      <c r="I235" s="168"/>
      <c r="J235" s="168"/>
    </row>
    <row r="236" spans="1:10" x14ac:dyDescent="0.3">
      <c r="A236" s="127">
        <v>392</v>
      </c>
      <c r="B236" s="7" t="s">
        <v>343</v>
      </c>
      <c r="C236" s="168">
        <v>42199162.368750006</v>
      </c>
      <c r="D236" s="672">
        <v>6.8600000000000008E-2</v>
      </c>
      <c r="E236" s="152">
        <v>0</v>
      </c>
      <c r="G236" s="127"/>
      <c r="I236" s="168"/>
      <c r="J236" s="168"/>
    </row>
    <row r="237" spans="1:10" x14ac:dyDescent="0.3">
      <c r="A237" s="127">
        <v>393</v>
      </c>
      <c r="B237" s="7" t="s">
        <v>408</v>
      </c>
      <c r="C237" s="168">
        <v>119406</v>
      </c>
      <c r="D237" s="672">
        <v>0</v>
      </c>
      <c r="E237" s="152">
        <v>0</v>
      </c>
      <c r="G237" s="127">
        <v>395</v>
      </c>
      <c r="H237" s="7" t="s">
        <v>409</v>
      </c>
      <c r="I237" s="168">
        <v>68016</v>
      </c>
      <c r="J237" s="168">
        <v>68293</v>
      </c>
    </row>
    <row r="238" spans="1:10" x14ac:dyDescent="0.3">
      <c r="A238" s="127">
        <v>394</v>
      </c>
      <c r="B238" s="7" t="s">
        <v>344</v>
      </c>
      <c r="C238" s="168">
        <v>12064794.903749993</v>
      </c>
      <c r="D238" s="672">
        <v>0.04</v>
      </c>
      <c r="E238" s="152">
        <v>482591.79614999972</v>
      </c>
      <c r="G238" s="127"/>
      <c r="I238" s="168"/>
      <c r="J238" s="168"/>
    </row>
    <row r="239" spans="1:10" x14ac:dyDescent="0.3">
      <c r="A239" s="127">
        <v>395</v>
      </c>
      <c r="B239" s="7" t="s">
        <v>409</v>
      </c>
      <c r="C239" s="168">
        <f>+J237-I237</f>
        <v>277</v>
      </c>
      <c r="D239" s="672">
        <v>0.05</v>
      </c>
      <c r="E239" s="152">
        <v>0</v>
      </c>
      <c r="G239" s="127"/>
      <c r="I239" s="168"/>
      <c r="J239" s="168"/>
    </row>
    <row r="240" spans="1:10" x14ac:dyDescent="0.3">
      <c r="A240" s="127">
        <v>396</v>
      </c>
      <c r="B240" s="7" t="s">
        <v>345</v>
      </c>
      <c r="C240" s="168">
        <v>10242708.760000004</v>
      </c>
      <c r="D240" s="672">
        <v>3.4000000000000002E-2</v>
      </c>
      <c r="E240" s="152">
        <v>0</v>
      </c>
      <c r="G240" s="127">
        <v>397.1</v>
      </c>
      <c r="H240" s="7" t="s">
        <v>411</v>
      </c>
      <c r="I240" s="168">
        <v>475621.17</v>
      </c>
      <c r="J240" s="168">
        <v>514054.31000000006</v>
      </c>
    </row>
    <row r="241" spans="1:10" x14ac:dyDescent="0.3">
      <c r="A241" s="127">
        <v>397</v>
      </c>
      <c r="B241" s="7" t="s">
        <v>410</v>
      </c>
      <c r="C241" s="168">
        <v>88322.23</v>
      </c>
      <c r="D241" s="672">
        <v>6.6699999999999995E-2</v>
      </c>
      <c r="E241" s="152">
        <v>5891.0927409999995</v>
      </c>
      <c r="G241" s="127">
        <v>397.2</v>
      </c>
      <c r="H241" s="7" t="s">
        <v>412</v>
      </c>
      <c r="I241" s="168">
        <v>1680896</v>
      </c>
      <c r="J241" s="168">
        <v>1690853.6499999997</v>
      </c>
    </row>
    <row r="242" spans="1:10" x14ac:dyDescent="0.3">
      <c r="A242" s="127">
        <v>397.1</v>
      </c>
      <c r="B242" s="7" t="s">
        <v>411</v>
      </c>
      <c r="C242" s="168">
        <f>+J240-I240</f>
        <v>38433.140000000072</v>
      </c>
      <c r="D242" s="672">
        <v>0.1</v>
      </c>
      <c r="E242" s="152">
        <v>3843.3140000000076</v>
      </c>
      <c r="G242" s="127">
        <v>397.3</v>
      </c>
      <c r="H242" s="7" t="s">
        <v>346</v>
      </c>
      <c r="I242" s="168">
        <v>2807778.23</v>
      </c>
      <c r="J242" s="168">
        <v>4611216.1199999982</v>
      </c>
    </row>
    <row r="243" spans="1:10" x14ac:dyDescent="0.3">
      <c r="A243" s="127">
        <v>397.2</v>
      </c>
      <c r="B243" s="7" t="s">
        <v>412</v>
      </c>
      <c r="C243" s="168">
        <f>+J241-I241</f>
        <v>9957.649999999674</v>
      </c>
      <c r="D243" s="672">
        <v>6.6699999999999995E-2</v>
      </c>
      <c r="E243" s="152">
        <v>0</v>
      </c>
      <c r="G243" s="127">
        <v>397.4</v>
      </c>
      <c r="H243" s="7" t="s">
        <v>413</v>
      </c>
      <c r="I243" s="168">
        <v>497289.79</v>
      </c>
      <c r="J243" s="168">
        <v>2852409.6058333335</v>
      </c>
    </row>
    <row r="244" spans="1:10" x14ac:dyDescent="0.3">
      <c r="A244" s="127">
        <v>397.3</v>
      </c>
      <c r="B244" s="7" t="s">
        <v>346</v>
      </c>
      <c r="C244" s="168">
        <f>+J242-I242</f>
        <v>1803437.8899999983</v>
      </c>
      <c r="D244" s="672">
        <v>6.6699999999999995E-2</v>
      </c>
      <c r="E244" s="152">
        <v>120289.30726299988</v>
      </c>
      <c r="G244" s="127"/>
      <c r="I244" s="168"/>
      <c r="J244" s="168"/>
    </row>
    <row r="245" spans="1:10" x14ac:dyDescent="0.3">
      <c r="A245" s="127">
        <v>397.4</v>
      </c>
      <c r="B245" s="7" t="s">
        <v>413</v>
      </c>
      <c r="C245" s="168">
        <f>+J243-I243</f>
        <v>2355119.8158333334</v>
      </c>
      <c r="D245" s="672">
        <v>6.6699999999999995E-2</v>
      </c>
      <c r="E245" s="152">
        <v>157086.49171608331</v>
      </c>
      <c r="G245" s="127"/>
      <c r="I245" s="168"/>
      <c r="J245" s="168"/>
    </row>
    <row r="246" spans="1:10" x14ac:dyDescent="0.3">
      <c r="A246" s="127">
        <v>397.5</v>
      </c>
      <c r="B246" s="7" t="s">
        <v>414</v>
      </c>
      <c r="C246" s="168">
        <v>490766.50000000006</v>
      </c>
      <c r="D246" s="672">
        <v>0.1</v>
      </c>
      <c r="E246" s="152">
        <v>49076.650000000009</v>
      </c>
      <c r="G246" s="127">
        <v>398.1</v>
      </c>
      <c r="H246" s="7" t="s">
        <v>416</v>
      </c>
      <c r="I246" s="168">
        <v>78890</v>
      </c>
      <c r="J246" s="168">
        <v>83249.310000000012</v>
      </c>
    </row>
    <row r="247" spans="1:10" x14ac:dyDescent="0.3">
      <c r="A247" s="127">
        <v>398</v>
      </c>
      <c r="B247" s="7" t="s">
        <v>415</v>
      </c>
      <c r="C247" s="168">
        <v>0</v>
      </c>
      <c r="D247" s="672">
        <v>0</v>
      </c>
      <c r="E247" s="152">
        <v>0</v>
      </c>
      <c r="I247" s="104"/>
      <c r="J247" s="168"/>
    </row>
    <row r="248" spans="1:10" x14ac:dyDescent="0.3">
      <c r="A248" s="127">
        <v>398.1</v>
      </c>
      <c r="B248" s="7" t="s">
        <v>416</v>
      </c>
      <c r="C248" s="168">
        <f>+J246-I246</f>
        <v>4359.3100000000122</v>
      </c>
      <c r="D248" s="672">
        <v>6.6699999999999995E-2</v>
      </c>
      <c r="E248" s="152">
        <v>0</v>
      </c>
      <c r="I248" s="168">
        <v>15729398.549999999</v>
      </c>
      <c r="J248" s="168"/>
    </row>
    <row r="249" spans="1:10" x14ac:dyDescent="0.3">
      <c r="A249" s="127">
        <v>398.2</v>
      </c>
      <c r="B249" s="7" t="s">
        <v>417</v>
      </c>
      <c r="C249" s="168">
        <v>12812.44</v>
      </c>
      <c r="D249" s="672">
        <v>6.6699999999999995E-2</v>
      </c>
      <c r="E249" s="152">
        <v>854.58974799999999</v>
      </c>
    </row>
    <row r="250" spans="1:10" x14ac:dyDescent="0.3">
      <c r="A250" s="127">
        <v>398.3</v>
      </c>
      <c r="B250" s="7" t="s">
        <v>418</v>
      </c>
      <c r="C250" s="168">
        <v>14873</v>
      </c>
      <c r="D250" s="672">
        <v>0</v>
      </c>
      <c r="E250" s="152">
        <v>0</v>
      </c>
    </row>
    <row r="251" spans="1:10" x14ac:dyDescent="0.3">
      <c r="A251" s="127">
        <v>398.4</v>
      </c>
      <c r="B251" s="7" t="s">
        <v>347</v>
      </c>
      <c r="C251" s="168">
        <v>5393</v>
      </c>
      <c r="D251" s="672">
        <v>0</v>
      </c>
      <c r="E251" s="152">
        <v>0</v>
      </c>
    </row>
    <row r="252" spans="1:10" x14ac:dyDescent="0.3">
      <c r="A252" s="127">
        <v>398.5</v>
      </c>
      <c r="B252" s="7" t="s">
        <v>419</v>
      </c>
      <c r="C252" s="104">
        <v>66739</v>
      </c>
      <c r="D252" s="7">
        <v>0</v>
      </c>
      <c r="E252" s="673">
        <v>0</v>
      </c>
    </row>
    <row r="253" spans="1:10" x14ac:dyDescent="0.3">
      <c r="B253" s="7" t="s">
        <v>1915</v>
      </c>
      <c r="C253" s="168">
        <f>SUM(C132:C252)</f>
        <v>2687025653.9691682</v>
      </c>
      <c r="E253" s="152">
        <f>SUM(E132:E252)</f>
        <v>73271412.105521634</v>
      </c>
    </row>
    <row r="254" spans="1:10" x14ac:dyDescent="0.3">
      <c r="E254" s="152"/>
    </row>
    <row r="255" spans="1:10" x14ac:dyDescent="0.3">
      <c r="A255" s="127" t="s">
        <v>147</v>
      </c>
      <c r="E255" s="152"/>
      <c r="F255" s="643" t="s">
        <v>1922</v>
      </c>
      <c r="G255" s="643" t="s">
        <v>1905</v>
      </c>
      <c r="H255" s="643" t="s">
        <v>1954</v>
      </c>
    </row>
    <row r="256" spans="1:10" x14ac:dyDescent="0.3">
      <c r="E256" s="152"/>
      <c r="F256" s="127"/>
    </row>
    <row r="257" spans="1:8" x14ac:dyDescent="0.3">
      <c r="A257" s="127">
        <v>301</v>
      </c>
      <c r="B257" s="7" t="s">
        <v>323</v>
      </c>
      <c r="C257" s="168">
        <v>322</v>
      </c>
      <c r="D257" s="672">
        <v>0</v>
      </c>
      <c r="E257" s="152">
        <v>0</v>
      </c>
      <c r="F257" s="127">
        <f t="shared" ref="F257:F283" si="6">A257</f>
        <v>301</v>
      </c>
    </row>
    <row r="258" spans="1:8" x14ac:dyDescent="0.3">
      <c r="A258" s="127">
        <v>302</v>
      </c>
      <c r="B258" s="7" t="s">
        <v>324</v>
      </c>
      <c r="C258" s="168">
        <v>125</v>
      </c>
      <c r="D258" s="672">
        <v>0</v>
      </c>
      <c r="E258" s="152">
        <v>0</v>
      </c>
      <c r="F258" s="127">
        <f t="shared" si="6"/>
        <v>302</v>
      </c>
    </row>
    <row r="259" spans="1:8" x14ac:dyDescent="0.3">
      <c r="A259" s="127">
        <v>303.10000000000002</v>
      </c>
      <c r="B259" s="7" t="s">
        <v>348</v>
      </c>
      <c r="C259" s="168">
        <v>0</v>
      </c>
      <c r="D259" s="672">
        <v>6.7799999999999999E-2</v>
      </c>
      <c r="E259" s="152">
        <v>0</v>
      </c>
      <c r="F259" s="127">
        <f t="shared" si="6"/>
        <v>303.10000000000002</v>
      </c>
      <c r="G259" s="674">
        <f t="shared" ref="G259:G319" si="7">E9*H259</f>
        <v>517316.69663553708</v>
      </c>
      <c r="H259" s="675">
        <f>$D$422</f>
        <v>0.11160000000000003</v>
      </c>
    </row>
    <row r="260" spans="1:8" x14ac:dyDescent="0.3">
      <c r="A260" s="127">
        <v>303.2</v>
      </c>
      <c r="B260" s="7" t="s">
        <v>325</v>
      </c>
      <c r="C260" s="168">
        <v>1859863</v>
      </c>
      <c r="D260" s="672">
        <v>1E-4</v>
      </c>
      <c r="E260" s="152">
        <v>0</v>
      </c>
      <c r="F260" s="127">
        <f t="shared" si="6"/>
        <v>303.2</v>
      </c>
      <c r="G260" s="674">
        <f t="shared" si="7"/>
        <v>0</v>
      </c>
      <c r="H260" s="675">
        <f>$D$422</f>
        <v>0.11160000000000003</v>
      </c>
    </row>
    <row r="261" spans="1:8" x14ac:dyDescent="0.3">
      <c r="A261" s="127">
        <v>303.3</v>
      </c>
      <c r="B261" s="7" t="s">
        <v>349</v>
      </c>
      <c r="C261" s="168">
        <v>0</v>
      </c>
      <c r="D261" s="672">
        <v>0</v>
      </c>
      <c r="E261" s="152">
        <v>0</v>
      </c>
      <c r="F261" s="127">
        <f t="shared" si="6"/>
        <v>303.3</v>
      </c>
      <c r="G261" s="674">
        <f t="shared" si="7"/>
        <v>0</v>
      </c>
      <c r="H261" s="675">
        <f>$D$422</f>
        <v>0.11160000000000003</v>
      </c>
    </row>
    <row r="262" spans="1:8" x14ac:dyDescent="0.3">
      <c r="A262" s="127">
        <v>303.39999999999998</v>
      </c>
      <c r="B262" s="7" t="s">
        <v>350</v>
      </c>
      <c r="C262" s="168">
        <v>0</v>
      </c>
      <c r="D262" s="672">
        <v>0.1096</v>
      </c>
      <c r="E262" s="152">
        <v>0</v>
      </c>
      <c r="F262" s="127">
        <f t="shared" si="6"/>
        <v>303.39999999999998</v>
      </c>
      <c r="G262" s="674">
        <f t="shared" si="7"/>
        <v>0</v>
      </c>
      <c r="H262" s="675">
        <f>$D$422</f>
        <v>0.11160000000000003</v>
      </c>
    </row>
    <row r="263" spans="1:8" x14ac:dyDescent="0.3">
      <c r="A263" s="127">
        <v>303.5</v>
      </c>
      <c r="B263" s="7" t="s">
        <v>351</v>
      </c>
      <c r="C263" s="168">
        <v>0</v>
      </c>
      <c r="D263" s="672">
        <v>0</v>
      </c>
      <c r="E263" s="152">
        <v>0</v>
      </c>
      <c r="F263" s="127">
        <f t="shared" si="6"/>
        <v>303.5</v>
      </c>
      <c r="G263" s="674">
        <f t="shared" si="7"/>
        <v>0</v>
      </c>
      <c r="H263" s="675">
        <f>$D$422</f>
        <v>0.11160000000000003</v>
      </c>
    </row>
    <row r="264" spans="1:8" x14ac:dyDescent="0.3">
      <c r="A264" s="127">
        <v>304.10000000000002</v>
      </c>
      <c r="B264" s="7" t="s">
        <v>327</v>
      </c>
      <c r="C264" s="168">
        <v>0</v>
      </c>
      <c r="D264" s="672">
        <v>0</v>
      </c>
      <c r="E264" s="152">
        <v>0</v>
      </c>
      <c r="F264" s="127">
        <f t="shared" si="6"/>
        <v>304.10000000000002</v>
      </c>
      <c r="G264" s="674">
        <f t="shared" si="7"/>
        <v>0</v>
      </c>
    </row>
    <row r="265" spans="1:8" x14ac:dyDescent="0.3">
      <c r="A265" s="127">
        <v>305.2</v>
      </c>
      <c r="B265" s="7" t="s">
        <v>352</v>
      </c>
      <c r="C265" s="168">
        <v>0</v>
      </c>
      <c r="D265" s="672">
        <v>0</v>
      </c>
      <c r="E265" s="152">
        <v>0</v>
      </c>
      <c r="F265" s="127">
        <f t="shared" si="6"/>
        <v>305.2</v>
      </c>
      <c r="G265" s="674">
        <f t="shared" si="7"/>
        <v>0</v>
      </c>
    </row>
    <row r="266" spans="1:8" x14ac:dyDescent="0.3">
      <c r="A266" s="127">
        <v>305.5</v>
      </c>
      <c r="B266" s="7" t="s">
        <v>353</v>
      </c>
      <c r="C266" s="168">
        <v>0</v>
      </c>
      <c r="D266" s="672">
        <v>0</v>
      </c>
      <c r="E266" s="152">
        <v>0</v>
      </c>
      <c r="F266" s="127">
        <f t="shared" si="6"/>
        <v>305.5</v>
      </c>
      <c r="G266" s="674">
        <f t="shared" si="7"/>
        <v>0</v>
      </c>
    </row>
    <row r="267" spans="1:8" x14ac:dyDescent="0.3">
      <c r="A267" s="127">
        <v>312.3</v>
      </c>
      <c r="B267" s="7" t="s">
        <v>354</v>
      </c>
      <c r="C267" s="168">
        <v>0</v>
      </c>
      <c r="D267" s="672">
        <v>0</v>
      </c>
      <c r="E267" s="152">
        <v>0</v>
      </c>
      <c r="F267" s="127">
        <f t="shared" si="6"/>
        <v>312.3</v>
      </c>
      <c r="G267" s="674">
        <f t="shared" si="7"/>
        <v>0</v>
      </c>
    </row>
    <row r="268" spans="1:8" x14ac:dyDescent="0.3">
      <c r="A268" s="127">
        <v>318.3</v>
      </c>
      <c r="B268" s="7" t="s">
        <v>355</v>
      </c>
      <c r="C268" s="168">
        <v>0</v>
      </c>
      <c r="D268" s="672">
        <v>0</v>
      </c>
      <c r="E268" s="152">
        <v>0</v>
      </c>
      <c r="F268" s="127">
        <f t="shared" si="6"/>
        <v>318.3</v>
      </c>
      <c r="G268" s="674">
        <f t="shared" si="7"/>
        <v>0</v>
      </c>
    </row>
    <row r="269" spans="1:8" x14ac:dyDescent="0.3">
      <c r="A269" s="127">
        <v>318.5</v>
      </c>
      <c r="B269" s="7" t="s">
        <v>356</v>
      </c>
      <c r="C269" s="168">
        <v>0</v>
      </c>
      <c r="D269" s="672">
        <v>0</v>
      </c>
      <c r="E269" s="152">
        <v>0</v>
      </c>
      <c r="F269" s="127">
        <f t="shared" si="6"/>
        <v>318.5</v>
      </c>
      <c r="G269" s="674">
        <f t="shared" si="7"/>
        <v>0</v>
      </c>
    </row>
    <row r="270" spans="1:8" x14ac:dyDescent="0.3">
      <c r="A270" s="127">
        <v>325</v>
      </c>
      <c r="B270" s="7" t="s">
        <v>357</v>
      </c>
      <c r="C270" s="168">
        <v>0</v>
      </c>
      <c r="D270" s="672">
        <v>0</v>
      </c>
      <c r="E270" s="152">
        <v>0</v>
      </c>
      <c r="F270" s="127">
        <f t="shared" si="6"/>
        <v>325</v>
      </c>
      <c r="G270" s="674">
        <f t="shared" si="7"/>
        <v>0</v>
      </c>
    </row>
    <row r="271" spans="1:8" x14ac:dyDescent="0.3">
      <c r="A271" s="127">
        <v>327</v>
      </c>
      <c r="B271" s="7" t="s">
        <v>358</v>
      </c>
      <c r="C271" s="168">
        <v>0</v>
      </c>
      <c r="D271" s="672">
        <v>0</v>
      </c>
      <c r="E271" s="152">
        <v>0</v>
      </c>
      <c r="F271" s="127">
        <f t="shared" si="6"/>
        <v>327</v>
      </c>
      <c r="G271" s="674">
        <f t="shared" si="7"/>
        <v>0</v>
      </c>
    </row>
    <row r="272" spans="1:8" x14ac:dyDescent="0.3">
      <c r="A272" s="127">
        <v>328</v>
      </c>
      <c r="B272" s="7" t="s">
        <v>357</v>
      </c>
      <c r="C272" s="168">
        <v>0</v>
      </c>
      <c r="D272" s="672">
        <v>0</v>
      </c>
      <c r="E272" s="152">
        <v>0</v>
      </c>
      <c r="F272" s="127">
        <f t="shared" si="6"/>
        <v>328</v>
      </c>
      <c r="G272" s="674">
        <f t="shared" si="7"/>
        <v>0</v>
      </c>
    </row>
    <row r="273" spans="1:9" x14ac:dyDescent="0.3">
      <c r="A273" s="127">
        <v>331</v>
      </c>
      <c r="B273" s="7" t="s">
        <v>358</v>
      </c>
      <c r="C273" s="168">
        <v>0</v>
      </c>
      <c r="D273" s="672">
        <v>0</v>
      </c>
      <c r="E273" s="152">
        <v>0</v>
      </c>
      <c r="F273" s="127">
        <f t="shared" si="6"/>
        <v>331</v>
      </c>
      <c r="G273" s="674">
        <f t="shared" si="7"/>
        <v>0</v>
      </c>
    </row>
    <row r="274" spans="1:9" x14ac:dyDescent="0.3">
      <c r="A274" s="127">
        <v>332</v>
      </c>
      <c r="B274" s="7" t="s">
        <v>358</v>
      </c>
      <c r="C274" s="168">
        <v>0</v>
      </c>
      <c r="D274" s="672">
        <v>0</v>
      </c>
      <c r="E274" s="152">
        <v>0</v>
      </c>
      <c r="F274" s="127">
        <f t="shared" si="6"/>
        <v>332</v>
      </c>
      <c r="G274" s="674">
        <f t="shared" si="7"/>
        <v>0</v>
      </c>
    </row>
    <row r="275" spans="1:9" x14ac:dyDescent="0.3">
      <c r="A275" s="127">
        <v>333</v>
      </c>
      <c r="B275" s="7" t="s">
        <v>358</v>
      </c>
      <c r="C275" s="168">
        <v>0</v>
      </c>
      <c r="D275" s="672">
        <v>0</v>
      </c>
      <c r="E275" s="152">
        <v>0</v>
      </c>
      <c r="F275" s="127">
        <f t="shared" si="6"/>
        <v>333</v>
      </c>
      <c r="G275" s="674">
        <f t="shared" si="7"/>
        <v>0</v>
      </c>
    </row>
    <row r="276" spans="1:9" x14ac:dyDescent="0.3">
      <c r="A276" s="127">
        <v>334</v>
      </c>
      <c r="B276" s="7" t="s">
        <v>358</v>
      </c>
      <c r="C276" s="168">
        <v>0</v>
      </c>
      <c r="D276" s="672">
        <v>0</v>
      </c>
      <c r="E276" s="152">
        <v>0</v>
      </c>
      <c r="F276" s="127">
        <f t="shared" si="6"/>
        <v>334</v>
      </c>
      <c r="G276" s="674">
        <f t="shared" si="7"/>
        <v>0</v>
      </c>
    </row>
    <row r="277" spans="1:9" x14ac:dyDescent="0.3">
      <c r="A277" s="127">
        <v>305.11</v>
      </c>
      <c r="B277" s="7" t="s">
        <v>359</v>
      </c>
      <c r="C277" s="168">
        <v>0</v>
      </c>
      <c r="D277" s="672">
        <v>0</v>
      </c>
      <c r="E277" s="152">
        <v>0</v>
      </c>
      <c r="F277" s="127">
        <f t="shared" si="6"/>
        <v>305.11</v>
      </c>
      <c r="G277" s="674">
        <f t="shared" si="7"/>
        <v>0</v>
      </c>
    </row>
    <row r="278" spans="1:9" x14ac:dyDescent="0.3">
      <c r="A278" s="127">
        <v>305.17</v>
      </c>
      <c r="B278" s="7" t="s">
        <v>360</v>
      </c>
      <c r="C278" s="168">
        <v>0</v>
      </c>
      <c r="D278" s="672">
        <v>0</v>
      </c>
      <c r="E278" s="152">
        <v>0</v>
      </c>
      <c r="F278" s="127">
        <f t="shared" si="6"/>
        <v>305.17</v>
      </c>
      <c r="G278" s="674">
        <f t="shared" si="7"/>
        <v>0</v>
      </c>
    </row>
    <row r="279" spans="1:9" x14ac:dyDescent="0.3">
      <c r="A279" s="127">
        <v>311</v>
      </c>
      <c r="B279" s="7" t="s">
        <v>361</v>
      </c>
      <c r="C279" s="168">
        <v>0</v>
      </c>
      <c r="D279" s="672">
        <v>0</v>
      </c>
      <c r="E279" s="152">
        <v>0</v>
      </c>
      <c r="F279" s="127">
        <f t="shared" si="6"/>
        <v>311</v>
      </c>
      <c r="G279" s="674">
        <f t="shared" si="7"/>
        <v>0</v>
      </c>
    </row>
    <row r="280" spans="1:9" x14ac:dyDescent="0.3">
      <c r="A280" s="127">
        <v>311.39999999999998</v>
      </c>
      <c r="B280" s="7" t="s">
        <v>362</v>
      </c>
      <c r="C280" s="168">
        <v>0</v>
      </c>
      <c r="D280" s="672">
        <v>0</v>
      </c>
      <c r="E280" s="152">
        <v>0</v>
      </c>
      <c r="F280" s="127">
        <f t="shared" si="6"/>
        <v>311.39999999999998</v>
      </c>
      <c r="G280" s="674">
        <f t="shared" si="7"/>
        <v>0</v>
      </c>
    </row>
    <row r="281" spans="1:9" x14ac:dyDescent="0.3">
      <c r="A281" s="127">
        <v>311.7</v>
      </c>
      <c r="B281" s="7" t="s">
        <v>363</v>
      </c>
      <c r="C281" s="168">
        <v>0</v>
      </c>
      <c r="D281" s="672">
        <v>0</v>
      </c>
      <c r="E281" s="152">
        <v>0</v>
      </c>
      <c r="F281" s="127">
        <f t="shared" si="6"/>
        <v>311.7</v>
      </c>
      <c r="G281" s="674">
        <f t="shared" si="7"/>
        <v>0</v>
      </c>
    </row>
    <row r="282" spans="1:9" x14ac:dyDescent="0.3">
      <c r="A282" s="127">
        <v>311.8</v>
      </c>
      <c r="B282" s="7" t="s">
        <v>364</v>
      </c>
      <c r="C282" s="168">
        <v>0</v>
      </c>
      <c r="D282" s="672">
        <v>0</v>
      </c>
      <c r="E282" s="152">
        <v>0</v>
      </c>
      <c r="F282" s="127">
        <f t="shared" si="6"/>
        <v>311.8</v>
      </c>
      <c r="G282" s="674">
        <f t="shared" si="7"/>
        <v>0</v>
      </c>
    </row>
    <row r="283" spans="1:9" x14ac:dyDescent="0.3">
      <c r="A283" s="127">
        <v>319</v>
      </c>
      <c r="B283" s="7" t="s">
        <v>365</v>
      </c>
      <c r="C283" s="168">
        <v>0</v>
      </c>
      <c r="D283" s="672">
        <v>0</v>
      </c>
      <c r="E283" s="152">
        <v>0</v>
      </c>
      <c r="F283" s="127">
        <f t="shared" si="6"/>
        <v>319</v>
      </c>
      <c r="G283" s="674">
        <f t="shared" si="7"/>
        <v>0</v>
      </c>
    </row>
    <row r="284" spans="1:9" x14ac:dyDescent="0.3">
      <c r="A284" s="127">
        <v>350.1</v>
      </c>
      <c r="B284" s="7" t="s">
        <v>327</v>
      </c>
      <c r="C284" s="168">
        <v>0</v>
      </c>
      <c r="D284" s="672">
        <v>0</v>
      </c>
      <c r="E284" s="152">
        <v>0</v>
      </c>
      <c r="F284" s="127" t="str">
        <f t="shared" ref="F284:F309" si="8">LEFT(A284,3)</f>
        <v>350</v>
      </c>
      <c r="G284" s="674">
        <f t="shared" si="7"/>
        <v>0</v>
      </c>
      <c r="H284" s="676">
        <f>$D$430</f>
        <v>0.10419999999999996</v>
      </c>
      <c r="I284" s="660" t="s">
        <v>311</v>
      </c>
    </row>
    <row r="285" spans="1:9" x14ac:dyDescent="0.3">
      <c r="A285" s="127">
        <v>350.2</v>
      </c>
      <c r="B285" s="7" t="s">
        <v>366</v>
      </c>
      <c r="C285" s="168">
        <v>0</v>
      </c>
      <c r="D285" s="672">
        <v>1.43E-2</v>
      </c>
      <c r="E285" s="152">
        <v>0</v>
      </c>
      <c r="F285" s="127" t="str">
        <f t="shared" si="8"/>
        <v>350</v>
      </c>
      <c r="G285" s="674">
        <f t="shared" si="7"/>
        <v>163.34773809639989</v>
      </c>
      <c r="H285" s="676">
        <f t="shared" ref="H285:H317" si="9">$D$430</f>
        <v>0.10419999999999996</v>
      </c>
      <c r="I285" s="660" t="s">
        <v>311</v>
      </c>
    </row>
    <row r="286" spans="1:9" x14ac:dyDescent="0.3">
      <c r="A286" s="127">
        <v>351</v>
      </c>
      <c r="B286" s="7" t="s">
        <v>367</v>
      </c>
      <c r="C286" s="168">
        <v>0</v>
      </c>
      <c r="D286" s="672">
        <v>1.4999999999999999E-2</v>
      </c>
      <c r="E286" s="152">
        <v>0</v>
      </c>
      <c r="F286" s="127" t="str">
        <f t="shared" si="8"/>
        <v>351</v>
      </c>
      <c r="G286" s="674">
        <f t="shared" si="7"/>
        <v>12043.949808897498</v>
      </c>
      <c r="H286" s="676">
        <f t="shared" si="9"/>
        <v>0.10419999999999996</v>
      </c>
      <c r="I286" s="660" t="s">
        <v>311</v>
      </c>
    </row>
    <row r="287" spans="1:9" x14ac:dyDescent="0.3">
      <c r="A287" s="127">
        <v>352</v>
      </c>
      <c r="B287" s="7" t="s">
        <v>368</v>
      </c>
      <c r="C287" s="168">
        <v>0</v>
      </c>
      <c r="D287" s="672">
        <v>1.4999999999999999E-2</v>
      </c>
      <c r="E287" s="152">
        <v>0</v>
      </c>
      <c r="F287" s="127" t="str">
        <f t="shared" si="8"/>
        <v>352</v>
      </c>
      <c r="G287" s="674">
        <f t="shared" si="7"/>
        <v>34408.901540341234</v>
      </c>
      <c r="H287" s="676">
        <f t="shared" si="9"/>
        <v>0.10419999999999996</v>
      </c>
      <c r="I287" s="660" t="s">
        <v>311</v>
      </c>
    </row>
    <row r="288" spans="1:9" x14ac:dyDescent="0.3">
      <c r="A288" s="127">
        <v>352.1</v>
      </c>
      <c r="B288" s="7" t="s">
        <v>369</v>
      </c>
      <c r="C288" s="168">
        <v>0</v>
      </c>
      <c r="D288" s="672">
        <v>1.67E-2</v>
      </c>
      <c r="E288" s="152">
        <v>0</v>
      </c>
      <c r="F288" s="127" t="str">
        <f t="shared" si="8"/>
        <v>352</v>
      </c>
      <c r="G288" s="674">
        <f t="shared" si="7"/>
        <v>6853.5262855847968</v>
      </c>
      <c r="H288" s="676">
        <f t="shared" si="9"/>
        <v>0.10419999999999996</v>
      </c>
      <c r="I288" s="660" t="s">
        <v>311</v>
      </c>
    </row>
    <row r="289" spans="1:9" x14ac:dyDescent="0.3">
      <c r="A289" s="127">
        <v>352.2</v>
      </c>
      <c r="B289" s="7" t="s">
        <v>370</v>
      </c>
      <c r="C289" s="168">
        <v>0</v>
      </c>
      <c r="D289" s="672">
        <v>1.7299999999999999E-2</v>
      </c>
      <c r="E289" s="152">
        <v>0</v>
      </c>
      <c r="F289" s="127" t="str">
        <f t="shared" si="8"/>
        <v>352</v>
      </c>
      <c r="G289" s="674">
        <f t="shared" si="7"/>
        <v>13109.940553219398</v>
      </c>
      <c r="H289" s="676">
        <f t="shared" si="9"/>
        <v>0.10419999999999996</v>
      </c>
      <c r="I289" s="660" t="s">
        <v>311</v>
      </c>
    </row>
    <row r="290" spans="1:9" x14ac:dyDescent="0.3">
      <c r="A290" s="127">
        <v>352.3</v>
      </c>
      <c r="B290" s="7" t="s">
        <v>371</v>
      </c>
      <c r="C290" s="168">
        <v>0</v>
      </c>
      <c r="D290" s="672">
        <v>1.5700000000000002E-2</v>
      </c>
      <c r="E290" s="152">
        <v>0</v>
      </c>
      <c r="F290" s="127" t="str">
        <f t="shared" si="8"/>
        <v>352</v>
      </c>
      <c r="G290" s="674">
        <f t="shared" si="7"/>
        <v>10536.909292130798</v>
      </c>
      <c r="H290" s="676">
        <f t="shared" si="9"/>
        <v>0.10419999999999996</v>
      </c>
      <c r="I290" s="660" t="s">
        <v>311</v>
      </c>
    </row>
    <row r="291" spans="1:9" x14ac:dyDescent="0.3">
      <c r="A291" s="127">
        <v>353</v>
      </c>
      <c r="B291" s="7" t="s">
        <v>372</v>
      </c>
      <c r="C291" s="168">
        <v>0</v>
      </c>
      <c r="D291" s="672">
        <v>2.06E-2</v>
      </c>
      <c r="E291" s="152">
        <v>0</v>
      </c>
      <c r="F291" s="127" t="str">
        <f t="shared" si="8"/>
        <v>353</v>
      </c>
      <c r="G291" s="674">
        <f t="shared" si="7"/>
        <v>14097.248892382397</v>
      </c>
      <c r="H291" s="676">
        <f t="shared" si="9"/>
        <v>0.10419999999999996</v>
      </c>
      <c r="I291" s="660" t="s">
        <v>311</v>
      </c>
    </row>
    <row r="292" spans="1:9" x14ac:dyDescent="0.3">
      <c r="A292" s="127">
        <v>354</v>
      </c>
      <c r="B292" s="7" t="s">
        <v>373</v>
      </c>
      <c r="C292" s="168">
        <v>0</v>
      </c>
      <c r="D292" s="672">
        <v>2.1499999999999998E-2</v>
      </c>
      <c r="E292" s="152">
        <v>0</v>
      </c>
      <c r="F292" s="127" t="str">
        <f t="shared" si="8"/>
        <v>354</v>
      </c>
      <c r="G292" s="674">
        <f t="shared" si="7"/>
        <v>0</v>
      </c>
      <c r="H292" s="676">
        <f t="shared" si="9"/>
        <v>0.10419999999999996</v>
      </c>
      <c r="I292" s="660" t="s">
        <v>311</v>
      </c>
    </row>
    <row r="293" spans="1:9" x14ac:dyDescent="0.3">
      <c r="A293" s="127">
        <v>354.1</v>
      </c>
      <c r="B293" s="7" t="s">
        <v>1909</v>
      </c>
      <c r="C293" s="168">
        <v>0</v>
      </c>
      <c r="D293" s="672">
        <v>1.5100000000000001E-2</v>
      </c>
      <c r="E293" s="152">
        <v>0</v>
      </c>
      <c r="F293" s="127" t="str">
        <f t="shared" si="8"/>
        <v>354</v>
      </c>
      <c r="G293" s="674">
        <f t="shared" si="7"/>
        <v>6537.0875390371957</v>
      </c>
      <c r="H293" s="676">
        <f t="shared" si="9"/>
        <v>0.10419999999999996</v>
      </c>
      <c r="I293" s="660" t="s">
        <v>311</v>
      </c>
    </row>
    <row r="294" spans="1:9" x14ac:dyDescent="0.3">
      <c r="A294" s="127">
        <v>354.2</v>
      </c>
      <c r="B294" s="7" t="s">
        <v>1910</v>
      </c>
      <c r="C294" s="168">
        <v>0</v>
      </c>
      <c r="D294" s="672">
        <v>1.4800000000000001E-2</v>
      </c>
      <c r="E294" s="152">
        <v>0</v>
      </c>
      <c r="F294" s="127" t="str">
        <f t="shared" si="8"/>
        <v>354</v>
      </c>
      <c r="G294" s="674">
        <f t="shared" si="7"/>
        <v>6407.2106098399972</v>
      </c>
      <c r="H294" s="676">
        <f t="shared" si="9"/>
        <v>0.10419999999999996</v>
      </c>
      <c r="I294" s="660" t="s">
        <v>311</v>
      </c>
    </row>
    <row r="295" spans="1:9" x14ac:dyDescent="0.3">
      <c r="A295" s="127">
        <v>354.3</v>
      </c>
      <c r="B295" s="7" t="s">
        <v>1911</v>
      </c>
      <c r="C295" s="168">
        <v>0</v>
      </c>
      <c r="D295" s="672">
        <v>1.8600000000000002E-2</v>
      </c>
      <c r="E295" s="152">
        <v>0</v>
      </c>
      <c r="F295" s="127" t="str">
        <f t="shared" si="8"/>
        <v>354</v>
      </c>
      <c r="G295" s="674">
        <f t="shared" si="7"/>
        <v>38065.673691403194</v>
      </c>
      <c r="H295" s="676">
        <f t="shared" si="9"/>
        <v>0.10419999999999996</v>
      </c>
      <c r="I295" s="660" t="s">
        <v>311</v>
      </c>
    </row>
    <row r="296" spans="1:9" x14ac:dyDescent="0.3">
      <c r="A296" s="127">
        <v>354.4</v>
      </c>
      <c r="B296" s="7" t="s">
        <v>1912</v>
      </c>
      <c r="C296" s="168">
        <v>0</v>
      </c>
      <c r="D296" s="672">
        <v>1.9299999999999998E-2</v>
      </c>
      <c r="E296" s="152">
        <v>0</v>
      </c>
      <c r="F296" s="127" t="str">
        <f t="shared" si="8"/>
        <v>354</v>
      </c>
      <c r="G296" s="674">
        <f t="shared" si="7"/>
        <v>6669.0191931401978</v>
      </c>
      <c r="H296" s="676">
        <f t="shared" si="9"/>
        <v>0.10419999999999996</v>
      </c>
      <c r="I296" s="660" t="s">
        <v>311</v>
      </c>
    </row>
    <row r="297" spans="1:9" x14ac:dyDescent="0.3">
      <c r="A297" s="127">
        <v>354.6</v>
      </c>
      <c r="B297" s="7" t="s">
        <v>1913</v>
      </c>
      <c r="C297" s="168">
        <v>0</v>
      </c>
      <c r="D297" s="672">
        <v>2.1899999999999999E-2</v>
      </c>
      <c r="E297" s="152">
        <v>0</v>
      </c>
      <c r="F297" s="127" t="str">
        <f t="shared" si="8"/>
        <v>354</v>
      </c>
      <c r="G297" s="674">
        <f t="shared" si="7"/>
        <v>197.2612579927999</v>
      </c>
      <c r="H297" s="676">
        <f t="shared" si="9"/>
        <v>0.10419999999999996</v>
      </c>
      <c r="I297" s="660" t="s">
        <v>311</v>
      </c>
    </row>
    <row r="298" spans="1:9" x14ac:dyDescent="0.3">
      <c r="A298" s="127">
        <v>355</v>
      </c>
      <c r="B298" s="7" t="s">
        <v>374</v>
      </c>
      <c r="C298" s="168">
        <v>0</v>
      </c>
      <c r="D298" s="672">
        <v>2.2700000000000001E-2</v>
      </c>
      <c r="E298" s="152">
        <v>0</v>
      </c>
      <c r="F298" s="127" t="str">
        <f t="shared" si="8"/>
        <v>355</v>
      </c>
      <c r="G298" s="674">
        <f t="shared" si="7"/>
        <v>17522.350834806741</v>
      </c>
      <c r="H298" s="676">
        <f t="shared" si="9"/>
        <v>0.10419999999999996</v>
      </c>
      <c r="I298" s="660" t="s">
        <v>311</v>
      </c>
    </row>
    <row r="299" spans="1:9" x14ac:dyDescent="0.3">
      <c r="A299" s="127">
        <v>356</v>
      </c>
      <c r="B299" s="7" t="s">
        <v>375</v>
      </c>
      <c r="C299" s="168">
        <v>0</v>
      </c>
      <c r="D299" s="672">
        <v>1.37E-2</v>
      </c>
      <c r="E299" s="152">
        <v>0</v>
      </c>
      <c r="F299" s="127" t="str">
        <f t="shared" si="8"/>
        <v>356</v>
      </c>
      <c r="G299" s="674">
        <f t="shared" si="7"/>
        <v>452.02539709753313</v>
      </c>
      <c r="H299" s="676">
        <f t="shared" si="9"/>
        <v>0.10419999999999996</v>
      </c>
      <c r="I299" s="660" t="s">
        <v>311</v>
      </c>
    </row>
    <row r="300" spans="1:9" x14ac:dyDescent="0.3">
      <c r="A300" s="127">
        <v>357</v>
      </c>
      <c r="B300" s="7" t="s">
        <v>376</v>
      </c>
      <c r="C300" s="168">
        <v>0</v>
      </c>
      <c r="D300" s="672">
        <v>2.1700000000000001E-2</v>
      </c>
      <c r="E300" s="152">
        <v>0</v>
      </c>
      <c r="F300" s="127" t="str">
        <f t="shared" si="8"/>
        <v>357</v>
      </c>
      <c r="G300" s="674">
        <f t="shared" si="7"/>
        <v>3688.3292762027231</v>
      </c>
      <c r="H300" s="676">
        <f t="shared" si="9"/>
        <v>0.10419999999999996</v>
      </c>
      <c r="I300" s="660" t="s">
        <v>311</v>
      </c>
    </row>
    <row r="301" spans="1:9" x14ac:dyDescent="0.3">
      <c r="A301" s="127">
        <v>360.11</v>
      </c>
      <c r="B301" s="7" t="s">
        <v>377</v>
      </c>
      <c r="C301" s="168">
        <v>0</v>
      </c>
      <c r="D301" s="672">
        <v>0</v>
      </c>
      <c r="E301" s="152">
        <v>0</v>
      </c>
      <c r="F301" s="127" t="str">
        <f t="shared" si="8"/>
        <v>360</v>
      </c>
      <c r="G301" s="674">
        <f t="shared" si="7"/>
        <v>0</v>
      </c>
      <c r="H301" s="676">
        <f t="shared" si="9"/>
        <v>0.10419999999999996</v>
      </c>
      <c r="I301" s="660" t="s">
        <v>311</v>
      </c>
    </row>
    <row r="302" spans="1:9" x14ac:dyDescent="0.3">
      <c r="A302" s="127">
        <v>360.12</v>
      </c>
      <c r="B302" s="7" t="s">
        <v>378</v>
      </c>
      <c r="C302" s="168">
        <v>0</v>
      </c>
      <c r="D302" s="672">
        <v>0</v>
      </c>
      <c r="E302" s="152">
        <v>0</v>
      </c>
      <c r="F302" s="127" t="str">
        <f t="shared" si="8"/>
        <v>360</v>
      </c>
      <c r="G302" s="674">
        <f t="shared" si="7"/>
        <v>0</v>
      </c>
      <c r="H302" s="676">
        <f t="shared" si="9"/>
        <v>0.10419999999999996</v>
      </c>
      <c r="I302" s="660" t="s">
        <v>311</v>
      </c>
    </row>
    <row r="303" spans="1:9" x14ac:dyDescent="0.3">
      <c r="A303" s="127">
        <v>360.2</v>
      </c>
      <c r="B303" s="7" t="s">
        <v>379</v>
      </c>
      <c r="C303" s="168">
        <v>0</v>
      </c>
      <c r="D303" s="672">
        <v>0</v>
      </c>
      <c r="E303" s="152">
        <v>0</v>
      </c>
      <c r="F303" s="127" t="str">
        <f t="shared" si="8"/>
        <v>360</v>
      </c>
      <c r="G303" s="674">
        <f t="shared" si="7"/>
        <v>0</v>
      </c>
      <c r="H303" s="676">
        <f t="shared" si="9"/>
        <v>0.10419999999999996</v>
      </c>
      <c r="I303" s="660" t="s">
        <v>311</v>
      </c>
    </row>
    <row r="304" spans="1:9" x14ac:dyDescent="0.3">
      <c r="A304" s="127">
        <v>361.11</v>
      </c>
      <c r="B304" s="7" t="s">
        <v>329</v>
      </c>
      <c r="C304" s="168">
        <v>0</v>
      </c>
      <c r="D304" s="672">
        <v>3.7900000000000003E-2</v>
      </c>
      <c r="E304" s="152">
        <v>0</v>
      </c>
      <c r="F304" s="127" t="str">
        <f t="shared" si="8"/>
        <v>361</v>
      </c>
      <c r="G304" s="674">
        <f t="shared" si="7"/>
        <v>20874.341715968189</v>
      </c>
      <c r="H304" s="676">
        <f t="shared" si="9"/>
        <v>0.10419999999999996</v>
      </c>
      <c r="I304" s="660" t="s">
        <v>311</v>
      </c>
    </row>
    <row r="305" spans="1:9" x14ac:dyDescent="0.3">
      <c r="A305" s="127">
        <v>361.12</v>
      </c>
      <c r="B305" s="7" t="s">
        <v>329</v>
      </c>
      <c r="C305" s="168">
        <v>0</v>
      </c>
      <c r="D305" s="672">
        <v>4.3299999999999998E-2</v>
      </c>
      <c r="E305" s="152">
        <v>0</v>
      </c>
      <c r="F305" s="127" t="str">
        <f t="shared" si="8"/>
        <v>361</v>
      </c>
      <c r="G305" s="674">
        <f t="shared" si="7"/>
        <v>45572.694813061447</v>
      </c>
      <c r="H305" s="676">
        <f t="shared" si="9"/>
        <v>0.10419999999999996</v>
      </c>
      <c r="I305" s="660" t="s">
        <v>311</v>
      </c>
    </row>
    <row r="306" spans="1:9" x14ac:dyDescent="0.3">
      <c r="A306" s="127">
        <v>361.2</v>
      </c>
      <c r="B306" s="7" t="s">
        <v>380</v>
      </c>
      <c r="C306" s="168">
        <v>0</v>
      </c>
      <c r="D306" s="672">
        <v>1.77E-2</v>
      </c>
      <c r="E306" s="152">
        <v>0</v>
      </c>
      <c r="F306" s="127" t="str">
        <f t="shared" si="8"/>
        <v>361</v>
      </c>
      <c r="G306" s="674">
        <f t="shared" si="7"/>
        <v>49.34900537999998</v>
      </c>
      <c r="H306" s="676">
        <f t="shared" si="9"/>
        <v>0.10419999999999996</v>
      </c>
      <c r="I306" s="660" t="s">
        <v>311</v>
      </c>
    </row>
    <row r="307" spans="1:9" x14ac:dyDescent="0.3">
      <c r="A307" s="127">
        <v>362.11</v>
      </c>
      <c r="B307" s="7" t="s">
        <v>381</v>
      </c>
      <c r="C307" s="168">
        <v>0</v>
      </c>
      <c r="D307" s="672">
        <v>2.58E-2</v>
      </c>
      <c r="E307" s="152">
        <v>0</v>
      </c>
      <c r="F307" s="127" t="str">
        <f t="shared" si="8"/>
        <v>362</v>
      </c>
      <c r="G307" s="674">
        <f t="shared" si="7"/>
        <v>12173.911741875745</v>
      </c>
      <c r="H307" s="676">
        <f t="shared" si="9"/>
        <v>0.10419999999999996</v>
      </c>
      <c r="I307" s="660" t="s">
        <v>311</v>
      </c>
    </row>
    <row r="308" spans="1:9" x14ac:dyDescent="0.3">
      <c r="A308" s="127">
        <v>362.12</v>
      </c>
      <c r="B308" s="7" t="s">
        <v>382</v>
      </c>
      <c r="C308" s="168">
        <v>0</v>
      </c>
      <c r="D308" s="672">
        <v>2.4300000000000002E-2</v>
      </c>
      <c r="E308" s="152">
        <v>0</v>
      </c>
      <c r="F308" s="127" t="str">
        <f t="shared" si="8"/>
        <v>362</v>
      </c>
      <c r="G308" s="674">
        <f t="shared" si="7"/>
        <v>14959.293403875747</v>
      </c>
      <c r="H308" s="676">
        <f t="shared" si="9"/>
        <v>0.10419999999999996</v>
      </c>
      <c r="I308" s="660" t="s">
        <v>311</v>
      </c>
    </row>
    <row r="309" spans="1:9" x14ac:dyDescent="0.3">
      <c r="A309" s="127">
        <v>362.2</v>
      </c>
      <c r="B309" s="7" t="s">
        <v>383</v>
      </c>
      <c r="C309" s="168">
        <v>0</v>
      </c>
      <c r="D309" s="672">
        <v>0.01</v>
      </c>
      <c r="E309" s="152">
        <v>0</v>
      </c>
      <c r="F309" s="127" t="str">
        <f t="shared" si="8"/>
        <v>362</v>
      </c>
      <c r="G309" s="674">
        <f t="shared" si="7"/>
        <v>1.6673458799999989</v>
      </c>
      <c r="H309" s="676">
        <f t="shared" si="9"/>
        <v>0.10419999999999996</v>
      </c>
      <c r="I309" s="660" t="s">
        <v>311</v>
      </c>
    </row>
    <row r="310" spans="1:9" x14ac:dyDescent="0.3">
      <c r="A310" s="127">
        <v>363.11</v>
      </c>
      <c r="B310" s="7" t="s">
        <v>384</v>
      </c>
      <c r="C310" s="168">
        <v>0</v>
      </c>
      <c r="D310" s="672">
        <v>1.3100000000000001E-2</v>
      </c>
      <c r="E310" s="152">
        <v>0</v>
      </c>
      <c r="F310" s="127" t="str">
        <f t="shared" ref="F310:F319" si="10">LEFT(A310,5)</f>
        <v>363.1</v>
      </c>
      <c r="G310" s="674">
        <f t="shared" si="7"/>
        <v>4538.9926313746155</v>
      </c>
      <c r="H310" s="676">
        <f t="shared" si="9"/>
        <v>0.10419999999999996</v>
      </c>
      <c r="I310" s="7" t="s">
        <v>311</v>
      </c>
    </row>
    <row r="311" spans="1:9" x14ac:dyDescent="0.3">
      <c r="A311" s="127">
        <v>363.12</v>
      </c>
      <c r="B311" s="7" t="s">
        <v>385</v>
      </c>
      <c r="C311" s="168">
        <v>0</v>
      </c>
      <c r="D311" s="672">
        <v>6.7000000000000002E-3</v>
      </c>
      <c r="E311" s="152">
        <v>0</v>
      </c>
      <c r="F311" s="127" t="str">
        <f t="shared" si="10"/>
        <v>363.1</v>
      </c>
      <c r="G311" s="674">
        <f t="shared" si="7"/>
        <v>7498.5598616964153</v>
      </c>
      <c r="H311" s="676">
        <f t="shared" si="9"/>
        <v>0.10419999999999996</v>
      </c>
      <c r="I311" s="7" t="s">
        <v>311</v>
      </c>
    </row>
    <row r="312" spans="1:9" x14ac:dyDescent="0.3">
      <c r="A312" s="127">
        <v>363.21</v>
      </c>
      <c r="B312" s="7" t="s">
        <v>386</v>
      </c>
      <c r="C312" s="168">
        <v>0</v>
      </c>
      <c r="D312" s="672">
        <v>4.6999999999999993E-3</v>
      </c>
      <c r="E312" s="152">
        <v>0</v>
      </c>
      <c r="F312" s="127" t="str">
        <f t="shared" si="10"/>
        <v>363.2</v>
      </c>
      <c r="G312" s="674">
        <f t="shared" si="7"/>
        <v>2309.1556961882739</v>
      </c>
      <c r="H312" s="676">
        <f t="shared" si="9"/>
        <v>0.10419999999999996</v>
      </c>
      <c r="I312" s="7" t="s">
        <v>311</v>
      </c>
    </row>
    <row r="313" spans="1:9" x14ac:dyDescent="0.3">
      <c r="A313" s="127">
        <v>363.22</v>
      </c>
      <c r="B313" s="7" t="s">
        <v>387</v>
      </c>
      <c r="C313" s="168">
        <v>0</v>
      </c>
      <c r="D313" s="672">
        <v>3.0899999999999997E-2</v>
      </c>
      <c r="E313" s="152">
        <v>0</v>
      </c>
      <c r="F313" s="127" t="str">
        <f t="shared" si="10"/>
        <v>363.2</v>
      </c>
      <c r="G313" s="674">
        <f t="shared" si="7"/>
        <v>13842.276605697822</v>
      </c>
      <c r="H313" s="676">
        <f t="shared" si="9"/>
        <v>0.10419999999999996</v>
      </c>
      <c r="I313" s="7" t="s">
        <v>311</v>
      </c>
    </row>
    <row r="314" spans="1:9" x14ac:dyDescent="0.3">
      <c r="A314" s="127">
        <v>363.31</v>
      </c>
      <c r="B314" s="7" t="s">
        <v>388</v>
      </c>
      <c r="C314" s="168">
        <v>0</v>
      </c>
      <c r="D314" s="672">
        <v>0</v>
      </c>
      <c r="E314" s="152">
        <v>0</v>
      </c>
      <c r="F314" s="127" t="str">
        <f t="shared" si="10"/>
        <v>363.3</v>
      </c>
      <c r="G314" s="674">
        <f t="shared" si="7"/>
        <v>0</v>
      </c>
      <c r="H314" s="676">
        <f t="shared" si="9"/>
        <v>0.10419999999999996</v>
      </c>
      <c r="I314" s="7" t="s">
        <v>311</v>
      </c>
    </row>
    <row r="315" spans="1:9" x14ac:dyDescent="0.3">
      <c r="A315" s="127">
        <v>363.32</v>
      </c>
      <c r="B315" s="7" t="s">
        <v>389</v>
      </c>
      <c r="C315" s="168">
        <v>0</v>
      </c>
      <c r="D315" s="672">
        <v>7.5800000000000006E-2</v>
      </c>
      <c r="E315" s="152">
        <v>0</v>
      </c>
      <c r="F315" s="127" t="str">
        <f t="shared" si="10"/>
        <v>363.3</v>
      </c>
      <c r="G315" s="674">
        <f t="shared" si="7"/>
        <v>34561.415478051742</v>
      </c>
      <c r="H315" s="676">
        <f t="shared" si="9"/>
        <v>0.10419999999999996</v>
      </c>
      <c r="I315" s="7" t="s">
        <v>311</v>
      </c>
    </row>
    <row r="316" spans="1:9" x14ac:dyDescent="0.3">
      <c r="A316" s="127">
        <v>363.41</v>
      </c>
      <c r="B316" s="7" t="s">
        <v>390</v>
      </c>
      <c r="C316" s="168">
        <v>0</v>
      </c>
      <c r="D316" s="672">
        <v>3.9900000000000005E-2</v>
      </c>
      <c r="E316" s="152">
        <v>0</v>
      </c>
      <c r="F316" s="127" t="str">
        <f t="shared" si="10"/>
        <v>363.4</v>
      </c>
      <c r="G316" s="674">
        <f t="shared" si="7"/>
        <v>10135.540200564268</v>
      </c>
      <c r="H316" s="676">
        <f t="shared" si="9"/>
        <v>0.10419999999999996</v>
      </c>
      <c r="I316" s="7" t="s">
        <v>311</v>
      </c>
    </row>
    <row r="317" spans="1:9" x14ac:dyDescent="0.3">
      <c r="A317" s="127">
        <v>363.42</v>
      </c>
      <c r="B317" s="7" t="s">
        <v>390</v>
      </c>
      <c r="C317" s="168">
        <v>0</v>
      </c>
      <c r="D317" s="672">
        <v>1.2999999999999999E-3</v>
      </c>
      <c r="E317" s="152">
        <v>0</v>
      </c>
      <c r="F317" s="127" t="str">
        <f t="shared" si="10"/>
        <v>363.4</v>
      </c>
      <c r="G317" s="674">
        <f t="shared" si="7"/>
        <v>1356.041469199841</v>
      </c>
      <c r="H317" s="676">
        <f t="shared" si="9"/>
        <v>0.10419999999999996</v>
      </c>
      <c r="I317" s="7" t="s">
        <v>311</v>
      </c>
    </row>
    <row r="318" spans="1:9" x14ac:dyDescent="0.3">
      <c r="A318" s="127">
        <v>363.5</v>
      </c>
      <c r="B318" s="7" t="s">
        <v>391</v>
      </c>
      <c r="C318" s="168">
        <v>0</v>
      </c>
      <c r="D318" s="672">
        <v>2.6200000000000001E-2</v>
      </c>
      <c r="E318" s="152">
        <v>0</v>
      </c>
      <c r="F318" s="127" t="str">
        <f t="shared" si="10"/>
        <v>363.5</v>
      </c>
      <c r="G318" s="674">
        <f t="shared" si="7"/>
        <v>8961.715880039801</v>
      </c>
      <c r="H318" s="676">
        <f>$D$431</f>
        <v>0.11209999999999998</v>
      </c>
      <c r="I318" s="7" t="s">
        <v>308</v>
      </c>
    </row>
    <row r="319" spans="1:9" x14ac:dyDescent="0.3">
      <c r="A319" s="127">
        <v>363.6</v>
      </c>
      <c r="B319" s="7" t="s">
        <v>392</v>
      </c>
      <c r="C319" s="168">
        <v>0</v>
      </c>
      <c r="D319" s="672">
        <v>2.3E-3</v>
      </c>
      <c r="E319" s="152">
        <v>0</v>
      </c>
      <c r="F319" s="127" t="str">
        <f t="shared" si="10"/>
        <v>363.6</v>
      </c>
      <c r="G319" s="674">
        <f t="shared" si="7"/>
        <v>0</v>
      </c>
      <c r="H319" s="676">
        <f>$D$431</f>
        <v>0.11209999999999998</v>
      </c>
      <c r="I319" s="7" t="s">
        <v>308</v>
      </c>
    </row>
    <row r="320" spans="1:9" x14ac:dyDescent="0.3">
      <c r="A320" s="127">
        <v>365.1</v>
      </c>
      <c r="B320" s="7" t="s">
        <v>327</v>
      </c>
      <c r="C320" s="168">
        <v>0</v>
      </c>
      <c r="D320" s="672">
        <v>0</v>
      </c>
      <c r="E320" s="152">
        <v>0</v>
      </c>
      <c r="F320" s="127" t="str">
        <f>LEFT(A320,3)</f>
        <v>365</v>
      </c>
      <c r="G320" s="674">
        <f>E320</f>
        <v>0</v>
      </c>
      <c r="I320" s="7" t="s">
        <v>302</v>
      </c>
    </row>
    <row r="321" spans="1:9" x14ac:dyDescent="0.3">
      <c r="A321" s="127">
        <v>365.2</v>
      </c>
      <c r="B321" s="7" t="s">
        <v>328</v>
      </c>
      <c r="C321" s="168">
        <v>0</v>
      </c>
      <c r="D321" s="672">
        <v>1.52E-2</v>
      </c>
      <c r="E321" s="152">
        <v>0</v>
      </c>
      <c r="F321" s="127" t="str">
        <f>LEFT(A321,3)</f>
        <v>365</v>
      </c>
      <c r="G321" s="674">
        <f>E321</f>
        <v>0</v>
      </c>
      <c r="I321" s="7" t="s">
        <v>302</v>
      </c>
    </row>
    <row r="322" spans="1:9" x14ac:dyDescent="0.3">
      <c r="A322" s="127">
        <v>366.3</v>
      </c>
      <c r="B322" s="7" t="s">
        <v>380</v>
      </c>
      <c r="C322" s="168">
        <v>0</v>
      </c>
      <c r="D322" s="672">
        <v>1.7500000000000002E-2</v>
      </c>
      <c r="E322" s="152">
        <v>0</v>
      </c>
      <c r="F322" s="127" t="str">
        <f>LEFT(A322,3)</f>
        <v>366</v>
      </c>
      <c r="G322" s="674">
        <f>E322</f>
        <v>0</v>
      </c>
      <c r="I322" s="7" t="s">
        <v>302</v>
      </c>
    </row>
    <row r="323" spans="1:9" x14ac:dyDescent="0.3">
      <c r="A323" s="127">
        <v>367</v>
      </c>
      <c r="B323" s="7" t="s">
        <v>326</v>
      </c>
      <c r="C323" s="168">
        <v>1114905.5783333329</v>
      </c>
      <c r="D323" s="672">
        <v>1.8799999999999997E-2</v>
      </c>
      <c r="E323" s="152">
        <v>20960.224872666655</v>
      </c>
      <c r="F323" s="127">
        <f>A323</f>
        <v>367</v>
      </c>
      <c r="G323" s="674">
        <f>E323</f>
        <v>20960.224872666655</v>
      </c>
      <c r="I323" s="7" t="s">
        <v>302</v>
      </c>
    </row>
    <row r="324" spans="1:9" x14ac:dyDescent="0.3">
      <c r="A324" s="127">
        <v>367.21</v>
      </c>
      <c r="B324" s="7" t="s">
        <v>393</v>
      </c>
      <c r="C324" s="168">
        <v>0</v>
      </c>
      <c r="D324" s="672">
        <v>1.72E-2</v>
      </c>
      <c r="E324" s="152">
        <v>0</v>
      </c>
      <c r="F324" s="127" t="str">
        <f t="shared" ref="F324:F329" si="11">LEFT(A324,5)</f>
        <v>367.2</v>
      </c>
      <c r="G324" s="674">
        <f t="shared" ref="G324:G377" si="12">E74*H324</f>
        <v>3574.7703426535991</v>
      </c>
      <c r="H324" s="676">
        <f t="shared" ref="H324:H329" si="13">$D$430</f>
        <v>0.10419999999999996</v>
      </c>
      <c r="I324" s="7" t="s">
        <v>311</v>
      </c>
    </row>
    <row r="325" spans="1:9" x14ac:dyDescent="0.3">
      <c r="A325" s="127">
        <v>367.22</v>
      </c>
      <c r="B325" s="7" t="s">
        <v>394</v>
      </c>
      <c r="C325" s="168">
        <v>0</v>
      </c>
      <c r="D325" s="672">
        <v>1.5900000000000001E-2</v>
      </c>
      <c r="E325" s="152">
        <v>0</v>
      </c>
      <c r="F325" s="127" t="str">
        <f t="shared" si="11"/>
        <v>367.2</v>
      </c>
      <c r="G325" s="674">
        <f t="shared" si="12"/>
        <v>24767.641609919992</v>
      </c>
      <c r="H325" s="676">
        <f t="shared" si="13"/>
        <v>0.10419999999999996</v>
      </c>
      <c r="I325" s="7" t="s">
        <v>311</v>
      </c>
    </row>
    <row r="326" spans="1:9" x14ac:dyDescent="0.3">
      <c r="A326" s="127">
        <v>367.23</v>
      </c>
      <c r="B326" s="7" t="s">
        <v>394</v>
      </c>
      <c r="C326" s="168">
        <v>0</v>
      </c>
      <c r="D326" s="672">
        <v>1.9400000000000001E-2</v>
      </c>
      <c r="E326" s="152">
        <v>0</v>
      </c>
      <c r="F326" s="127" t="str">
        <f t="shared" si="11"/>
        <v>367.2</v>
      </c>
      <c r="G326" s="674">
        <f t="shared" si="12"/>
        <v>70511.93393241278</v>
      </c>
      <c r="H326" s="676">
        <f t="shared" si="13"/>
        <v>0.10419999999999996</v>
      </c>
      <c r="I326" s="7" t="s">
        <v>311</v>
      </c>
    </row>
    <row r="327" spans="1:9" x14ac:dyDescent="0.3">
      <c r="A327" s="127">
        <v>367.24</v>
      </c>
      <c r="B327" s="7" t="s">
        <v>395</v>
      </c>
      <c r="C327" s="168">
        <v>0</v>
      </c>
      <c r="D327" s="672">
        <v>1.9400000000000001E-2</v>
      </c>
      <c r="E327" s="152">
        <v>0</v>
      </c>
      <c r="F327" s="127" t="str">
        <f t="shared" si="11"/>
        <v>367.2</v>
      </c>
      <c r="G327" s="674">
        <f t="shared" si="12"/>
        <v>35307.537366997181</v>
      </c>
      <c r="H327" s="676">
        <f t="shared" si="13"/>
        <v>0.10419999999999996</v>
      </c>
      <c r="I327" s="7" t="s">
        <v>311</v>
      </c>
    </row>
    <row r="328" spans="1:9" x14ac:dyDescent="0.3">
      <c r="A328" s="127">
        <v>367.25</v>
      </c>
      <c r="B328" s="7" t="s">
        <v>396</v>
      </c>
      <c r="C328" s="168">
        <v>0</v>
      </c>
      <c r="D328" s="672">
        <v>1.95E-2</v>
      </c>
      <c r="E328" s="152">
        <v>0</v>
      </c>
      <c r="F328" s="127" t="str">
        <f t="shared" si="11"/>
        <v>367.2</v>
      </c>
      <c r="G328" s="674">
        <f t="shared" si="12"/>
        <v>37821.077771684984</v>
      </c>
      <c r="H328" s="676">
        <f t="shared" si="13"/>
        <v>0.10419999999999996</v>
      </c>
      <c r="I328" s="7" t="s">
        <v>311</v>
      </c>
    </row>
    <row r="329" spans="1:9" x14ac:dyDescent="0.3">
      <c r="A329" s="127">
        <v>367.26</v>
      </c>
      <c r="B329" s="7" t="s">
        <v>397</v>
      </c>
      <c r="C329" s="168">
        <v>0</v>
      </c>
      <c r="D329" s="672">
        <v>1.95E-2</v>
      </c>
      <c r="E329" s="152">
        <v>0</v>
      </c>
      <c r="F329" s="127" t="str">
        <f t="shared" si="11"/>
        <v>367.2</v>
      </c>
      <c r="G329" s="674">
        <f>(E79-858000)*H329</f>
        <v>49238.373511002013</v>
      </c>
      <c r="H329" s="676">
        <f t="shared" si="13"/>
        <v>0.10419999999999996</v>
      </c>
      <c r="I329" s="7" t="s">
        <v>311</v>
      </c>
    </row>
    <row r="330" spans="1:9" x14ac:dyDescent="0.3">
      <c r="A330" s="127">
        <v>368</v>
      </c>
      <c r="B330" s="7" t="s">
        <v>398</v>
      </c>
      <c r="C330" s="168">
        <v>0</v>
      </c>
      <c r="D330" s="672">
        <v>0</v>
      </c>
      <c r="E330" s="152">
        <v>0</v>
      </c>
      <c r="F330" s="127">
        <f t="shared" ref="F330:F365" si="14">A330</f>
        <v>368</v>
      </c>
      <c r="G330" s="674">
        <f t="shared" ref="G330:G353" si="15">E330</f>
        <v>0</v>
      </c>
      <c r="I330" s="7" t="s">
        <v>302</v>
      </c>
    </row>
    <row r="331" spans="1:9" x14ac:dyDescent="0.3">
      <c r="A331" s="127">
        <v>369</v>
      </c>
      <c r="B331" s="7" t="s">
        <v>399</v>
      </c>
      <c r="C331" s="168">
        <v>0</v>
      </c>
      <c r="D331" s="672">
        <v>2.1299999999999999E-2</v>
      </c>
      <c r="E331" s="152">
        <v>0</v>
      </c>
      <c r="F331" s="127">
        <f t="shared" si="14"/>
        <v>369</v>
      </c>
      <c r="G331" s="674">
        <f t="shared" si="15"/>
        <v>0</v>
      </c>
      <c r="I331" s="7" t="s">
        <v>302</v>
      </c>
    </row>
    <row r="332" spans="1:9" x14ac:dyDescent="0.3">
      <c r="A332" s="127" t="s">
        <v>1943</v>
      </c>
      <c r="B332" s="7" t="s">
        <v>400</v>
      </c>
      <c r="D332" s="672"/>
      <c r="E332" s="152">
        <v>0</v>
      </c>
      <c r="F332" s="127" t="str">
        <f t="shared" si="14"/>
        <v>370</v>
      </c>
      <c r="G332" s="674">
        <f t="shared" si="15"/>
        <v>0</v>
      </c>
      <c r="I332" s="7" t="s">
        <v>302</v>
      </c>
    </row>
    <row r="333" spans="1:9" x14ac:dyDescent="0.3">
      <c r="A333" s="127">
        <v>374.1</v>
      </c>
      <c r="B333" s="7" t="s">
        <v>327</v>
      </c>
      <c r="C333" s="168">
        <v>10389</v>
      </c>
      <c r="D333" s="672">
        <v>0</v>
      </c>
      <c r="E333" s="152">
        <v>0</v>
      </c>
      <c r="F333" s="127">
        <f t="shared" si="14"/>
        <v>374.1</v>
      </c>
      <c r="G333" s="674">
        <f t="shared" si="15"/>
        <v>0</v>
      </c>
      <c r="I333" s="7" t="s">
        <v>302</v>
      </c>
    </row>
    <row r="334" spans="1:9" x14ac:dyDescent="0.3">
      <c r="A334" s="127">
        <v>374.2</v>
      </c>
      <c r="B334" s="7" t="s">
        <v>328</v>
      </c>
      <c r="C334" s="168">
        <v>27679</v>
      </c>
      <c r="D334" s="672">
        <v>5.6000000000000008E-3</v>
      </c>
      <c r="E334" s="152">
        <v>155.00240000000002</v>
      </c>
      <c r="F334" s="127">
        <f t="shared" si="14"/>
        <v>374.2</v>
      </c>
      <c r="G334" s="674">
        <f t="shared" si="15"/>
        <v>155.00240000000002</v>
      </c>
      <c r="I334" s="7" t="s">
        <v>302</v>
      </c>
    </row>
    <row r="335" spans="1:9" x14ac:dyDescent="0.3">
      <c r="A335" s="127">
        <v>375</v>
      </c>
      <c r="B335" s="7" t="s">
        <v>329</v>
      </c>
      <c r="C335" s="168">
        <v>1366085.7975000001</v>
      </c>
      <c r="D335" s="672">
        <v>0</v>
      </c>
      <c r="E335" s="152">
        <v>0</v>
      </c>
      <c r="F335" s="127">
        <f t="shared" si="14"/>
        <v>375</v>
      </c>
      <c r="G335" s="674">
        <f t="shared" si="15"/>
        <v>0</v>
      </c>
      <c r="I335" s="7" t="s">
        <v>302</v>
      </c>
    </row>
    <row r="336" spans="1:9" x14ac:dyDescent="0.3">
      <c r="A336" s="127">
        <v>376.11</v>
      </c>
      <c r="B336" s="7" t="s">
        <v>330</v>
      </c>
      <c r="C336" s="168">
        <v>81333340.452500015</v>
      </c>
      <c r="D336" s="672">
        <v>2.5399999999999999E-2</v>
      </c>
      <c r="E336" s="152">
        <v>2065866.8474935002</v>
      </c>
      <c r="F336" s="127">
        <f t="shared" si="14"/>
        <v>376.11</v>
      </c>
      <c r="G336" s="674">
        <f t="shared" si="15"/>
        <v>2065866.8474935002</v>
      </c>
      <c r="I336" s="7" t="s">
        <v>302</v>
      </c>
    </row>
    <row r="337" spans="1:9" x14ac:dyDescent="0.3">
      <c r="A337" s="127">
        <v>376.12</v>
      </c>
      <c r="B337" s="7" t="s">
        <v>331</v>
      </c>
      <c r="C337" s="168">
        <v>88110017.629583314</v>
      </c>
      <c r="D337" s="672">
        <v>2.3199999999999998E-2</v>
      </c>
      <c r="E337" s="152">
        <v>2044152.4090063327</v>
      </c>
      <c r="F337" s="127">
        <f t="shared" si="14"/>
        <v>376.12</v>
      </c>
      <c r="G337" s="674">
        <f t="shared" si="15"/>
        <v>2044152.4090063327</v>
      </c>
      <c r="I337" s="7" t="s">
        <v>302</v>
      </c>
    </row>
    <row r="338" spans="1:9" x14ac:dyDescent="0.3">
      <c r="A338" s="127">
        <v>377</v>
      </c>
      <c r="B338" s="7" t="s">
        <v>373</v>
      </c>
      <c r="C338" s="168">
        <v>0</v>
      </c>
      <c r="D338" s="672">
        <v>1.32E-2</v>
      </c>
      <c r="E338" s="152">
        <v>0</v>
      </c>
      <c r="F338" s="127">
        <f t="shared" si="14"/>
        <v>377</v>
      </c>
      <c r="G338" s="674">
        <f t="shared" si="15"/>
        <v>0</v>
      </c>
      <c r="I338" s="7" t="s">
        <v>302</v>
      </c>
    </row>
    <row r="339" spans="1:9" x14ac:dyDescent="0.3">
      <c r="A339" s="127">
        <v>378</v>
      </c>
      <c r="B339" s="7" t="s">
        <v>332</v>
      </c>
      <c r="C339" s="168">
        <v>2679542.058333334</v>
      </c>
      <c r="D339" s="672">
        <v>2.18E-2</v>
      </c>
      <c r="E339" s="152">
        <v>58414.016871666681</v>
      </c>
      <c r="F339" s="127">
        <f t="shared" si="14"/>
        <v>378</v>
      </c>
      <c r="G339" s="674">
        <f t="shared" si="15"/>
        <v>58414.016871666681</v>
      </c>
      <c r="I339" s="7" t="s">
        <v>302</v>
      </c>
    </row>
    <row r="340" spans="1:9" x14ac:dyDescent="0.3">
      <c r="A340" s="127">
        <v>379</v>
      </c>
      <c r="B340" s="7" t="s">
        <v>333</v>
      </c>
      <c r="C340" s="168">
        <v>1271772.8966666667</v>
      </c>
      <c r="D340" s="672">
        <v>2.12E-2</v>
      </c>
      <c r="E340" s="152">
        <v>26961.585409333336</v>
      </c>
      <c r="F340" s="127">
        <f t="shared" si="14"/>
        <v>379</v>
      </c>
      <c r="G340" s="674">
        <f t="shared" si="15"/>
        <v>26961.585409333336</v>
      </c>
      <c r="I340" s="7" t="s">
        <v>302</v>
      </c>
    </row>
    <row r="341" spans="1:9" x14ac:dyDescent="0.3">
      <c r="A341" s="127">
        <v>380</v>
      </c>
      <c r="B341" s="7" t="s">
        <v>334</v>
      </c>
      <c r="C341" s="168">
        <v>71685985.731249988</v>
      </c>
      <c r="D341" s="672">
        <v>2.87E-2</v>
      </c>
      <c r="E341" s="152">
        <v>2057387.7904868748</v>
      </c>
      <c r="F341" s="127">
        <f t="shared" si="14"/>
        <v>380</v>
      </c>
      <c r="G341" s="674">
        <f t="shared" si="15"/>
        <v>2057387.7904868748</v>
      </c>
      <c r="I341" s="7" t="s">
        <v>302</v>
      </c>
    </row>
    <row r="342" spans="1:9" x14ac:dyDescent="0.3">
      <c r="A342" s="127">
        <v>381</v>
      </c>
      <c r="B342" s="7" t="s">
        <v>335</v>
      </c>
      <c r="C342" s="168">
        <v>10827886.51791667</v>
      </c>
      <c r="D342" s="672">
        <v>2.23E-2</v>
      </c>
      <c r="E342" s="152">
        <v>241461.86934954175</v>
      </c>
      <c r="F342" s="127">
        <f t="shared" si="14"/>
        <v>381</v>
      </c>
      <c r="G342" s="674">
        <f t="shared" si="15"/>
        <v>241461.86934954175</v>
      </c>
      <c r="I342" s="7" t="s">
        <v>302</v>
      </c>
    </row>
    <row r="343" spans="1:9" x14ac:dyDescent="0.3">
      <c r="A343" s="127">
        <v>381.1</v>
      </c>
      <c r="B343" s="7" t="s">
        <v>401</v>
      </c>
      <c r="C343" s="168">
        <v>0</v>
      </c>
      <c r="D343" s="672">
        <v>2.8900000000000002E-2</v>
      </c>
      <c r="E343" s="152">
        <v>0</v>
      </c>
      <c r="F343" s="127">
        <f t="shared" si="14"/>
        <v>381.1</v>
      </c>
      <c r="G343" s="674">
        <f t="shared" si="15"/>
        <v>0</v>
      </c>
      <c r="I343" s="7" t="s">
        <v>302</v>
      </c>
    </row>
    <row r="344" spans="1:9" x14ac:dyDescent="0.3">
      <c r="A344" s="127">
        <v>381.2</v>
      </c>
      <c r="B344" s="7" t="s">
        <v>336</v>
      </c>
      <c r="C344" s="168">
        <v>6833754.7970833331</v>
      </c>
      <c r="D344" s="672">
        <v>5.8499999999999996E-2</v>
      </c>
      <c r="E344" s="152">
        <v>399774.65562937496</v>
      </c>
      <c r="F344" s="127">
        <f t="shared" si="14"/>
        <v>381.2</v>
      </c>
      <c r="G344" s="674">
        <f t="shared" si="15"/>
        <v>399774.65562937496</v>
      </c>
      <c r="I344" s="7" t="s">
        <v>302</v>
      </c>
    </row>
    <row r="345" spans="1:9" x14ac:dyDescent="0.3">
      <c r="A345" s="127">
        <v>382</v>
      </c>
      <c r="B345" s="7" t="s">
        <v>337</v>
      </c>
      <c r="C345" s="168">
        <v>6222505.9162500007</v>
      </c>
      <c r="D345" s="672">
        <v>4.8399999999999999E-2</v>
      </c>
      <c r="E345" s="152">
        <v>301169.28634650004</v>
      </c>
      <c r="F345" s="127">
        <f t="shared" si="14"/>
        <v>382</v>
      </c>
      <c r="G345" s="674">
        <f t="shared" si="15"/>
        <v>301169.28634650004</v>
      </c>
      <c r="I345" s="7" t="s">
        <v>302</v>
      </c>
    </row>
    <row r="346" spans="1:9" x14ac:dyDescent="0.3">
      <c r="A346" s="127">
        <v>382.1</v>
      </c>
      <c r="B346" s="7" t="s">
        <v>402</v>
      </c>
      <c r="C346" s="168">
        <v>0</v>
      </c>
      <c r="D346" s="672">
        <v>8.6099999999999996E-2</v>
      </c>
      <c r="E346" s="152">
        <v>0</v>
      </c>
      <c r="F346" s="127">
        <f t="shared" si="14"/>
        <v>382.1</v>
      </c>
      <c r="G346" s="674">
        <f t="shared" si="15"/>
        <v>0</v>
      </c>
      <c r="I346" s="7" t="s">
        <v>302</v>
      </c>
    </row>
    <row r="347" spans="1:9" x14ac:dyDescent="0.3">
      <c r="A347" s="127">
        <v>382.2</v>
      </c>
      <c r="B347" s="7" t="s">
        <v>338</v>
      </c>
      <c r="C347" s="168">
        <v>931965.74083333369</v>
      </c>
      <c r="D347" s="672">
        <v>3.9E-2</v>
      </c>
      <c r="E347" s="152">
        <v>36346.663892500015</v>
      </c>
      <c r="F347" s="127">
        <f t="shared" si="14"/>
        <v>382.2</v>
      </c>
      <c r="G347" s="674">
        <f t="shared" si="15"/>
        <v>36346.663892500015</v>
      </c>
      <c r="I347" s="7" t="s">
        <v>302</v>
      </c>
    </row>
    <row r="348" spans="1:9" x14ac:dyDescent="0.3">
      <c r="A348" s="127">
        <v>383</v>
      </c>
      <c r="B348" s="7" t="s">
        <v>339</v>
      </c>
      <c r="C348" s="168">
        <v>98726.867500000008</v>
      </c>
      <c r="D348" s="672">
        <v>2.92E-2</v>
      </c>
      <c r="E348" s="152">
        <v>2882.8245310000002</v>
      </c>
      <c r="F348" s="127">
        <f t="shared" si="14"/>
        <v>383</v>
      </c>
      <c r="G348" s="674">
        <f t="shared" si="15"/>
        <v>2882.8245310000002</v>
      </c>
      <c r="I348" s="7" t="s">
        <v>302</v>
      </c>
    </row>
    <row r="349" spans="1:9" x14ac:dyDescent="0.3">
      <c r="A349" s="127">
        <v>386</v>
      </c>
      <c r="B349" s="7" t="s">
        <v>403</v>
      </c>
      <c r="C349" s="168">
        <v>0</v>
      </c>
      <c r="E349" s="152">
        <v>0</v>
      </c>
      <c r="F349" s="127">
        <f t="shared" si="14"/>
        <v>386</v>
      </c>
      <c r="G349" s="674">
        <f t="shared" si="15"/>
        <v>0</v>
      </c>
      <c r="I349" s="7" t="s">
        <v>302</v>
      </c>
    </row>
    <row r="350" spans="1:9" x14ac:dyDescent="0.3">
      <c r="A350" s="127">
        <v>386.1</v>
      </c>
      <c r="B350" s="7" t="s">
        <v>1914</v>
      </c>
      <c r="C350" s="168">
        <v>0</v>
      </c>
      <c r="E350" s="152">
        <v>0</v>
      </c>
      <c r="F350" s="127">
        <f t="shared" si="14"/>
        <v>386.1</v>
      </c>
      <c r="G350" s="674">
        <f t="shared" si="15"/>
        <v>0</v>
      </c>
      <c r="I350" s="7" t="s">
        <v>302</v>
      </c>
    </row>
    <row r="351" spans="1:9" x14ac:dyDescent="0.3">
      <c r="A351" s="127">
        <v>387.1</v>
      </c>
      <c r="B351" s="7" t="s">
        <v>404</v>
      </c>
      <c r="C351" s="168">
        <v>0</v>
      </c>
      <c r="D351" s="672">
        <v>8.199999999999999E-3</v>
      </c>
      <c r="E351" s="152">
        <v>0</v>
      </c>
      <c r="F351" s="127">
        <f t="shared" si="14"/>
        <v>387.1</v>
      </c>
      <c r="G351" s="674">
        <f t="shared" si="15"/>
        <v>0</v>
      </c>
      <c r="I351" s="7" t="s">
        <v>302</v>
      </c>
    </row>
    <row r="352" spans="1:9" x14ac:dyDescent="0.3">
      <c r="A352" s="127">
        <v>387.2</v>
      </c>
      <c r="B352" s="7" t="s">
        <v>340</v>
      </c>
      <c r="C352" s="168">
        <v>26630</v>
      </c>
      <c r="D352" s="672">
        <v>0</v>
      </c>
      <c r="E352" s="152">
        <v>0</v>
      </c>
      <c r="F352" s="127">
        <f t="shared" si="14"/>
        <v>387.2</v>
      </c>
      <c r="G352" s="674">
        <f t="shared" si="15"/>
        <v>0</v>
      </c>
      <c r="I352" s="7" t="s">
        <v>302</v>
      </c>
    </row>
    <row r="353" spans="1:9" x14ac:dyDescent="0.3">
      <c r="A353" s="127">
        <v>387.3</v>
      </c>
      <c r="B353" s="7" t="s">
        <v>405</v>
      </c>
      <c r="C353" s="168">
        <v>0</v>
      </c>
      <c r="D353" s="672">
        <v>0</v>
      </c>
      <c r="E353" s="152">
        <v>0</v>
      </c>
      <c r="F353" s="127">
        <f t="shared" si="14"/>
        <v>387.3</v>
      </c>
      <c r="G353" s="674">
        <f t="shared" si="15"/>
        <v>0</v>
      </c>
      <c r="I353" s="7" t="s">
        <v>302</v>
      </c>
    </row>
    <row r="354" spans="1:9" x14ac:dyDescent="0.3">
      <c r="A354" s="127">
        <v>389</v>
      </c>
      <c r="B354" s="7" t="s">
        <v>327</v>
      </c>
      <c r="C354" s="168">
        <v>1158649.5199999998</v>
      </c>
      <c r="D354" s="672">
        <v>0</v>
      </c>
      <c r="E354" s="152">
        <v>0</v>
      </c>
      <c r="F354" s="127">
        <f t="shared" si="14"/>
        <v>389</v>
      </c>
      <c r="G354" s="674">
        <f t="shared" si="12"/>
        <v>0</v>
      </c>
      <c r="H354" s="676">
        <f>$D$429</f>
        <v>0.18305920390792541</v>
      </c>
      <c r="I354" s="7" t="s">
        <v>310</v>
      </c>
    </row>
    <row r="355" spans="1:9" x14ac:dyDescent="0.3">
      <c r="A355" s="127">
        <v>390</v>
      </c>
      <c r="B355" s="7" t="s">
        <v>329</v>
      </c>
      <c r="C355" s="168">
        <v>1580864.3383333338</v>
      </c>
      <c r="D355" s="672">
        <v>2.2700000000000001E-2</v>
      </c>
      <c r="E355" s="152">
        <v>35885.620480166683</v>
      </c>
      <c r="F355" s="127">
        <f t="shared" si="14"/>
        <v>390</v>
      </c>
      <c r="G355" s="674">
        <f t="shared" si="12"/>
        <v>250739.65957157197</v>
      </c>
      <c r="H355" s="676">
        <f>$D$429</f>
        <v>0.18305920390792541</v>
      </c>
      <c r="I355" s="7" t="s">
        <v>310</v>
      </c>
    </row>
    <row r="356" spans="1:9" x14ac:dyDescent="0.3">
      <c r="A356" s="127">
        <v>390.1</v>
      </c>
      <c r="B356" s="7" t="s">
        <v>341</v>
      </c>
      <c r="C356" s="168">
        <v>689607.26541666652</v>
      </c>
      <c r="D356" s="672">
        <v>2.1499999999999998E-2</v>
      </c>
      <c r="E356" s="152">
        <v>14826.556206458328</v>
      </c>
      <c r="F356" s="127">
        <f t="shared" si="14"/>
        <v>390.1</v>
      </c>
      <c r="G356" s="674">
        <f t="shared" si="12"/>
        <v>46441.928025728754</v>
      </c>
      <c r="H356" s="676">
        <f t="shared" ref="H356:H377" si="16">$D$431</f>
        <v>0.11209999999999998</v>
      </c>
      <c r="I356" s="7" t="s">
        <v>308</v>
      </c>
    </row>
    <row r="357" spans="1:9" x14ac:dyDescent="0.3">
      <c r="A357" s="127">
        <v>391.1</v>
      </c>
      <c r="B357" s="7" t="s">
        <v>342</v>
      </c>
      <c r="C357" s="168">
        <v>16521.820000000003</v>
      </c>
      <c r="D357" s="672">
        <v>0.05</v>
      </c>
      <c r="E357" s="152">
        <v>826.09100000000024</v>
      </c>
      <c r="F357" s="127">
        <f t="shared" si="14"/>
        <v>391.1</v>
      </c>
      <c r="G357" s="674">
        <f t="shared" si="12"/>
        <v>43352.013484433359</v>
      </c>
      <c r="H357" s="676">
        <f t="shared" si="16"/>
        <v>0.11209999999999998</v>
      </c>
      <c r="I357" s="7" t="s">
        <v>308</v>
      </c>
    </row>
    <row r="358" spans="1:9" x14ac:dyDescent="0.3">
      <c r="A358" s="127">
        <v>391.2</v>
      </c>
      <c r="B358" s="7" t="s">
        <v>406</v>
      </c>
      <c r="C358" s="168">
        <v>0</v>
      </c>
      <c r="D358" s="672">
        <v>0.2</v>
      </c>
      <c r="E358" s="152">
        <v>0</v>
      </c>
      <c r="F358" s="127">
        <f t="shared" si="14"/>
        <v>391.2</v>
      </c>
      <c r="G358" s="674">
        <f t="shared" si="12"/>
        <v>489496.44794581697</v>
      </c>
      <c r="H358" s="676">
        <f t="shared" si="16"/>
        <v>0.11209999999999998</v>
      </c>
      <c r="I358" s="7" t="s">
        <v>308</v>
      </c>
    </row>
    <row r="359" spans="1:9" x14ac:dyDescent="0.3">
      <c r="A359" s="127" t="s">
        <v>1944</v>
      </c>
      <c r="B359" s="7" t="s">
        <v>407</v>
      </c>
      <c r="D359" s="672"/>
      <c r="E359" s="152">
        <v>0</v>
      </c>
      <c r="F359" s="127" t="str">
        <f t="shared" si="14"/>
        <v>391.3</v>
      </c>
      <c r="G359" s="674">
        <f t="shared" si="12"/>
        <v>0</v>
      </c>
      <c r="H359" s="676">
        <f t="shared" si="16"/>
        <v>0.11209999999999998</v>
      </c>
      <c r="I359" s="7" t="s">
        <v>308</v>
      </c>
    </row>
    <row r="360" spans="1:9" x14ac:dyDescent="0.3">
      <c r="A360" s="127" t="s">
        <v>1945</v>
      </c>
      <c r="B360" s="7" t="s">
        <v>325</v>
      </c>
      <c r="D360" s="672"/>
      <c r="E360" s="152">
        <v>0</v>
      </c>
      <c r="F360" s="127" t="str">
        <f t="shared" si="14"/>
        <v>391.4</v>
      </c>
      <c r="G360" s="674">
        <f t="shared" si="12"/>
        <v>0</v>
      </c>
      <c r="H360" s="676">
        <f t="shared" si="16"/>
        <v>0.11209999999999998</v>
      </c>
      <c r="I360" s="7" t="s">
        <v>308</v>
      </c>
    </row>
    <row r="361" spans="1:9" x14ac:dyDescent="0.3">
      <c r="A361" s="127">
        <v>392</v>
      </c>
      <c r="B361" s="7" t="s">
        <v>343</v>
      </c>
      <c r="C361" s="168">
        <v>574843.04</v>
      </c>
      <c r="D361" s="672">
        <v>6.8600000000000008E-2</v>
      </c>
      <c r="E361" s="152">
        <v>0</v>
      </c>
      <c r="F361" s="127">
        <f t="shared" si="14"/>
        <v>392</v>
      </c>
      <c r="G361" s="674">
        <f t="shared" si="12"/>
        <v>0</v>
      </c>
      <c r="H361" s="676">
        <f t="shared" si="16"/>
        <v>0.11209999999999998</v>
      </c>
      <c r="I361" s="7" t="s">
        <v>308</v>
      </c>
    </row>
    <row r="362" spans="1:9" x14ac:dyDescent="0.3">
      <c r="A362" s="127">
        <v>393</v>
      </c>
      <c r="B362" s="7" t="s">
        <v>408</v>
      </c>
      <c r="C362" s="168">
        <v>0</v>
      </c>
      <c r="D362" s="672">
        <v>0</v>
      </c>
      <c r="E362" s="152">
        <v>0</v>
      </c>
      <c r="F362" s="127">
        <f t="shared" si="14"/>
        <v>393</v>
      </c>
      <c r="G362" s="674">
        <f t="shared" si="12"/>
        <v>0</v>
      </c>
      <c r="H362" s="676">
        <f t="shared" si="16"/>
        <v>0.11209999999999998</v>
      </c>
      <c r="I362" s="7" t="s">
        <v>308</v>
      </c>
    </row>
    <row r="363" spans="1:9" x14ac:dyDescent="0.3">
      <c r="A363" s="127">
        <v>394</v>
      </c>
      <c r="B363" s="7" t="s">
        <v>344</v>
      </c>
      <c r="C363" s="168">
        <v>88278.189999999988</v>
      </c>
      <c r="D363" s="672">
        <v>0.04</v>
      </c>
      <c r="E363" s="152">
        <v>3531.1275999999998</v>
      </c>
      <c r="F363" s="127">
        <f t="shared" si="14"/>
        <v>394</v>
      </c>
      <c r="G363" s="674">
        <f t="shared" si="12"/>
        <v>54494.37975237496</v>
      </c>
      <c r="H363" s="676">
        <f t="shared" si="16"/>
        <v>0.11209999999999998</v>
      </c>
      <c r="I363" s="7" t="s">
        <v>308</v>
      </c>
    </row>
    <row r="364" spans="1:9" x14ac:dyDescent="0.3">
      <c r="A364" s="127">
        <v>395</v>
      </c>
      <c r="B364" s="7" t="s">
        <v>409</v>
      </c>
      <c r="C364" s="168">
        <v>0</v>
      </c>
      <c r="D364" s="672">
        <v>0.05</v>
      </c>
      <c r="E364" s="152">
        <v>0</v>
      </c>
      <c r="F364" s="127">
        <f t="shared" si="14"/>
        <v>395</v>
      </c>
      <c r="G364" s="674">
        <f t="shared" si="12"/>
        <v>0</v>
      </c>
      <c r="H364" s="676">
        <f t="shared" si="16"/>
        <v>0.11209999999999998</v>
      </c>
      <c r="I364" s="7" t="s">
        <v>308</v>
      </c>
    </row>
    <row r="365" spans="1:9" x14ac:dyDescent="0.3">
      <c r="A365" s="127">
        <v>396</v>
      </c>
      <c r="B365" s="7" t="s">
        <v>345</v>
      </c>
      <c r="C365" s="168">
        <v>224218.70874999999</v>
      </c>
      <c r="D365" s="672">
        <v>3.4000000000000002E-2</v>
      </c>
      <c r="E365" s="152">
        <v>0</v>
      </c>
      <c r="F365" s="127">
        <f t="shared" si="14"/>
        <v>396</v>
      </c>
      <c r="G365" s="674">
        <f t="shared" si="12"/>
        <v>0</v>
      </c>
      <c r="H365" s="676">
        <f t="shared" si="16"/>
        <v>0.11209999999999998</v>
      </c>
      <c r="I365" s="7" t="s">
        <v>308</v>
      </c>
    </row>
    <row r="366" spans="1:9" x14ac:dyDescent="0.3">
      <c r="A366" s="127">
        <v>397</v>
      </c>
      <c r="B366" s="7" t="s">
        <v>410</v>
      </c>
      <c r="C366" s="168">
        <v>0</v>
      </c>
      <c r="D366" s="672">
        <v>6.6699999999999995E-2</v>
      </c>
      <c r="E366" s="152">
        <v>0</v>
      </c>
      <c r="F366" s="127" t="str">
        <f t="shared" ref="F366:F377" si="17">LEFT(A366,3)</f>
        <v>397</v>
      </c>
      <c r="G366" s="674">
        <f t="shared" si="12"/>
        <v>660.39149626609981</v>
      </c>
      <c r="H366" s="676">
        <f t="shared" si="16"/>
        <v>0.11209999999999998</v>
      </c>
      <c r="I366" s="7" t="s">
        <v>308</v>
      </c>
    </row>
    <row r="367" spans="1:9" x14ac:dyDescent="0.3">
      <c r="A367" s="127">
        <v>397.1</v>
      </c>
      <c r="B367" s="7" t="s">
        <v>411</v>
      </c>
      <c r="C367" s="168">
        <v>0</v>
      </c>
      <c r="D367" s="672">
        <v>0.1</v>
      </c>
      <c r="E367" s="152">
        <v>0</v>
      </c>
      <c r="F367" s="127" t="str">
        <f t="shared" si="17"/>
        <v>397</v>
      </c>
      <c r="G367" s="674">
        <f t="shared" si="12"/>
        <v>430.83549940000074</v>
      </c>
      <c r="H367" s="676">
        <f t="shared" si="16"/>
        <v>0.11209999999999998</v>
      </c>
      <c r="I367" s="7" t="s">
        <v>308</v>
      </c>
    </row>
    <row r="368" spans="1:9" x14ac:dyDescent="0.3">
      <c r="A368" s="127">
        <v>397.2</v>
      </c>
      <c r="B368" s="7" t="s">
        <v>412</v>
      </c>
      <c r="C368" s="168">
        <v>0</v>
      </c>
      <c r="D368" s="672">
        <v>6.6699999999999995E-2</v>
      </c>
      <c r="E368" s="152">
        <v>0</v>
      </c>
      <c r="F368" s="127" t="str">
        <f t="shared" si="17"/>
        <v>397</v>
      </c>
      <c r="G368" s="674">
        <f t="shared" si="12"/>
        <v>0</v>
      </c>
      <c r="H368" s="676">
        <f t="shared" si="16"/>
        <v>0.11209999999999998</v>
      </c>
      <c r="I368" s="7" t="s">
        <v>308</v>
      </c>
    </row>
    <row r="369" spans="1:9" x14ac:dyDescent="0.3">
      <c r="A369" s="127">
        <v>397.3</v>
      </c>
      <c r="B369" s="7" t="s">
        <v>346</v>
      </c>
      <c r="C369" s="168">
        <v>120578.62166666666</v>
      </c>
      <c r="D369" s="672">
        <v>6.6699999999999995E-2</v>
      </c>
      <c r="E369" s="152">
        <v>8042.5940651666651</v>
      </c>
      <c r="F369" s="127">
        <f>A369</f>
        <v>397.3</v>
      </c>
      <c r="G369" s="674">
        <f t="shared" si="12"/>
        <v>14386.006138887466</v>
      </c>
      <c r="H369" s="676">
        <f t="shared" si="16"/>
        <v>0.11209999999999998</v>
      </c>
      <c r="I369" s="7" t="s">
        <v>308</v>
      </c>
    </row>
    <row r="370" spans="1:9" x14ac:dyDescent="0.3">
      <c r="A370" s="127">
        <v>397.4</v>
      </c>
      <c r="B370" s="7" t="s">
        <v>413</v>
      </c>
      <c r="C370" s="168">
        <v>0</v>
      </c>
      <c r="D370" s="672">
        <v>6.6699999999999995E-2</v>
      </c>
      <c r="E370" s="152">
        <v>0</v>
      </c>
      <c r="F370" s="127" t="str">
        <f t="shared" si="17"/>
        <v>397</v>
      </c>
      <c r="G370" s="674">
        <f t="shared" si="12"/>
        <v>17609.395721372937</v>
      </c>
      <c r="H370" s="676">
        <f t="shared" si="16"/>
        <v>0.11209999999999998</v>
      </c>
      <c r="I370" s="7" t="s">
        <v>308</v>
      </c>
    </row>
    <row r="371" spans="1:9" x14ac:dyDescent="0.3">
      <c r="A371" s="127">
        <v>397.5</v>
      </c>
      <c r="B371" s="7" t="s">
        <v>414</v>
      </c>
      <c r="C371" s="168">
        <v>0</v>
      </c>
      <c r="D371" s="672">
        <v>0.1</v>
      </c>
      <c r="E371" s="152">
        <v>0</v>
      </c>
      <c r="F371" s="127" t="str">
        <f t="shared" si="17"/>
        <v>397</v>
      </c>
      <c r="G371" s="674">
        <f t="shared" si="12"/>
        <v>5501.4924650000003</v>
      </c>
      <c r="H371" s="676">
        <f t="shared" si="16"/>
        <v>0.11209999999999998</v>
      </c>
      <c r="I371" s="7" t="s">
        <v>308</v>
      </c>
    </row>
    <row r="372" spans="1:9" x14ac:dyDescent="0.3">
      <c r="A372" s="127">
        <v>398</v>
      </c>
      <c r="B372" s="7" t="s">
        <v>415</v>
      </c>
      <c r="C372" s="168">
        <v>0</v>
      </c>
      <c r="D372" s="672">
        <v>0</v>
      </c>
      <c r="E372" s="152">
        <v>0</v>
      </c>
      <c r="F372" s="127" t="str">
        <f t="shared" si="17"/>
        <v>398</v>
      </c>
      <c r="G372" s="674">
        <f t="shared" si="12"/>
        <v>0</v>
      </c>
      <c r="H372" s="676">
        <f t="shared" si="16"/>
        <v>0.11209999999999998</v>
      </c>
      <c r="I372" s="7" t="s">
        <v>308</v>
      </c>
    </row>
    <row r="373" spans="1:9" x14ac:dyDescent="0.3">
      <c r="A373" s="127">
        <v>398.1</v>
      </c>
      <c r="B373" s="7" t="s">
        <v>416</v>
      </c>
      <c r="C373" s="168">
        <v>0</v>
      </c>
      <c r="D373" s="672">
        <v>6.6699999999999995E-2</v>
      </c>
      <c r="E373" s="152">
        <v>0</v>
      </c>
      <c r="F373" s="127" t="str">
        <f t="shared" si="17"/>
        <v>398</v>
      </c>
      <c r="G373" s="674">
        <f t="shared" si="12"/>
        <v>0</v>
      </c>
      <c r="H373" s="676">
        <f t="shared" si="16"/>
        <v>0.11209999999999998</v>
      </c>
      <c r="I373" s="7" t="s">
        <v>308</v>
      </c>
    </row>
    <row r="374" spans="1:9" x14ac:dyDescent="0.3">
      <c r="A374" s="127">
        <v>398.2</v>
      </c>
      <c r="B374" s="7" t="s">
        <v>417</v>
      </c>
      <c r="C374" s="168">
        <v>0</v>
      </c>
      <c r="D374" s="672">
        <v>6.6699999999999995E-2</v>
      </c>
      <c r="E374" s="152">
        <v>0</v>
      </c>
      <c r="F374" s="127" t="str">
        <f t="shared" si="17"/>
        <v>398</v>
      </c>
      <c r="G374" s="674">
        <f t="shared" si="12"/>
        <v>95.799510750799982</v>
      </c>
      <c r="H374" s="676">
        <f t="shared" si="16"/>
        <v>0.11209999999999998</v>
      </c>
      <c r="I374" s="7" t="s">
        <v>308</v>
      </c>
    </row>
    <row r="375" spans="1:9" x14ac:dyDescent="0.3">
      <c r="A375" s="127">
        <v>398.3</v>
      </c>
      <c r="B375" s="7" t="s">
        <v>418</v>
      </c>
      <c r="C375" s="168">
        <v>0</v>
      </c>
      <c r="D375" s="672">
        <v>0</v>
      </c>
      <c r="E375" s="152">
        <v>0</v>
      </c>
      <c r="F375" s="127" t="str">
        <f t="shared" si="17"/>
        <v>398</v>
      </c>
      <c r="G375" s="674">
        <f t="shared" si="12"/>
        <v>0</v>
      </c>
      <c r="H375" s="676">
        <f t="shared" si="16"/>
        <v>0.11209999999999998</v>
      </c>
      <c r="I375" s="7" t="s">
        <v>308</v>
      </c>
    </row>
    <row r="376" spans="1:9" x14ac:dyDescent="0.3">
      <c r="A376" s="127">
        <v>398.4</v>
      </c>
      <c r="B376" s="7" t="s">
        <v>347</v>
      </c>
      <c r="C376" s="168">
        <v>4727</v>
      </c>
      <c r="D376" s="672">
        <v>0</v>
      </c>
      <c r="E376" s="152">
        <v>0</v>
      </c>
      <c r="F376" s="127" t="str">
        <f t="shared" si="17"/>
        <v>398</v>
      </c>
      <c r="G376" s="674">
        <f t="shared" si="12"/>
        <v>0</v>
      </c>
      <c r="H376" s="676">
        <f t="shared" si="16"/>
        <v>0.11209999999999998</v>
      </c>
      <c r="I376" s="7" t="s">
        <v>308</v>
      </c>
    </row>
    <row r="377" spans="1:9" x14ac:dyDescent="0.3">
      <c r="A377" s="127">
        <v>398.5</v>
      </c>
      <c r="B377" s="7" t="s">
        <v>419</v>
      </c>
      <c r="C377" s="104">
        <v>0</v>
      </c>
      <c r="D377" s="7">
        <v>0</v>
      </c>
      <c r="E377" s="673">
        <v>0</v>
      </c>
      <c r="F377" s="127" t="str">
        <f t="shared" si="17"/>
        <v>398</v>
      </c>
      <c r="G377" s="674">
        <f t="shared" si="12"/>
        <v>0</v>
      </c>
      <c r="H377" s="676">
        <f t="shared" si="16"/>
        <v>0.11209999999999998</v>
      </c>
      <c r="I377" s="7" t="s">
        <v>308</v>
      </c>
    </row>
    <row r="378" spans="1:9" x14ac:dyDescent="0.3">
      <c r="B378" s="7" t="s">
        <v>1915</v>
      </c>
      <c r="C378" s="168">
        <f>SUM(C257:C377)</f>
        <v>278859786.48791671</v>
      </c>
      <c r="E378" s="152">
        <f>SUM(E257:E377)</f>
        <v>7318645.1656410834</v>
      </c>
      <c r="G378" s="677">
        <f>SUM(G259:G377)</f>
        <v>9264867.2948301267</v>
      </c>
    </row>
    <row r="379" spans="1:9" x14ac:dyDescent="0.3">
      <c r="E379" s="152"/>
      <c r="G379" s="152">
        <f>E433</f>
        <v>9264867.2948301286</v>
      </c>
    </row>
    <row r="380" spans="1:9" x14ac:dyDescent="0.3">
      <c r="G380" s="7" t="b">
        <f>G378=G379</f>
        <v>1</v>
      </c>
    </row>
    <row r="381" spans="1:9" x14ac:dyDescent="0.3">
      <c r="A381" s="678" t="s">
        <v>146</v>
      </c>
      <c r="B381" s="644"/>
      <c r="E381" s="168"/>
    </row>
    <row r="382" spans="1:9" x14ac:dyDescent="0.3">
      <c r="A382" s="168"/>
      <c r="B382" s="678" t="s">
        <v>278</v>
      </c>
      <c r="E382" s="168">
        <f>+E9+E10+E11+E12+E13</f>
        <v>4635454.2709277505</v>
      </c>
    </row>
    <row r="383" spans="1:9" x14ac:dyDescent="0.3">
      <c r="A383" s="168"/>
      <c r="B383" s="678" t="s">
        <v>279</v>
      </c>
      <c r="E383" s="168">
        <f>+E7+E8</f>
        <v>0</v>
      </c>
    </row>
    <row r="384" spans="1:9" x14ac:dyDescent="0.3">
      <c r="A384" s="168"/>
      <c r="B384" s="678" t="s">
        <v>280</v>
      </c>
      <c r="E384" s="168">
        <f>SUM(E14:E33)</f>
        <v>0</v>
      </c>
    </row>
    <row r="385" spans="1:5" x14ac:dyDescent="0.3">
      <c r="A385" s="168"/>
      <c r="B385" s="678" t="s">
        <v>281</v>
      </c>
      <c r="E385" s="168">
        <f>SUM(E70+E71+E72+E73+E80+E81+E82)</f>
        <v>3127778.963073499</v>
      </c>
    </row>
    <row r="386" spans="1:5" x14ac:dyDescent="0.3">
      <c r="A386" s="168"/>
      <c r="B386" s="678" t="s">
        <v>282</v>
      </c>
      <c r="E386" s="168">
        <f>SUM(E83:E103)</f>
        <v>59147517.194575287</v>
      </c>
    </row>
    <row r="387" spans="1:5" x14ac:dyDescent="0.3">
      <c r="A387" s="168"/>
      <c r="B387" s="678" t="s">
        <v>283</v>
      </c>
      <c r="E387" s="168">
        <f>SUM(E104:E127)-E104-E105</f>
        <v>5998828.635504296</v>
      </c>
    </row>
    <row r="388" spans="1:5" x14ac:dyDescent="0.3">
      <c r="A388" s="168"/>
      <c r="B388" s="644" t="s">
        <v>309</v>
      </c>
      <c r="E388" s="168">
        <f>+E105+E104</f>
        <v>1369718.9445753752</v>
      </c>
    </row>
    <row r="389" spans="1:5" x14ac:dyDescent="0.3">
      <c r="A389" s="168"/>
      <c r="B389" s="678" t="s">
        <v>285</v>
      </c>
      <c r="E389" s="168">
        <f>SUM(E34:E67,E74:E79)</f>
        <v>6230815.3206685018</v>
      </c>
    </row>
    <row r="390" spans="1:5" x14ac:dyDescent="0.3">
      <c r="A390" s="168"/>
      <c r="B390" s="678" t="s">
        <v>286</v>
      </c>
      <c r="E390" s="104">
        <f>+E68+E69</f>
        <v>79943.941838000028</v>
      </c>
    </row>
    <row r="391" spans="1:5" x14ac:dyDescent="0.3">
      <c r="A391" s="168"/>
      <c r="B391" s="678"/>
      <c r="E391" s="168"/>
    </row>
    <row r="392" spans="1:5" x14ac:dyDescent="0.3">
      <c r="A392" s="168"/>
      <c r="B392" s="678" t="s">
        <v>1948</v>
      </c>
      <c r="E392" s="168">
        <f>SUM(E382:E391)</f>
        <v>80590057.271162704</v>
      </c>
    </row>
    <row r="393" spans="1:5" x14ac:dyDescent="0.3">
      <c r="A393" s="678"/>
      <c r="B393" s="678"/>
      <c r="E393" s="168"/>
    </row>
    <row r="394" spans="1:5" x14ac:dyDescent="0.3">
      <c r="A394" s="678" t="s">
        <v>148</v>
      </c>
      <c r="B394" s="644"/>
      <c r="E394" s="168"/>
    </row>
    <row r="395" spans="1:5" x14ac:dyDescent="0.3">
      <c r="A395" s="168"/>
      <c r="B395" s="678" t="s">
        <v>278</v>
      </c>
      <c r="E395" s="168">
        <f>+E134+E135+E136+E137+E138</f>
        <v>4635454.2709277505</v>
      </c>
    </row>
    <row r="396" spans="1:5" x14ac:dyDescent="0.3">
      <c r="A396" s="168"/>
      <c r="B396" s="678" t="s">
        <v>279</v>
      </c>
      <c r="E396" s="168">
        <f>+E132+E133</f>
        <v>0</v>
      </c>
    </row>
    <row r="397" spans="1:5" x14ac:dyDescent="0.3">
      <c r="A397" s="168"/>
      <c r="B397" s="678" t="s">
        <v>280</v>
      </c>
      <c r="E397" s="168">
        <f>SUM(E139:E158)</f>
        <v>0</v>
      </c>
    </row>
    <row r="398" spans="1:5" x14ac:dyDescent="0.3">
      <c r="A398" s="168"/>
      <c r="B398" s="678" t="s">
        <v>281</v>
      </c>
      <c r="E398" s="168">
        <f>SUM(E195+E196+E197+E198+E205+E206+E207)</f>
        <v>3106818.7382008322</v>
      </c>
    </row>
    <row r="399" spans="1:5" x14ac:dyDescent="0.3">
      <c r="A399" s="168"/>
      <c r="B399" s="678" t="s">
        <v>282</v>
      </c>
      <c r="E399" s="168">
        <f>SUM(E208:E228)</f>
        <v>51912944.243158676</v>
      </c>
    </row>
    <row r="400" spans="1:5" x14ac:dyDescent="0.3">
      <c r="A400" s="168"/>
      <c r="B400" s="678" t="s">
        <v>283</v>
      </c>
      <c r="E400" s="168">
        <f>SUM(E229:E252)-E229-E230</f>
        <v>5971602.2666326705</v>
      </c>
    </row>
    <row r="401" spans="1:5" x14ac:dyDescent="0.3">
      <c r="A401" s="168"/>
      <c r="B401" s="644" t="s">
        <v>309</v>
      </c>
      <c r="E401" s="168">
        <f>+E230+E229</f>
        <v>1333833.3240952084</v>
      </c>
    </row>
    <row r="402" spans="1:5" x14ac:dyDescent="0.3">
      <c r="A402" s="168"/>
      <c r="B402" s="678" t="s">
        <v>285</v>
      </c>
      <c r="E402" s="168">
        <f>SUM(E159:E192,E199:E204)</f>
        <v>6230815.3206685018</v>
      </c>
    </row>
    <row r="403" spans="1:5" x14ac:dyDescent="0.3">
      <c r="A403" s="168"/>
      <c r="B403" s="678" t="s">
        <v>286</v>
      </c>
      <c r="E403" s="104">
        <f>+E193+E194</f>
        <v>79943.941838000028</v>
      </c>
    </row>
    <row r="404" spans="1:5" x14ac:dyDescent="0.3">
      <c r="A404" s="168"/>
      <c r="B404" s="678"/>
      <c r="E404" s="168"/>
    </row>
    <row r="405" spans="1:5" x14ac:dyDescent="0.3">
      <c r="A405" s="168"/>
      <c r="B405" s="678" t="s">
        <v>1948</v>
      </c>
      <c r="E405" s="168">
        <f>SUM(E395:E404)</f>
        <v>73271412.105521634</v>
      </c>
    </row>
    <row r="406" spans="1:5" x14ac:dyDescent="0.3">
      <c r="A406" s="7"/>
    </row>
    <row r="407" spans="1:5" x14ac:dyDescent="0.3">
      <c r="A407" s="678" t="s">
        <v>147</v>
      </c>
      <c r="B407" s="644"/>
      <c r="E407" s="168"/>
    </row>
    <row r="408" spans="1:5" x14ac:dyDescent="0.3">
      <c r="A408" s="168"/>
      <c r="B408" s="678" t="s">
        <v>278</v>
      </c>
      <c r="E408" s="168">
        <f>+E259+E260+E261+E262+E263</f>
        <v>0</v>
      </c>
    </row>
    <row r="409" spans="1:5" x14ac:dyDescent="0.3">
      <c r="A409" s="168"/>
      <c r="B409" s="678" t="s">
        <v>279</v>
      </c>
      <c r="E409" s="168">
        <f>+E257+E258</f>
        <v>0</v>
      </c>
    </row>
    <row r="410" spans="1:5" x14ac:dyDescent="0.3">
      <c r="A410" s="168"/>
      <c r="B410" s="678" t="s">
        <v>280</v>
      </c>
      <c r="E410" s="168">
        <f>SUM(E264:E283)</f>
        <v>0</v>
      </c>
    </row>
    <row r="411" spans="1:5" x14ac:dyDescent="0.3">
      <c r="A411" s="168"/>
      <c r="B411" s="678" t="s">
        <v>281</v>
      </c>
      <c r="E411" s="168">
        <f>SUM(E320+E321+E322+E323+E330+E331+E332)</f>
        <v>20960.224872666655</v>
      </c>
    </row>
    <row r="412" spans="1:5" x14ac:dyDescent="0.3">
      <c r="A412" s="168"/>
      <c r="B412" s="678" t="s">
        <v>282</v>
      </c>
      <c r="E412" s="168">
        <f>SUM(E333:E353)</f>
        <v>7234572.9514166247</v>
      </c>
    </row>
    <row r="413" spans="1:5" x14ac:dyDescent="0.3">
      <c r="A413" s="168"/>
      <c r="B413" s="678" t="s">
        <v>283</v>
      </c>
      <c r="E413" s="168">
        <f>SUM(E354:E377)-E354-E355</f>
        <v>27226.368871624996</v>
      </c>
    </row>
    <row r="414" spans="1:5" x14ac:dyDescent="0.3">
      <c r="A414" s="168"/>
      <c r="B414" s="644" t="s">
        <v>309</v>
      </c>
      <c r="E414" s="168">
        <f>+E355+E354</f>
        <v>35885.620480166683</v>
      </c>
    </row>
    <row r="415" spans="1:5" x14ac:dyDescent="0.3">
      <c r="A415" s="168"/>
      <c r="B415" s="678" t="s">
        <v>285</v>
      </c>
      <c r="E415" s="168">
        <f>SUM(E284:E317,E324:E329)</f>
        <v>0</v>
      </c>
    </row>
    <row r="416" spans="1:5" x14ac:dyDescent="0.3">
      <c r="A416" s="168"/>
      <c r="B416" s="678" t="s">
        <v>286</v>
      </c>
      <c r="E416" s="104">
        <f>+E318+E319</f>
        <v>0</v>
      </c>
    </row>
    <row r="417" spans="1:6" x14ac:dyDescent="0.3">
      <c r="A417" s="168"/>
      <c r="B417" s="678"/>
      <c r="E417" s="168"/>
    </row>
    <row r="418" spans="1:6" x14ac:dyDescent="0.3">
      <c r="A418" s="168"/>
      <c r="B418" s="678" t="s">
        <v>1948</v>
      </c>
      <c r="E418" s="168">
        <f>SUM(E408:E417)</f>
        <v>7318645.1656410825</v>
      </c>
    </row>
    <row r="419" spans="1:6" x14ac:dyDescent="0.3">
      <c r="A419" s="7"/>
      <c r="B419" s="168"/>
    </row>
    <row r="420" spans="1:6" x14ac:dyDescent="0.3">
      <c r="A420" s="7"/>
      <c r="B420" s="168"/>
    </row>
    <row r="421" spans="1:6" x14ac:dyDescent="0.3">
      <c r="A421" s="678" t="s">
        <v>1949</v>
      </c>
      <c r="B421" s="679"/>
      <c r="D421" s="679"/>
    </row>
    <row r="422" spans="1:6" x14ac:dyDescent="0.3">
      <c r="A422" s="678"/>
      <c r="B422" s="678" t="s">
        <v>278</v>
      </c>
      <c r="C422" s="660" t="s">
        <v>307</v>
      </c>
      <c r="D422" s="680">
        <v>0.11160000000000003</v>
      </c>
      <c r="E422" s="681">
        <f>+D422*E382</f>
        <v>517316.69663553708</v>
      </c>
    </row>
    <row r="423" spans="1:6" x14ac:dyDescent="0.3">
      <c r="A423" s="678"/>
      <c r="B423" s="678" t="s">
        <v>279</v>
      </c>
      <c r="C423" s="660" t="s">
        <v>302</v>
      </c>
      <c r="D423" s="680">
        <v>1</v>
      </c>
      <c r="E423" s="168">
        <f>+E409</f>
        <v>0</v>
      </c>
    </row>
    <row r="424" spans="1:6" x14ac:dyDescent="0.3">
      <c r="A424" s="678"/>
      <c r="B424" s="678" t="s">
        <v>280</v>
      </c>
      <c r="C424" s="660" t="s">
        <v>302</v>
      </c>
      <c r="D424" s="680">
        <v>1</v>
      </c>
      <c r="E424" s="168">
        <f>+E410</f>
        <v>0</v>
      </c>
    </row>
    <row r="425" spans="1:6" x14ac:dyDescent="0.3">
      <c r="A425" s="678"/>
      <c r="B425" s="678" t="s">
        <v>281</v>
      </c>
      <c r="C425" s="660" t="s">
        <v>302</v>
      </c>
      <c r="D425" s="680">
        <v>1</v>
      </c>
      <c r="E425" s="168">
        <f>+E411</f>
        <v>20960.224872666655</v>
      </c>
    </row>
    <row r="426" spans="1:6" x14ac:dyDescent="0.3">
      <c r="A426" s="678"/>
      <c r="B426" s="678" t="s">
        <v>282</v>
      </c>
      <c r="C426" s="660" t="s">
        <v>302</v>
      </c>
      <c r="D426" s="680">
        <v>1</v>
      </c>
      <c r="E426" s="168">
        <f>+E412</f>
        <v>7234572.9514166247</v>
      </c>
    </row>
    <row r="427" spans="1:6" x14ac:dyDescent="0.3">
      <c r="A427" s="678"/>
      <c r="B427" s="678" t="s">
        <v>283</v>
      </c>
      <c r="C427" s="166" t="s">
        <v>308</v>
      </c>
      <c r="D427" s="680">
        <v>0.11209999999999998</v>
      </c>
      <c r="E427" s="681">
        <f>+D427*E387</f>
        <v>672468.69004003145</v>
      </c>
    </row>
    <row r="428" spans="1:6" x14ac:dyDescent="0.3">
      <c r="A428" s="678"/>
      <c r="B428" s="644" t="s">
        <v>28</v>
      </c>
      <c r="C428" s="166" t="s">
        <v>310</v>
      </c>
      <c r="D428" s="680">
        <v>9.1038904479839894E-2</v>
      </c>
      <c r="E428" s="168">
        <v>0</v>
      </c>
    </row>
    <row r="429" spans="1:6" x14ac:dyDescent="0.3">
      <c r="A429" s="678"/>
      <c r="B429" s="644" t="s">
        <v>284</v>
      </c>
      <c r="C429" s="166" t="s">
        <v>310</v>
      </c>
      <c r="D429" s="680">
        <v>0.18305920390792541</v>
      </c>
      <c r="E429" s="168">
        <f>+E388*D429</f>
        <v>250739.65957157197</v>
      </c>
    </row>
    <row r="430" spans="1:6" x14ac:dyDescent="0.3">
      <c r="A430" s="678"/>
      <c r="B430" s="678" t="s">
        <v>285</v>
      </c>
      <c r="C430" s="660" t="s">
        <v>311</v>
      </c>
      <c r="D430" s="680">
        <v>0.10419999999999996</v>
      </c>
      <c r="E430" s="681">
        <f>+D430*(E389-858000)</f>
        <v>559847.35641365766</v>
      </c>
      <c r="F430" s="168" t="s">
        <v>1950</v>
      </c>
    </row>
    <row r="431" spans="1:6" x14ac:dyDescent="0.3">
      <c r="A431" s="678"/>
      <c r="B431" s="678" t="s">
        <v>286</v>
      </c>
      <c r="C431" s="166" t="s">
        <v>308</v>
      </c>
      <c r="D431" s="680">
        <v>0.11209999999999998</v>
      </c>
      <c r="E431" s="682">
        <f>+D431*E390</f>
        <v>8961.715880039801</v>
      </c>
    </row>
    <row r="432" spans="1:6" x14ac:dyDescent="0.3">
      <c r="A432" s="678"/>
      <c r="B432" s="678"/>
      <c r="E432" s="168"/>
    </row>
    <row r="433" spans="1:5" x14ac:dyDescent="0.3">
      <c r="A433" s="678"/>
      <c r="B433" s="678" t="s">
        <v>312</v>
      </c>
      <c r="E433" s="168">
        <f>SUM(E422:E432)</f>
        <v>9264867.2948301286</v>
      </c>
    </row>
    <row r="434" spans="1:5" x14ac:dyDescent="0.3">
      <c r="A434" s="679"/>
      <c r="B434" s="644"/>
    </row>
    <row r="435" spans="1:5" x14ac:dyDescent="0.3">
      <c r="A435" s="167" t="s">
        <v>1951</v>
      </c>
      <c r="B435" s="644"/>
    </row>
    <row r="436" spans="1:5" x14ac:dyDescent="0.3">
      <c r="D436" s="168"/>
      <c r="E436" s="168"/>
    </row>
    <row r="437" spans="1:5" x14ac:dyDescent="0.3">
      <c r="D437" s="168"/>
      <c r="E437" s="168"/>
    </row>
    <row r="438" spans="1:5" x14ac:dyDescent="0.3">
      <c r="C438" s="669" t="s">
        <v>147</v>
      </c>
      <c r="D438" s="669" t="s">
        <v>148</v>
      </c>
      <c r="E438" s="683" t="s">
        <v>146</v>
      </c>
    </row>
    <row r="439" spans="1:5" x14ac:dyDescent="0.3">
      <c r="A439" s="678" t="s">
        <v>1952</v>
      </c>
      <c r="B439" s="644"/>
    </row>
    <row r="440" spans="1:5" x14ac:dyDescent="0.3">
      <c r="A440" s="679"/>
      <c r="B440" s="644" t="s">
        <v>278</v>
      </c>
      <c r="C440" s="168">
        <f t="shared" ref="C440:C445" si="18">+E422</f>
        <v>517316.69663553708</v>
      </c>
      <c r="D440" s="152">
        <f>+E440-C440</f>
        <v>4118137.5742922137</v>
      </c>
      <c r="E440" s="152">
        <f t="shared" ref="E440:E448" si="19">+E382</f>
        <v>4635454.2709277505</v>
      </c>
    </row>
    <row r="441" spans="1:5" x14ac:dyDescent="0.3">
      <c r="A441" s="679"/>
      <c r="B441" s="644" t="s">
        <v>279</v>
      </c>
      <c r="C441" s="168">
        <f t="shared" si="18"/>
        <v>0</v>
      </c>
      <c r="D441" s="168">
        <f t="shared" ref="D441:D448" si="20">+E441-C441</f>
        <v>0</v>
      </c>
      <c r="E441" s="152">
        <f t="shared" si="19"/>
        <v>0</v>
      </c>
    </row>
    <row r="442" spans="1:5" x14ac:dyDescent="0.3">
      <c r="A442" s="679"/>
      <c r="B442" s="644" t="s">
        <v>280</v>
      </c>
      <c r="C442" s="168">
        <f t="shared" si="18"/>
        <v>0</v>
      </c>
      <c r="D442" s="168">
        <f t="shared" si="20"/>
        <v>0</v>
      </c>
      <c r="E442" s="152">
        <f t="shared" si="19"/>
        <v>0</v>
      </c>
    </row>
    <row r="443" spans="1:5" x14ac:dyDescent="0.3">
      <c r="A443" s="679"/>
      <c r="B443" s="644" t="s">
        <v>281</v>
      </c>
      <c r="C443" s="168">
        <f t="shared" si="18"/>
        <v>20960.224872666655</v>
      </c>
      <c r="D443" s="152">
        <f t="shared" si="20"/>
        <v>3106818.7382008322</v>
      </c>
      <c r="E443" s="152">
        <f t="shared" si="19"/>
        <v>3127778.963073499</v>
      </c>
    </row>
    <row r="444" spans="1:5" x14ac:dyDescent="0.3">
      <c r="A444" s="679"/>
      <c r="B444" s="644" t="s">
        <v>282</v>
      </c>
      <c r="C444" s="168">
        <f t="shared" si="18"/>
        <v>7234572.9514166247</v>
      </c>
      <c r="D444" s="152">
        <f t="shared" si="20"/>
        <v>51912944.243158661</v>
      </c>
      <c r="E444" s="152">
        <f t="shared" si="19"/>
        <v>59147517.194575287</v>
      </c>
    </row>
    <row r="445" spans="1:5" x14ac:dyDescent="0.3">
      <c r="A445" s="679"/>
      <c r="B445" s="644" t="s">
        <v>283</v>
      </c>
      <c r="C445" s="168">
        <f t="shared" si="18"/>
        <v>672468.69004003145</v>
      </c>
      <c r="D445" s="152">
        <f t="shared" si="20"/>
        <v>5326359.9454642646</v>
      </c>
      <c r="E445" s="152">
        <f t="shared" si="19"/>
        <v>5998828.635504296</v>
      </c>
    </row>
    <row r="446" spans="1:5" x14ac:dyDescent="0.3">
      <c r="A446" s="679"/>
      <c r="B446" s="644" t="s">
        <v>309</v>
      </c>
      <c r="C446" s="168">
        <f>+E428+E429</f>
        <v>250739.65957157197</v>
      </c>
      <c r="D446" s="152">
        <f t="shared" si="20"/>
        <v>1118979.2850038032</v>
      </c>
      <c r="E446" s="152">
        <f t="shared" si="19"/>
        <v>1369718.9445753752</v>
      </c>
    </row>
    <row r="447" spans="1:5" x14ac:dyDescent="0.3">
      <c r="A447" s="679"/>
      <c r="B447" s="644" t="s">
        <v>285</v>
      </c>
      <c r="C447" s="168">
        <f>+E430</f>
        <v>559847.35641365766</v>
      </c>
      <c r="D447" s="152">
        <f t="shared" si="20"/>
        <v>5670967.964254844</v>
      </c>
      <c r="E447" s="152">
        <f t="shared" si="19"/>
        <v>6230815.3206685018</v>
      </c>
    </row>
    <row r="448" spans="1:5" x14ac:dyDescent="0.3">
      <c r="A448" s="679"/>
      <c r="B448" s="644" t="s">
        <v>286</v>
      </c>
      <c r="C448" s="104">
        <f>+E431</f>
        <v>8961.715880039801</v>
      </c>
      <c r="D448" s="673">
        <f t="shared" si="20"/>
        <v>70982.225957960225</v>
      </c>
      <c r="E448" s="673">
        <f t="shared" si="19"/>
        <v>79943.941838000028</v>
      </c>
    </row>
    <row r="449" spans="1:5" x14ac:dyDescent="0.3">
      <c r="A449" s="679"/>
      <c r="B449" s="644" t="s">
        <v>312</v>
      </c>
      <c r="C449" s="168">
        <f>SUM(C440:C448)</f>
        <v>9264867.2948301286</v>
      </c>
      <c r="D449" s="152">
        <f>SUM(D440:D448)</f>
        <v>71325189.97633259</v>
      </c>
      <c r="E449" s="168">
        <f>SUM(E440:E448)</f>
        <v>80590057.271162704</v>
      </c>
    </row>
    <row r="450" spans="1:5" x14ac:dyDescent="0.3">
      <c r="C450" s="7"/>
    </row>
  </sheetData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9"/>
  <sheetViews>
    <sheetView zoomScale="85" zoomScaleNormal="85" workbookViewId="0">
      <selection activeCell="M7" sqref="M7"/>
    </sheetView>
  </sheetViews>
  <sheetFormatPr defaultColWidth="9.109375" defaultRowHeight="14.4" x14ac:dyDescent="0.3"/>
  <cols>
    <col min="1" max="1" width="3.6640625" style="156" bestFit="1" customWidth="1"/>
    <col min="2" max="2" width="3.33203125" style="156" customWidth="1"/>
    <col min="3" max="3" width="26.109375" style="156" bestFit="1" customWidth="1"/>
    <col min="4" max="7" width="14.6640625" style="156" customWidth="1"/>
    <col min="8" max="8" width="15.88671875" style="156" customWidth="1"/>
    <col min="9" max="9" width="14.6640625" style="156" customWidth="1"/>
    <col min="10" max="10" width="17.33203125" style="156" customWidth="1"/>
    <col min="11" max="11" width="2.44140625" style="156" customWidth="1"/>
    <col min="12" max="16384" width="9.109375" style="156"/>
  </cols>
  <sheetData>
    <row r="3" spans="1:13" x14ac:dyDescent="0.3">
      <c r="E3" s="366" t="s">
        <v>433</v>
      </c>
      <c r="F3" s="366" t="s">
        <v>434</v>
      </c>
      <c r="G3" s="366" t="s">
        <v>435</v>
      </c>
      <c r="H3" s="366" t="s">
        <v>436</v>
      </c>
      <c r="I3" s="366" t="s">
        <v>437</v>
      </c>
      <c r="J3" s="366" t="s">
        <v>438</v>
      </c>
      <c r="K3" s="366"/>
    </row>
    <row r="4" spans="1:13" s="662" customFormat="1" ht="28.8" x14ac:dyDescent="0.3">
      <c r="A4" s="662" t="s">
        <v>441</v>
      </c>
      <c r="C4" s="663" t="s">
        <v>423</v>
      </c>
      <c r="D4" s="664" t="s">
        <v>432</v>
      </c>
      <c r="E4" s="685" t="s">
        <v>425</v>
      </c>
      <c r="F4" s="685" t="s">
        <v>426</v>
      </c>
      <c r="G4" s="685" t="s">
        <v>427</v>
      </c>
      <c r="H4" s="685" t="s">
        <v>428</v>
      </c>
      <c r="I4" s="685" t="s">
        <v>430</v>
      </c>
      <c r="J4" s="685" t="s">
        <v>431</v>
      </c>
      <c r="K4" s="685"/>
    </row>
    <row r="5" spans="1:13" x14ac:dyDescent="0.3">
      <c r="A5" s="366"/>
      <c r="D5" s="368"/>
    </row>
    <row r="6" spans="1:13" x14ac:dyDescent="0.3">
      <c r="A6" s="366">
        <f t="shared" ref="A6:A39" si="0">A5+1</f>
        <v>1</v>
      </c>
      <c r="C6" s="156" t="s">
        <v>445</v>
      </c>
      <c r="D6" s="368">
        <f>SUM(E6:J6)</f>
        <v>923755.05820569536</v>
      </c>
      <c r="E6" s="310">
        <f>'Design Day'!C40</f>
        <v>2710.9754643940114</v>
      </c>
      <c r="F6" s="310">
        <f>'Design Day'!D40</f>
        <v>635494.61940941098</v>
      </c>
      <c r="G6" s="310">
        <f>'Design Day'!E40</f>
        <v>201659.93104920175</v>
      </c>
      <c r="H6" s="310">
        <f>'Design Day'!F40</f>
        <v>6960.9555641254401</v>
      </c>
      <c r="I6" s="310">
        <f>'Design Day'!G40</f>
        <v>43132.340831585301</v>
      </c>
      <c r="J6" s="310">
        <f>'Design Day'!H40</f>
        <v>33796.235886977891</v>
      </c>
    </row>
    <row r="7" spans="1:13" x14ac:dyDescent="0.3">
      <c r="A7" s="366">
        <f t="shared" si="0"/>
        <v>2</v>
      </c>
      <c r="C7" s="156" t="s">
        <v>446</v>
      </c>
      <c r="D7" s="368">
        <f>SUM(E7:J7)</f>
        <v>900045.1724914097</v>
      </c>
      <c r="E7" s="310">
        <f>'Design Day'!C44</f>
        <v>2710.9754643940114</v>
      </c>
      <c r="F7" s="310">
        <f>'Design Day'!D44</f>
        <v>635494.61940941098</v>
      </c>
      <c r="G7" s="310">
        <f>'Design Day'!E44</f>
        <v>201659.93104920175</v>
      </c>
      <c r="H7" s="310">
        <f>'Design Day'!F44</f>
        <v>6960.9555641254401</v>
      </c>
      <c r="I7" s="310">
        <f>'Design Day'!G44</f>
        <v>39509.688450632922</v>
      </c>
      <c r="J7" s="310">
        <f>'Design Day'!H44</f>
        <v>13709.002553644557</v>
      </c>
    </row>
    <row r="8" spans="1:13" x14ac:dyDescent="0.3">
      <c r="A8" s="366">
        <f t="shared" si="0"/>
        <v>3</v>
      </c>
      <c r="C8" s="156" t="s">
        <v>2068</v>
      </c>
      <c r="D8" s="368">
        <f>SUM(E8:J8)</f>
        <v>899936.39153902861</v>
      </c>
      <c r="E8" s="310">
        <f>'Design Day'!C42</f>
        <v>2710.9754643940114</v>
      </c>
      <c r="F8" s="310">
        <f>'Design Day'!D42</f>
        <v>635494.61940941098</v>
      </c>
      <c r="G8" s="310">
        <f>'Design Day'!E42</f>
        <v>201659.93104920175</v>
      </c>
      <c r="H8" s="310">
        <f>'Design Day'!F42</f>
        <v>6960.9555641254401</v>
      </c>
      <c r="I8" s="310">
        <f>'Design Day'!G42</f>
        <v>37723.674164918637</v>
      </c>
      <c r="J8" s="310">
        <f>'Design Day'!H42</f>
        <v>15386.235886977893</v>
      </c>
    </row>
    <row r="9" spans="1:13" s="441" customFormat="1" x14ac:dyDescent="0.3">
      <c r="A9" s="366">
        <f t="shared" si="0"/>
        <v>4</v>
      </c>
      <c r="C9" s="156" t="s">
        <v>2067</v>
      </c>
      <c r="D9" s="126">
        <f>SUM(E9:J9)</f>
        <v>1</v>
      </c>
      <c r="E9" s="665">
        <f t="shared" ref="E9:J10" si="1">E14/$D14*$D$11+E6/$D6*(1-$D$11)</f>
        <v>2.8402610258007159E-3</v>
      </c>
      <c r="F9" s="665">
        <f t="shared" si="1"/>
        <v>0.64945702227252733</v>
      </c>
      <c r="G9" s="665">
        <f t="shared" si="1"/>
        <v>0.20983417753356987</v>
      </c>
      <c r="H9" s="665">
        <f t="shared" si="1"/>
        <v>7.0300502637203229E-3</v>
      </c>
      <c r="I9" s="665">
        <f t="shared" si="1"/>
        <v>4.8972248172534968E-2</v>
      </c>
      <c r="J9" s="665">
        <f t="shared" si="1"/>
        <v>8.1866240731846812E-2</v>
      </c>
      <c r="K9" s="665"/>
      <c r="M9" s="156"/>
    </row>
    <row r="10" spans="1:13" s="441" customFormat="1" x14ac:dyDescent="0.3">
      <c r="A10" s="366">
        <f t="shared" si="0"/>
        <v>5</v>
      </c>
      <c r="C10" s="156" t="s">
        <v>2069</v>
      </c>
      <c r="D10" s="126">
        <f>SUM(E10:J10)</f>
        <v>0.99999999999999978</v>
      </c>
      <c r="E10" s="665">
        <f t="shared" si="1"/>
        <v>2.9954095767541974E-3</v>
      </c>
      <c r="F10" s="665">
        <f t="shared" si="1"/>
        <v>0.68328652691109304</v>
      </c>
      <c r="G10" s="665">
        <f t="shared" si="1"/>
        <v>0.22115092765522329</v>
      </c>
      <c r="H10" s="665">
        <f t="shared" si="1"/>
        <v>7.3875766969563154E-3</v>
      </c>
      <c r="I10" s="665">
        <f t="shared" si="1"/>
        <v>4.6639530402894695E-2</v>
      </c>
      <c r="J10" s="665">
        <f t="shared" si="1"/>
        <v>3.8540028757078321E-2</v>
      </c>
      <c r="K10" s="665"/>
      <c r="M10" s="156"/>
    </row>
    <row r="11" spans="1:13" s="441" customFormat="1" x14ac:dyDescent="0.3">
      <c r="A11" s="366">
        <f t="shared" si="0"/>
        <v>6</v>
      </c>
      <c r="C11" s="441" t="s">
        <v>621</v>
      </c>
      <c r="D11" s="666">
        <f t="shared" ref="D11:J11" si="2">D16/(D6*365)</f>
        <v>0.24429463777687527</v>
      </c>
      <c r="E11" s="666">
        <f t="shared" si="2"/>
        <v>0.2435897739112006</v>
      </c>
      <c r="F11" s="666">
        <f t="shared" si="2"/>
        <v>0.21630511449702614</v>
      </c>
      <c r="G11" s="666">
        <f t="shared" si="2"/>
        <v>0.2359992702488804</v>
      </c>
      <c r="H11" s="666">
        <f t="shared" si="2"/>
        <v>0.20352687057552341</v>
      </c>
      <c r="I11" s="666">
        <f t="shared" si="2"/>
        <v>0.33663516789341819</v>
      </c>
      <c r="J11" s="666">
        <f t="shared" si="2"/>
        <v>0.71070353040157852</v>
      </c>
      <c r="K11" s="666"/>
      <c r="M11" s="156"/>
    </row>
    <row r="12" spans="1:13" s="441" customFormat="1" x14ac:dyDescent="0.3">
      <c r="A12" s="366">
        <f t="shared" si="0"/>
        <v>7</v>
      </c>
      <c r="C12" s="156"/>
      <c r="D12" s="368"/>
      <c r="E12" s="310"/>
      <c r="F12" s="310"/>
      <c r="G12" s="310"/>
      <c r="H12" s="310"/>
      <c r="I12" s="126"/>
      <c r="J12" s="126"/>
      <c r="K12" s="126"/>
      <c r="M12" s="156"/>
    </row>
    <row r="13" spans="1:13" x14ac:dyDescent="0.3">
      <c r="A13" s="366">
        <f t="shared" si="0"/>
        <v>8</v>
      </c>
      <c r="D13" s="368"/>
      <c r="E13" s="310"/>
      <c r="F13" s="310"/>
      <c r="G13" s="310"/>
      <c r="H13" s="310"/>
      <c r="I13" s="126"/>
      <c r="J13" s="126"/>
      <c r="K13" s="126"/>
    </row>
    <row r="14" spans="1:13" x14ac:dyDescent="0.3">
      <c r="A14" s="366">
        <f t="shared" si="0"/>
        <v>9</v>
      </c>
      <c r="C14" s="156" t="s">
        <v>442</v>
      </c>
      <c r="D14" s="368">
        <f>SUM(E14:J14)</f>
        <v>94596548.67870459</v>
      </c>
      <c r="E14" s="310">
        <f>Volumes!T10</f>
        <v>241033.5536644505</v>
      </c>
      <c r="F14" s="310">
        <f>Volumes!U10</f>
        <v>50173168.790962793</v>
      </c>
      <c r="G14" s="310">
        <f>Volumes!V10</f>
        <v>17370932.746608671</v>
      </c>
      <c r="H14" s="310">
        <f>Volumes!W10</f>
        <v>517110.64829633071</v>
      </c>
      <c r="I14" s="310">
        <f>Volumes!X10</f>
        <v>5299749.9210790517</v>
      </c>
      <c r="J14" s="310">
        <f>Volumes!Y10</f>
        <v>20994553.018093295</v>
      </c>
      <c r="K14" s="310"/>
      <c r="M14" s="441"/>
    </row>
    <row r="15" spans="1:13" x14ac:dyDescent="0.3">
      <c r="A15" s="366">
        <f t="shared" si="0"/>
        <v>10</v>
      </c>
      <c r="C15" s="156" t="s">
        <v>443</v>
      </c>
      <c r="D15" s="368">
        <f t="shared" ref="D15:D19" si="3">SUM(E15:J15)</f>
        <v>81874116.478704602</v>
      </c>
      <c r="E15" s="310">
        <f>-'Design Day'!C46+E14</f>
        <v>241033.5536644505</v>
      </c>
      <c r="F15" s="310">
        <f>-'Design Day'!D46+F14</f>
        <v>50173168.790962793</v>
      </c>
      <c r="G15" s="310">
        <f>-'Design Day'!E46+G14</f>
        <v>17370932.746608671</v>
      </c>
      <c r="H15" s="310">
        <f>-'Design Day'!F46+H14</f>
        <v>517110.64829633071</v>
      </c>
      <c r="I15" s="310">
        <f>-'Design Day'!G46+I14</f>
        <v>4513059.2210790524</v>
      </c>
      <c r="J15" s="310">
        <f>-'Design Day'!H46+J14</f>
        <v>9058811.5180932954</v>
      </c>
      <c r="K15" s="310"/>
      <c r="M15" s="441"/>
    </row>
    <row r="16" spans="1:13" x14ac:dyDescent="0.3">
      <c r="A16" s="366">
        <f t="shared" si="0"/>
        <v>11</v>
      </c>
      <c r="C16" s="156" t="s">
        <v>2354</v>
      </c>
      <c r="D16" s="368">
        <f t="shared" si="3"/>
        <v>82368968.67870459</v>
      </c>
      <c r="E16" s="310">
        <f>SUM(Volumes!T12,Volumes!T15)</f>
        <v>241033.5536644505</v>
      </c>
      <c r="F16" s="310">
        <f>SUM(Volumes!U12,Volumes!U15)</f>
        <v>50173168.790962793</v>
      </c>
      <c r="G16" s="310">
        <f>SUM(Volumes!V12,Volumes!V15)</f>
        <v>17370932.746608671</v>
      </c>
      <c r="H16" s="310">
        <f>SUM(Volumes!W12,Volumes!W15)</f>
        <v>517110.64829633071</v>
      </c>
      <c r="I16" s="310">
        <f>SUM(Volumes!X12,Volumes!X15)</f>
        <v>5299749.9210790517</v>
      </c>
      <c r="J16" s="310">
        <f>SUM(Volumes!Y12,Volumes!Y15)</f>
        <v>8766973.0180932935</v>
      </c>
      <c r="K16" s="310"/>
      <c r="M16" s="441"/>
    </row>
    <row r="17" spans="1:13" x14ac:dyDescent="0.3">
      <c r="A17" s="366">
        <f t="shared" si="0"/>
        <v>12</v>
      </c>
      <c r="C17" s="156" t="s">
        <v>444</v>
      </c>
      <c r="D17" s="368">
        <f t="shared" si="3"/>
        <v>75303248.67870459</v>
      </c>
      <c r="E17" s="310">
        <f>Volumes!T12</f>
        <v>241033.5536644505</v>
      </c>
      <c r="F17" s="310">
        <f>Volumes!U12</f>
        <v>50173168.790962793</v>
      </c>
      <c r="G17" s="310">
        <f>Volumes!V12</f>
        <v>17370932.746608671</v>
      </c>
      <c r="H17" s="310">
        <f>Volumes!W12</f>
        <v>517110.64829633071</v>
      </c>
      <c r="I17" s="310">
        <f>Volumes!X12</f>
        <v>4336314.9210790517</v>
      </c>
      <c r="J17" s="310">
        <f>Volumes!Y12</f>
        <v>2664688.0180932935</v>
      </c>
      <c r="K17" s="310"/>
      <c r="M17" s="441"/>
    </row>
    <row r="18" spans="1:13" x14ac:dyDescent="0.3">
      <c r="A18" s="366">
        <f t="shared" si="0"/>
        <v>13</v>
      </c>
      <c r="C18" s="156" t="s">
        <v>2394</v>
      </c>
      <c r="D18" s="368">
        <f t="shared" si="3"/>
        <v>33760565.227628313</v>
      </c>
      <c r="E18" s="310">
        <f>Volumes!T43</f>
        <v>96579.765926785331</v>
      </c>
      <c r="F18" s="310">
        <f>Volumes!U43</f>
        <v>23899726.165081952</v>
      </c>
      <c r="G18" s="310">
        <f>Volumes!V43</f>
        <v>7319795.0285936762</v>
      </c>
      <c r="H18" s="310">
        <f>Volumes!W43</f>
        <v>293217.85648958944</v>
      </c>
      <c r="I18" s="310">
        <f>Volumes!X43</f>
        <v>1353270.4835026062</v>
      </c>
      <c r="J18" s="310">
        <f>Volumes!Y43</f>
        <v>797975.9280336987</v>
      </c>
      <c r="K18" s="310"/>
      <c r="M18" s="441"/>
    </row>
    <row r="19" spans="1:13" x14ac:dyDescent="0.3">
      <c r="A19" s="366">
        <f t="shared" si="0"/>
        <v>14</v>
      </c>
      <c r="C19" s="156" t="s">
        <v>2386</v>
      </c>
      <c r="D19" s="368">
        <f t="shared" si="3"/>
        <v>59527712.498910092</v>
      </c>
      <c r="E19" s="310">
        <f>Volumes!T29</f>
        <v>156768.84415081248</v>
      </c>
      <c r="F19" s="310">
        <f>Volumes!U29</f>
        <v>34846993.925865635</v>
      </c>
      <c r="G19" s="310">
        <f>Volumes!V29</f>
        <v>11507769.077766592</v>
      </c>
      <c r="H19" s="310">
        <f>Volumes!W29</f>
        <v>386506.51974239829</v>
      </c>
      <c r="I19" s="310">
        <f>Volumes!X29</f>
        <v>3204180.6658261251</v>
      </c>
      <c r="J19" s="310">
        <f>Volumes!Y29</f>
        <v>9425493.4655585289</v>
      </c>
      <c r="K19" s="310"/>
      <c r="M19" s="441"/>
    </row>
    <row r="20" spans="1:13" x14ac:dyDescent="0.3">
      <c r="A20" s="366">
        <f t="shared" si="0"/>
        <v>15</v>
      </c>
      <c r="D20" s="368"/>
      <c r="M20" s="441"/>
    </row>
    <row r="21" spans="1:13" x14ac:dyDescent="0.3">
      <c r="A21" s="366">
        <f t="shared" si="0"/>
        <v>16</v>
      </c>
      <c r="C21" s="156" t="s">
        <v>424</v>
      </c>
      <c r="D21" s="368">
        <f t="shared" ref="D21:D22" si="4">SUM(E21:J21)</f>
        <v>82527.416666666657</v>
      </c>
      <c r="E21" s="310">
        <f>Customers!R10</f>
        <v>897.25</v>
      </c>
      <c r="F21" s="310">
        <f>Customers!S10</f>
        <v>74643.833333333328</v>
      </c>
      <c r="G21" s="310">
        <f>Customers!T10</f>
        <v>6034.4166666666661</v>
      </c>
      <c r="H21" s="310">
        <f>Customers!U10</f>
        <v>786.5</v>
      </c>
      <c r="I21" s="310">
        <f>Customers!V10</f>
        <v>120.08333333333333</v>
      </c>
      <c r="J21" s="310">
        <f>Customers!W10</f>
        <v>45.333333333333336</v>
      </c>
      <c r="K21" s="310"/>
      <c r="M21" s="441"/>
    </row>
    <row r="22" spans="1:13" x14ac:dyDescent="0.3">
      <c r="A22" s="366">
        <f t="shared" si="0"/>
        <v>17</v>
      </c>
      <c r="C22" s="156" t="s">
        <v>2401</v>
      </c>
      <c r="D22" s="368">
        <f t="shared" si="4"/>
        <v>7023.2499999999991</v>
      </c>
      <c r="E22" s="368">
        <f>SUM(Customers!R19:R25)</f>
        <v>36.916666666666664</v>
      </c>
      <c r="F22" s="368">
        <f>SUM(Customers!S19:S25)</f>
        <v>0</v>
      </c>
      <c r="G22" s="368">
        <f>SUM(Customers!T19:T25)</f>
        <v>6034.4166666666661</v>
      </c>
      <c r="H22" s="368">
        <f>SUM(Customers!U19:U25)</f>
        <v>786.5</v>
      </c>
      <c r="I22" s="368">
        <f>SUM(Customers!V19:V25)</f>
        <v>120.08333333333333</v>
      </c>
      <c r="J22" s="368">
        <f>SUM(Customers!W19:W25)</f>
        <v>45.333333333333336</v>
      </c>
      <c r="K22" s="310"/>
      <c r="M22" s="441"/>
    </row>
    <row r="23" spans="1:13" x14ac:dyDescent="0.3">
      <c r="A23" s="366">
        <f t="shared" si="0"/>
        <v>18</v>
      </c>
      <c r="D23" s="368"/>
      <c r="E23" s="310"/>
      <c r="F23" s="310"/>
      <c r="G23" s="310"/>
      <c r="H23" s="310"/>
      <c r="I23" s="310"/>
      <c r="J23" s="310"/>
    </row>
    <row r="24" spans="1:13" x14ac:dyDescent="0.3">
      <c r="A24" s="366">
        <f t="shared" si="0"/>
        <v>19</v>
      </c>
      <c r="C24" s="156" t="s">
        <v>548</v>
      </c>
      <c r="D24" s="368">
        <f t="shared" ref="D24:D25" si="5">SUM(E24:J24)</f>
        <v>41397485.315276787</v>
      </c>
      <c r="E24" s="310">
        <f>'Monthly Margin'!U10</f>
        <v>205673.46142368694</v>
      </c>
      <c r="F24" s="310">
        <f>'Monthly Margin'!V10</f>
        <v>27765814.387779467</v>
      </c>
      <c r="G24" s="310">
        <f>'Monthly Margin'!W10</f>
        <v>8598554.5167402085</v>
      </c>
      <c r="H24" s="310">
        <f>'Monthly Margin'!X10</f>
        <v>195260.61634887647</v>
      </c>
      <c r="I24" s="310">
        <f>'Monthly Margin'!Y10</f>
        <v>1969924.1764346149</v>
      </c>
      <c r="J24" s="310">
        <f>'Monthly Margin'!Z10</f>
        <v>2662258.1565499278</v>
      </c>
      <c r="K24" s="310"/>
    </row>
    <row r="25" spans="1:13" x14ac:dyDescent="0.3">
      <c r="A25" s="366">
        <f t="shared" si="0"/>
        <v>20</v>
      </c>
      <c r="C25" s="156" t="s">
        <v>2390</v>
      </c>
      <c r="D25" s="368">
        <f t="shared" si="5"/>
        <v>36765302.982292242</v>
      </c>
      <c r="E25" s="310">
        <f>E24</f>
        <v>205673.46142368694</v>
      </c>
      <c r="F25" s="310">
        <f>F24</f>
        <v>27765814.387779467</v>
      </c>
      <c r="G25" s="310">
        <f>G24</f>
        <v>8598554.5167402085</v>
      </c>
      <c r="H25" s="310">
        <f>H24</f>
        <v>195260.61634887647</v>
      </c>
      <c r="I25" s="310"/>
      <c r="J25" s="310"/>
      <c r="K25" s="310"/>
    </row>
    <row r="26" spans="1:13" x14ac:dyDescent="0.3">
      <c r="A26" s="366">
        <f t="shared" si="0"/>
        <v>21</v>
      </c>
      <c r="D26" s="368"/>
    </row>
    <row r="27" spans="1:13" x14ac:dyDescent="0.3">
      <c r="A27" s="366">
        <f t="shared" si="0"/>
        <v>22</v>
      </c>
      <c r="C27" s="156" t="s">
        <v>447</v>
      </c>
      <c r="D27" s="368">
        <f t="shared" ref="D27:D28" si="6">SUM(E27:J27)</f>
        <v>204929183.75277677</v>
      </c>
      <c r="E27" s="310">
        <f>Services!C18</f>
        <v>2148563.8022987479</v>
      </c>
      <c r="F27" s="310">
        <f>Services!D18</f>
        <v>173273297.63342166</v>
      </c>
      <c r="G27" s="310">
        <f>Services!E18</f>
        <v>25052458.581720985</v>
      </c>
      <c r="H27" s="310">
        <f>Services!F18</f>
        <v>3226441.9800855783</v>
      </c>
      <c r="I27" s="310">
        <f>Services!G18</f>
        <v>655025.72833336156</v>
      </c>
      <c r="J27" s="310">
        <f>Services!H18</f>
        <v>573396.02691643557</v>
      </c>
      <c r="K27" s="310"/>
    </row>
    <row r="28" spans="1:13" x14ac:dyDescent="0.3">
      <c r="A28" s="366">
        <f t="shared" si="0"/>
        <v>23</v>
      </c>
      <c r="C28" s="156" t="s">
        <v>448</v>
      </c>
      <c r="D28" s="368">
        <f t="shared" si="6"/>
        <v>20480813.365666654</v>
      </c>
      <c r="E28" s="310">
        <f>Meter_Invest!J27</f>
        <v>191639.66666666666</v>
      </c>
      <c r="F28" s="310">
        <f>Meter_Invest!K27</f>
        <v>15969994</v>
      </c>
      <c r="G28" s="310">
        <f>Meter_Invest!L27</f>
        <v>3211555.7281226278</v>
      </c>
      <c r="H28" s="310">
        <f>Meter_Invest!M27</f>
        <v>163843.5</v>
      </c>
      <c r="I28" s="310">
        <f>Meter_Invest!N27</f>
        <v>430652.6756519234</v>
      </c>
      <c r="J28" s="310">
        <f>Meter_Invest!O27</f>
        <v>513127.79522543924</v>
      </c>
      <c r="K28" s="310"/>
    </row>
    <row r="29" spans="1:13" x14ac:dyDescent="0.3">
      <c r="A29" s="366">
        <f t="shared" si="0"/>
        <v>24</v>
      </c>
      <c r="D29" s="368"/>
    </row>
    <row r="30" spans="1:13" x14ac:dyDescent="0.3">
      <c r="A30" s="366">
        <f t="shared" si="0"/>
        <v>25</v>
      </c>
      <c r="C30" s="156" t="s">
        <v>2071</v>
      </c>
      <c r="D30" s="368">
        <f t="shared" ref="D30:D39" si="7">SUM(E30:J30)</f>
        <v>97344.82666666666</v>
      </c>
      <c r="E30" s="310">
        <f>'904'!M6</f>
        <v>1023.8954679510348</v>
      </c>
      <c r="F30" s="310">
        <f>'904'!N6</f>
        <v>82363.935952210144</v>
      </c>
      <c r="G30" s="310">
        <f>'904'!O6</f>
        <v>12135.895422840802</v>
      </c>
      <c r="H30" s="310">
        <f>'904'!P6</f>
        <v>1588.9377956686062</v>
      </c>
      <c r="I30" s="310">
        <f>'904'!Q6</f>
        <v>212.46445201671762</v>
      </c>
      <c r="J30" s="310">
        <f>'904'!R6</f>
        <v>19.697575979362888</v>
      </c>
      <c r="K30" s="310"/>
    </row>
    <row r="31" spans="1:13" x14ac:dyDescent="0.3">
      <c r="A31" s="366">
        <f t="shared" si="0"/>
        <v>26</v>
      </c>
      <c r="C31" s="367" t="s">
        <v>2341</v>
      </c>
      <c r="D31" s="368">
        <f t="shared" si="7"/>
        <v>2410927.6287447982</v>
      </c>
      <c r="E31" s="684">
        <f>'Inc Customer O&amp;M'!H15</f>
        <v>25880.307291619145</v>
      </c>
      <c r="F31" s="684">
        <f>'Inc Customer O&amp;M'!I15</f>
        <v>2148723.8545752014</v>
      </c>
      <c r="G31" s="684">
        <f>'Inc Customer O&amp;M'!J15</f>
        <v>182168.04199193328</v>
      </c>
      <c r="H31" s="684">
        <f>'Inc Customer O&amp;M'!K15</f>
        <v>23743.001675387935</v>
      </c>
      <c r="I31" s="684">
        <f>'Inc Customer O&amp;M'!L15</f>
        <v>22077.733927736233</v>
      </c>
      <c r="J31" s="684">
        <f>'Inc Customer O&amp;M'!M15</f>
        <v>8334.6892829205499</v>
      </c>
      <c r="K31" s="684"/>
    </row>
    <row r="32" spans="1:13" x14ac:dyDescent="0.3">
      <c r="A32" s="366">
        <f t="shared" si="0"/>
        <v>27</v>
      </c>
      <c r="C32" s="156" t="s">
        <v>449</v>
      </c>
      <c r="D32" s="368">
        <f t="shared" si="7"/>
        <v>278562.35634000006</v>
      </c>
      <c r="E32" s="684">
        <f>'O&amp;M Net of Exclusions'!G13</f>
        <v>2002.136884876385</v>
      </c>
      <c r="F32" s="684">
        <f>'O&amp;M Net of Exclusions'!H13</f>
        <v>167305.91403668461</v>
      </c>
      <c r="G32" s="684">
        <f>'O&amp;M Net of Exclusions'!I13</f>
        <v>45525.872801359714</v>
      </c>
      <c r="H32" s="684">
        <f>'O&amp;M Net of Exclusions'!J13</f>
        <v>1572.1763411797847</v>
      </c>
      <c r="I32" s="684">
        <f>'O&amp;M Net of Exclusions'!K13</f>
        <v>18502.056941634877</v>
      </c>
      <c r="J32" s="684">
        <f>'O&amp;M Net of Exclusions'!L13</f>
        <v>43654.199334264697</v>
      </c>
      <c r="K32" s="684"/>
    </row>
    <row r="33" spans="1:11" x14ac:dyDescent="0.3">
      <c r="A33" s="366">
        <f t="shared" si="0"/>
        <v>28</v>
      </c>
      <c r="C33" s="156" t="s">
        <v>450</v>
      </c>
      <c r="D33" s="368">
        <f t="shared" si="7"/>
        <v>407173.96651060029</v>
      </c>
      <c r="E33" s="684">
        <f>'O&amp;M Net of Exclusions'!G14</f>
        <v>4430.4147753852667</v>
      </c>
      <c r="F33" s="684">
        <f>'O&amp;M Net of Exclusions'!H14</f>
        <v>368851.3855334383</v>
      </c>
      <c r="G33" s="684">
        <f>'O&amp;M Net of Exclusions'!I14</f>
        <v>29274.219084513239</v>
      </c>
      <c r="H33" s="684">
        <f>'O&amp;M Net of Exclusions'!J14</f>
        <v>3815.476222772651</v>
      </c>
      <c r="I33" s="684">
        <f>'O&amp;M Net of Exclusions'!K14</f>
        <v>582.54939998043972</v>
      </c>
      <c r="J33" s="684">
        <f>'O&amp;M Net of Exclusions'!L14</f>
        <v>219.92149451031176</v>
      </c>
      <c r="K33" s="684"/>
    </row>
    <row r="34" spans="1:11" x14ac:dyDescent="0.3">
      <c r="A34" s="366">
        <f t="shared" si="0"/>
        <v>29</v>
      </c>
    </row>
    <row r="35" spans="1:11" x14ac:dyDescent="0.3">
      <c r="A35" s="366">
        <f t="shared" si="0"/>
        <v>30</v>
      </c>
      <c r="C35" s="156" t="s">
        <v>2396</v>
      </c>
      <c r="D35" s="368">
        <f t="shared" ref="D35" si="8">SUM(E35:J35)</f>
        <v>2678.3157720000004</v>
      </c>
      <c r="E35" s="684">
        <f>'Direct Assign'!D34</f>
        <v>6.8243924051960105</v>
      </c>
      <c r="F35" s="684">
        <f>'Direct Assign'!E34</f>
        <v>1420.5548847291627</v>
      </c>
      <c r="G35" s="684">
        <f>'Direct Assign'!F34</f>
        <v>491.82389632008727</v>
      </c>
      <c r="H35" s="684">
        <f>'Direct Assign'!G34</f>
        <v>14.640973952498895</v>
      </c>
      <c r="I35" s="684">
        <f>'Direct Assign'!H34</f>
        <v>150.05202620544657</v>
      </c>
      <c r="J35" s="684">
        <f>'Direct Assign'!I34</f>
        <v>594.41959838760897</v>
      </c>
    </row>
    <row r="36" spans="1:11" x14ac:dyDescent="0.3">
      <c r="A36" s="366">
        <f t="shared" si="0"/>
        <v>31</v>
      </c>
      <c r="C36" s="156" t="s">
        <v>2382</v>
      </c>
      <c r="D36" s="368">
        <f t="shared" si="7"/>
        <v>198387.07196000003</v>
      </c>
      <c r="E36" s="684">
        <f>'Direct Assign'!D37</f>
        <v>484.54915208509431</v>
      </c>
      <c r="F36" s="684">
        <f>'Direct Assign'!E37</f>
        <v>100862.99614919118</v>
      </c>
      <c r="G36" s="684">
        <f>'Direct Assign'!F37</f>
        <v>34920.74279838262</v>
      </c>
      <c r="H36" s="684">
        <f>'Direct Assign'!G37</f>
        <v>1039.5462472207487</v>
      </c>
      <c r="I36" s="684">
        <f>'Direct Assign'!H37</f>
        <v>11094.669449692843</v>
      </c>
      <c r="J36" s="684">
        <f>'Direct Assign'!I37</f>
        <v>49984.568163427517</v>
      </c>
    </row>
    <row r="37" spans="1:11" x14ac:dyDescent="0.3">
      <c r="A37" s="366">
        <f t="shared" si="0"/>
        <v>32</v>
      </c>
      <c r="C37" s="156" t="s">
        <v>2383</v>
      </c>
      <c r="D37" s="368">
        <f t="shared" si="7"/>
        <v>30595.719870999994</v>
      </c>
      <c r="E37" s="684">
        <f>'Direct Assign'!D38</f>
        <v>0</v>
      </c>
      <c r="F37" s="684">
        <f>'Direct Assign'!E38</f>
        <v>0</v>
      </c>
      <c r="G37" s="684">
        <f>'Direct Assign'!F38</f>
        <v>0</v>
      </c>
      <c r="H37" s="684">
        <f>'Direct Assign'!G38</f>
        <v>0</v>
      </c>
      <c r="I37" s="684">
        <f>'Direct Assign'!H38</f>
        <v>7186.4365278395344</v>
      </c>
      <c r="J37" s="684">
        <f>'Direct Assign'!I38</f>
        <v>23409.283343160459</v>
      </c>
    </row>
    <row r="38" spans="1:11" x14ac:dyDescent="0.3">
      <c r="A38" s="366">
        <f t="shared" si="0"/>
        <v>33</v>
      </c>
      <c r="C38" s="156" t="s">
        <v>2384</v>
      </c>
      <c r="D38" s="368">
        <f t="shared" si="7"/>
        <v>6451.1003649999984</v>
      </c>
      <c r="E38" s="684">
        <f>'Direct Assign'!D39</f>
        <v>0</v>
      </c>
      <c r="F38" s="684">
        <f>'Direct Assign'!E39</f>
        <v>0</v>
      </c>
      <c r="G38" s="684">
        <f>'Direct Assign'!F39</f>
        <v>0</v>
      </c>
      <c r="H38" s="684">
        <f>'Direct Assign'!G39</f>
        <v>0</v>
      </c>
      <c r="I38" s="684">
        <f>'Direct Assign'!H39</f>
        <v>1515.2584578255812</v>
      </c>
      <c r="J38" s="684">
        <f>'Direct Assign'!I39</f>
        <v>4935.8419071744174</v>
      </c>
    </row>
    <row r="39" spans="1:11" x14ac:dyDescent="0.3">
      <c r="A39" s="366">
        <f t="shared" si="0"/>
        <v>34</v>
      </c>
      <c r="C39" s="156" t="s">
        <v>2385</v>
      </c>
      <c r="D39" s="368">
        <f t="shared" si="7"/>
        <v>119309.07477199996</v>
      </c>
      <c r="E39" s="684">
        <f>'Direct Assign'!D40</f>
        <v>309.89636422279688</v>
      </c>
      <c r="F39" s="684">
        <f>'Direct Assign'!E40</f>
        <v>64507.54408866055</v>
      </c>
      <c r="G39" s="684">
        <f>'Direct Assign'!F40</f>
        <v>22333.773947617417</v>
      </c>
      <c r="H39" s="684">
        <f>'Direct Assign'!G40</f>
        <v>664.84813990261193</v>
      </c>
      <c r="I39" s="684">
        <f>'Direct Assign'!H40</f>
        <v>7029.4774968009879</v>
      </c>
      <c r="J39" s="684">
        <f>'Direct Assign'!I40</f>
        <v>24463.534734795612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zoomScale="85" zoomScaleNormal="85" workbookViewId="0">
      <selection activeCell="L15" sqref="L15"/>
    </sheetView>
  </sheetViews>
  <sheetFormatPr defaultRowHeight="14.4" x14ac:dyDescent="0.3"/>
  <cols>
    <col min="1" max="1" width="4.6640625" customWidth="1"/>
    <col min="2" max="5" width="16.44140625" customWidth="1"/>
    <col min="6" max="8" width="12.109375" bestFit="1" customWidth="1"/>
  </cols>
  <sheetData>
    <row r="1" spans="2:11" x14ac:dyDescent="0.3">
      <c r="B1" t="s">
        <v>142</v>
      </c>
      <c r="K1" t="s">
        <v>2080</v>
      </c>
    </row>
    <row r="2" spans="2:11" x14ac:dyDescent="0.3">
      <c r="B2" t="s">
        <v>2072</v>
      </c>
      <c r="K2" s="9" t="s">
        <v>321</v>
      </c>
    </row>
    <row r="3" spans="2:11" x14ac:dyDescent="0.3">
      <c r="K3" s="9" t="s">
        <v>2081</v>
      </c>
    </row>
    <row r="4" spans="2:11" x14ac:dyDescent="0.3">
      <c r="B4" s="8"/>
      <c r="K4" s="9" t="s">
        <v>1959</v>
      </c>
    </row>
    <row r="5" spans="2:11" ht="27" x14ac:dyDescent="0.3">
      <c r="B5" s="209" t="s">
        <v>2073</v>
      </c>
      <c r="C5" s="209" t="s">
        <v>2074</v>
      </c>
      <c r="D5" s="209" t="s">
        <v>2075</v>
      </c>
      <c r="E5" s="209" t="s">
        <v>2076</v>
      </c>
      <c r="K5" s="9" t="s">
        <v>1907</v>
      </c>
    </row>
    <row r="6" spans="2:11" x14ac:dyDescent="0.3">
      <c r="B6" s="210" t="s">
        <v>2077</v>
      </c>
      <c r="C6" s="138">
        <v>2321.3343942244169</v>
      </c>
      <c r="D6" s="4">
        <v>88.65867214173646</v>
      </c>
      <c r="E6" s="211">
        <v>26.182823836041173</v>
      </c>
      <c r="K6" s="9" t="s">
        <v>2082</v>
      </c>
    </row>
    <row r="7" spans="2:11" x14ac:dyDescent="0.3">
      <c r="B7" s="210" t="s">
        <v>2078</v>
      </c>
      <c r="C7" s="138">
        <v>4102.2784235035961</v>
      </c>
      <c r="D7" s="4">
        <v>266.67309958376768</v>
      </c>
      <c r="E7" s="211">
        <v>15.383172993101178</v>
      </c>
    </row>
    <row r="8" spans="2:11" x14ac:dyDescent="0.3">
      <c r="B8" s="210" t="s">
        <v>2079</v>
      </c>
      <c r="C8" s="138">
        <v>14990.130556082686</v>
      </c>
      <c r="D8" s="4">
        <v>764.20074074068907</v>
      </c>
      <c r="E8" s="211">
        <v>19.615435783997995</v>
      </c>
    </row>
    <row r="11" spans="2:11" x14ac:dyDescent="0.3">
      <c r="B11" s="45"/>
      <c r="C11" s="37" t="s">
        <v>433</v>
      </c>
      <c r="D11" s="37" t="s">
        <v>434</v>
      </c>
      <c r="E11" s="37" t="s">
        <v>435</v>
      </c>
      <c r="F11" s="37" t="s">
        <v>436</v>
      </c>
      <c r="G11" s="37" t="s">
        <v>437</v>
      </c>
      <c r="H11" s="38" t="s">
        <v>438</v>
      </c>
    </row>
    <row r="12" spans="2:11" x14ac:dyDescent="0.3">
      <c r="B12" s="214" t="s">
        <v>2083</v>
      </c>
      <c r="C12" s="39"/>
      <c r="D12" s="39"/>
      <c r="E12" s="39"/>
      <c r="F12" s="39"/>
      <c r="G12" s="39"/>
      <c r="H12" s="41"/>
    </row>
    <row r="13" spans="2:11" x14ac:dyDescent="0.3">
      <c r="B13" s="99" t="s">
        <v>525</v>
      </c>
      <c r="C13" s="215">
        <f>Customers!R18</f>
        <v>860.33333333333337</v>
      </c>
      <c r="D13" s="215">
        <f>Customers!S18</f>
        <v>74643.833333333328</v>
      </c>
      <c r="E13" s="215">
        <f>Customers!T18</f>
        <v>0</v>
      </c>
      <c r="F13" s="215">
        <f>Customers!U18</f>
        <v>0</v>
      </c>
      <c r="G13" s="215">
        <f>Customers!V18</f>
        <v>0</v>
      </c>
      <c r="H13" s="216">
        <f>Customers!W18</f>
        <v>0</v>
      </c>
    </row>
    <row r="14" spans="2:11" x14ac:dyDescent="0.3">
      <c r="B14" s="99" t="s">
        <v>526</v>
      </c>
      <c r="C14" s="217">
        <f>SUM(Customers!R19,Customers!R23)</f>
        <v>36.916666666666664</v>
      </c>
      <c r="D14" s="217">
        <f>SUM(Customers!S19,Customers!S23)</f>
        <v>0</v>
      </c>
      <c r="E14" s="217">
        <f>SUM(Customers!T19,Customers!T23)</f>
        <v>6007.083333333333</v>
      </c>
      <c r="F14" s="217">
        <f>SUM(Customers!U19,Customers!U23)</f>
        <v>786.5</v>
      </c>
      <c r="G14" s="217">
        <f>SUM(Customers!V19,Customers!V23)</f>
        <v>105.16666666666666</v>
      </c>
      <c r="H14" s="218">
        <f>SUM(Customers!W19,Customers!W23)</f>
        <v>9.75</v>
      </c>
    </row>
    <row r="15" spans="2:11" x14ac:dyDescent="0.3">
      <c r="B15" s="99" t="s">
        <v>1898</v>
      </c>
      <c r="C15" s="217">
        <f>SUM(Customers!R20:R21,Customers!R24:R25)</f>
        <v>0</v>
      </c>
      <c r="D15" s="217">
        <f>SUM(Customers!S20:S21,Customers!S24:S25)</f>
        <v>0</v>
      </c>
      <c r="E15" s="217">
        <f>SUM(Customers!T20:T21,Customers!T24:T25)</f>
        <v>27.333333333333332</v>
      </c>
      <c r="F15" s="217">
        <f>SUM(Customers!U20:U21,Customers!U24:U25)</f>
        <v>0</v>
      </c>
      <c r="G15" s="217">
        <f>SUM(Customers!V20:V21,Customers!V24:V25)</f>
        <v>14.916666666666666</v>
      </c>
      <c r="H15" s="218">
        <f>SUM(Customers!W20:W21,Customers!W24:W25)</f>
        <v>35.583333333333336</v>
      </c>
    </row>
    <row r="16" spans="2:11" x14ac:dyDescent="0.3">
      <c r="B16" s="42"/>
      <c r="C16" s="23"/>
      <c r="D16" s="23"/>
      <c r="E16" s="23"/>
      <c r="F16" s="23"/>
      <c r="G16" s="23"/>
      <c r="H16" s="43"/>
    </row>
    <row r="17" spans="2:8" x14ac:dyDescent="0.3">
      <c r="B17" s="99"/>
      <c r="C17" s="101"/>
      <c r="D17" s="101"/>
      <c r="E17" s="101"/>
      <c r="F17" s="101"/>
      <c r="G17" s="101"/>
      <c r="H17" s="102"/>
    </row>
    <row r="18" spans="2:8" x14ac:dyDescent="0.3">
      <c r="B18" s="96" t="s">
        <v>447</v>
      </c>
      <c r="C18" s="212">
        <f>SUMPRODUCT($C$6:$C$8,C13:C15)</f>
        <v>2148563.8022987479</v>
      </c>
      <c r="D18" s="212">
        <f t="shared" ref="D18:G18" si="0">SUMPRODUCT($C$6:$C$8,D13:D15)</f>
        <v>173273297.63342166</v>
      </c>
      <c r="E18" s="212">
        <f t="shared" si="0"/>
        <v>25052458.581720985</v>
      </c>
      <c r="F18" s="212">
        <f t="shared" si="0"/>
        <v>3226441.9800855783</v>
      </c>
      <c r="G18" s="212">
        <f t="shared" si="0"/>
        <v>655025.72833336156</v>
      </c>
      <c r="H18" s="213">
        <f>SUMPRODUCT($C$6:$C$8,H13:H15)</f>
        <v>573396.02691643557</v>
      </c>
    </row>
  </sheetData>
  <pageMargins left="0.7" right="0.7" top="0.75" bottom="0.75" header="0.3" footer="0.3"/>
  <pageSetup scale="66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3"/>
  <sheetViews>
    <sheetView zoomScale="85" zoomScaleNormal="85" workbookViewId="0">
      <selection activeCell="I2" sqref="I2"/>
    </sheetView>
  </sheetViews>
  <sheetFormatPr defaultRowHeight="14.4" x14ac:dyDescent="0.3"/>
  <cols>
    <col min="1" max="1" width="5" style="109" customWidth="1"/>
    <col min="2" max="2" width="4.6640625" bestFit="1" customWidth="1"/>
    <col min="3" max="3" width="17.6640625" bestFit="1" customWidth="1"/>
    <col min="4" max="4" width="14.5546875" bestFit="1" customWidth="1"/>
    <col min="5" max="5" width="10.6640625" customWidth="1"/>
    <col min="6" max="7" width="14.6640625" style="107" customWidth="1"/>
    <col min="8" max="8" width="11" style="107" customWidth="1"/>
    <col min="9" max="10" width="14.6640625" style="107" customWidth="1"/>
    <col min="11" max="11" width="13.44140625" customWidth="1"/>
    <col min="13" max="13" width="11.5546875" bestFit="1" customWidth="1"/>
    <col min="15" max="15" width="16.109375" customWidth="1"/>
    <col min="16" max="16" width="21.33203125" customWidth="1"/>
    <col min="17" max="17" width="14.33203125" bestFit="1" customWidth="1"/>
    <col min="21" max="21" width="11.5546875" bestFit="1" customWidth="1"/>
    <col min="22" max="22" width="9.88671875" bestFit="1" customWidth="1"/>
    <col min="23" max="23" width="9.6640625" bestFit="1" customWidth="1"/>
    <col min="24" max="25" width="10.88671875" bestFit="1" customWidth="1"/>
    <col min="26" max="26" width="10.88671875" customWidth="1"/>
    <col min="27" max="27" width="10.88671875" bestFit="1" customWidth="1"/>
    <col min="28" max="28" width="10.88671875" customWidth="1"/>
    <col min="29" max="29" width="9.5546875" bestFit="1" customWidth="1"/>
    <col min="30" max="30" width="10.88671875" bestFit="1" customWidth="1"/>
    <col min="31" max="32" width="10.5546875" bestFit="1" customWidth="1"/>
    <col min="33" max="35" width="12.33203125" bestFit="1" customWidth="1"/>
  </cols>
  <sheetData>
    <row r="1" spans="2:31" x14ac:dyDescent="0.3">
      <c r="B1" t="s">
        <v>588</v>
      </c>
    </row>
    <row r="2" spans="2:31" x14ac:dyDescent="0.3">
      <c r="B2" t="s">
        <v>615</v>
      </c>
      <c r="P2" s="95" t="s">
        <v>614</v>
      </c>
      <c r="Q2" s="697">
        <v>10.5</v>
      </c>
    </row>
    <row r="6" spans="2:31" ht="32.4" x14ac:dyDescent="0.45">
      <c r="B6" s="110" t="s">
        <v>298</v>
      </c>
      <c r="C6" s="111" t="s">
        <v>598</v>
      </c>
      <c r="D6" s="111" t="s">
        <v>599</v>
      </c>
      <c r="E6" s="112" t="s">
        <v>601</v>
      </c>
      <c r="F6" s="112" t="s">
        <v>590</v>
      </c>
      <c r="G6" s="112" t="s">
        <v>591</v>
      </c>
      <c r="H6" s="112" t="s">
        <v>589</v>
      </c>
      <c r="I6" s="112" t="s">
        <v>616</v>
      </c>
      <c r="J6" s="112" t="s">
        <v>592</v>
      </c>
      <c r="K6" s="112" t="s">
        <v>2398</v>
      </c>
      <c r="N6" t="s">
        <v>598</v>
      </c>
      <c r="O6" s="108" t="s">
        <v>603</v>
      </c>
      <c r="P6" s="108" t="s">
        <v>604</v>
      </c>
      <c r="Q6" t="s">
        <v>605</v>
      </c>
    </row>
    <row r="7" spans="2:31" x14ac:dyDescent="0.3">
      <c r="C7" s="115" t="s">
        <v>593</v>
      </c>
      <c r="D7" s="84" t="s">
        <v>594</v>
      </c>
      <c r="E7" s="108" t="s">
        <v>595</v>
      </c>
      <c r="F7" s="108" t="s">
        <v>596</v>
      </c>
      <c r="G7" s="108" t="s">
        <v>597</v>
      </c>
      <c r="H7" s="108" t="s">
        <v>600</v>
      </c>
      <c r="I7" s="108" t="str">
        <f>"(g)="&amp;F7&amp;"+"&amp;G7&amp;"*"&amp;H7</f>
        <v>(g)=(d)+(e)*(f)</v>
      </c>
      <c r="J7" s="108" t="str">
        <f>"(h)="&amp;E7&amp;"*"&amp;LEFT(I7,3)</f>
        <v>(h)=(c)*(g)</v>
      </c>
      <c r="O7" s="84" t="s">
        <v>617</v>
      </c>
      <c r="P7" s="84" t="s">
        <v>618</v>
      </c>
      <c r="Q7" s="84" t="s">
        <v>606</v>
      </c>
      <c r="U7" s="411" t="s">
        <v>2348</v>
      </c>
      <c r="V7" s="195"/>
      <c r="W7" s="195"/>
      <c r="X7" s="195"/>
      <c r="Y7" s="195"/>
      <c r="Z7" s="195"/>
      <c r="AA7" s="195"/>
      <c r="AB7" s="195"/>
      <c r="AC7" s="195"/>
      <c r="AD7" s="196"/>
    </row>
    <row r="8" spans="2:31" x14ac:dyDescent="0.3">
      <c r="B8" s="84" t="str">
        <f>IF(ISBLANK(C8),"",MAX($B$6:B7)+1)</f>
        <v/>
      </c>
      <c r="I8" s="113"/>
      <c r="J8" s="114"/>
      <c r="U8" s="99"/>
      <c r="V8" s="101"/>
      <c r="W8" s="101" t="s">
        <v>1976</v>
      </c>
      <c r="X8" s="101" t="s">
        <v>1985</v>
      </c>
      <c r="Y8" s="101" t="s">
        <v>1982</v>
      </c>
      <c r="Z8" s="101"/>
      <c r="AA8" s="101" t="s">
        <v>1986</v>
      </c>
      <c r="AB8" s="101"/>
      <c r="AC8" s="101" t="s">
        <v>2349</v>
      </c>
      <c r="AD8" s="102" t="s">
        <v>1977</v>
      </c>
    </row>
    <row r="9" spans="2:31" x14ac:dyDescent="0.3">
      <c r="B9" s="84">
        <f>IF(ISBLANK(C9),"",MAX($B$6:B8)+1)</f>
        <v>1</v>
      </c>
      <c r="C9" s="8" t="s">
        <v>458</v>
      </c>
      <c r="H9" s="108"/>
      <c r="I9" s="113"/>
      <c r="J9" s="114"/>
      <c r="M9" t="s">
        <v>525</v>
      </c>
      <c r="N9" s="84" t="s">
        <v>607</v>
      </c>
      <c r="O9" s="118">
        <v>0.27785328404364079</v>
      </c>
      <c r="P9" s="118">
        <v>4.5966976725326514E-2</v>
      </c>
      <c r="Q9" s="84">
        <v>59</v>
      </c>
      <c r="U9" s="99"/>
      <c r="V9" s="101"/>
      <c r="W9" s="101"/>
      <c r="X9" s="101"/>
      <c r="Y9" s="101"/>
      <c r="Z9" s="101"/>
      <c r="AA9" s="101"/>
      <c r="AB9" s="101"/>
      <c r="AC9" s="101"/>
      <c r="AD9" s="102"/>
    </row>
    <row r="10" spans="2:31" x14ac:dyDescent="0.3">
      <c r="B10" s="84">
        <f>IF(ISBLANK(C10),"",MAX($B$6:B9)+1)</f>
        <v>2</v>
      </c>
      <c r="C10" s="109" t="s">
        <v>459</v>
      </c>
      <c r="D10" s="84" t="s">
        <v>433</v>
      </c>
      <c r="E10" s="60">
        <f>Customers!O6</f>
        <v>860.33333333333337</v>
      </c>
      <c r="F10" s="119">
        <f t="shared" ref="F10:G16" si="0">O9</f>
        <v>0.27785328404364079</v>
      </c>
      <c r="G10" s="119">
        <f t="shared" si="0"/>
        <v>4.5966976725326514E-2</v>
      </c>
      <c r="H10" s="108">
        <f>Q9-$Q$2</f>
        <v>48.5</v>
      </c>
      <c r="I10" s="113">
        <f>F10+G10*H10</f>
        <v>2.5072516552219768</v>
      </c>
      <c r="J10" s="114">
        <f>E10*I10</f>
        <v>2157.0721740426407</v>
      </c>
      <c r="M10" t="s">
        <v>525</v>
      </c>
      <c r="N10" s="84" t="s">
        <v>608</v>
      </c>
      <c r="O10" s="118">
        <v>0.59504095836671544</v>
      </c>
      <c r="P10" s="118">
        <v>0.16327115900844555</v>
      </c>
      <c r="Q10" s="84">
        <v>59</v>
      </c>
      <c r="U10" s="99" t="s">
        <v>2350</v>
      </c>
      <c r="V10" s="101">
        <v>20180219</v>
      </c>
      <c r="W10" s="101">
        <v>5265</v>
      </c>
      <c r="X10" s="101">
        <v>6859</v>
      </c>
      <c r="Y10" s="450">
        <v>7782.7928571428574</v>
      </c>
      <c r="Z10" s="450"/>
      <c r="AA10" s="101">
        <v>11318</v>
      </c>
      <c r="AB10" s="101"/>
      <c r="AC10" s="454">
        <v>2032.6214285714286</v>
      </c>
      <c r="AD10" s="455">
        <v>3676.6892857142857</v>
      </c>
    </row>
    <row r="11" spans="2:31" x14ac:dyDescent="0.3">
      <c r="B11" s="84">
        <f>IF(ISBLANK(C11),"",MAX($B$6:B10)+1)</f>
        <v>3</v>
      </c>
      <c r="C11" s="109" t="s">
        <v>460</v>
      </c>
      <c r="D11" s="84" t="s">
        <v>434</v>
      </c>
      <c r="E11" s="60">
        <f>Customers!O7</f>
        <v>74643.833333333328</v>
      </c>
      <c r="F11" s="119">
        <f t="shared" si="0"/>
        <v>0.59504095836671544</v>
      </c>
      <c r="G11" s="119">
        <f t="shared" si="0"/>
        <v>0.16327115900844555</v>
      </c>
      <c r="H11" s="108">
        <f t="shared" ref="H11:H16" si="1">Q10-$Q$2</f>
        <v>48.5</v>
      </c>
      <c r="I11" s="113">
        <f t="shared" ref="I11:I17" si="2">F11+G11*H11</f>
        <v>8.5136921702763253</v>
      </c>
      <c r="J11" s="114">
        <f t="shared" ref="J11:J16" si="3">E11*I11</f>
        <v>635494.61940941098</v>
      </c>
      <c r="M11" t="s">
        <v>526</v>
      </c>
      <c r="N11" s="84" t="s">
        <v>609</v>
      </c>
      <c r="O11" s="118">
        <v>1.2494086117286465</v>
      </c>
      <c r="P11" s="118">
        <v>0.28957355205991003</v>
      </c>
      <c r="Q11" s="84">
        <v>58</v>
      </c>
      <c r="U11" s="99" t="s">
        <v>2351</v>
      </c>
      <c r="V11" s="412">
        <v>20180220</v>
      </c>
      <c r="W11" s="101">
        <v>5377</v>
      </c>
      <c r="X11" s="101">
        <v>6954</v>
      </c>
      <c r="Y11" s="450">
        <v>9117.5928571428594</v>
      </c>
      <c r="Z11" s="450"/>
      <c r="AA11" s="101">
        <v>11354</v>
      </c>
      <c r="AB11" s="101"/>
      <c r="AC11" s="454">
        <v>2391.4214285714288</v>
      </c>
      <c r="AD11" s="455">
        <v>3952.8892857142855</v>
      </c>
      <c r="AE11" s="456"/>
    </row>
    <row r="12" spans="2:31" x14ac:dyDescent="0.3">
      <c r="B12" s="84">
        <f>IF(ISBLANK(C12),"",MAX($B$6:B11)+1)</f>
        <v>4</v>
      </c>
      <c r="C12" s="109" t="s">
        <v>461</v>
      </c>
      <c r="D12" s="84" t="s">
        <v>433</v>
      </c>
      <c r="E12" s="60">
        <f>Customers!O8</f>
        <v>36.916666666666664</v>
      </c>
      <c r="F12" s="119">
        <f t="shared" si="0"/>
        <v>1.2494086117286465</v>
      </c>
      <c r="G12" s="119">
        <f t="shared" si="0"/>
        <v>0.28957355205991003</v>
      </c>
      <c r="H12" s="108">
        <f t="shared" si="1"/>
        <v>47.5</v>
      </c>
      <c r="I12" s="113">
        <f t="shared" si="2"/>
        <v>15.004152334574373</v>
      </c>
      <c r="J12" s="114">
        <f t="shared" si="3"/>
        <v>553.90329035137052</v>
      </c>
      <c r="M12" t="s">
        <v>526</v>
      </c>
      <c r="N12" s="84" t="s">
        <v>610</v>
      </c>
      <c r="O12" s="118">
        <v>3.2412598657665481</v>
      </c>
      <c r="P12" s="118">
        <v>0.63045918685872515</v>
      </c>
      <c r="Q12" s="84">
        <v>58</v>
      </c>
      <c r="U12" s="99" t="s">
        <v>2352</v>
      </c>
      <c r="V12" s="101">
        <v>20180221</v>
      </c>
      <c r="W12" s="101">
        <v>5584</v>
      </c>
      <c r="X12" s="101">
        <v>7185</v>
      </c>
      <c r="Y12" s="450">
        <v>7865.6928571428571</v>
      </c>
      <c r="Z12" s="450"/>
      <c r="AA12" s="101">
        <v>11560</v>
      </c>
      <c r="AB12" s="101"/>
      <c r="AC12" s="454">
        <v>2465.221428571429</v>
      </c>
      <c r="AD12" s="455">
        <v>3983.0892857142862</v>
      </c>
      <c r="AE12" s="456"/>
    </row>
    <row r="13" spans="2:31" x14ac:dyDescent="0.3">
      <c r="B13" s="84">
        <f>IF(ISBLANK(C13),"",MAX($B$6:B12)+1)</f>
        <v>5</v>
      </c>
      <c r="C13" s="109" t="s">
        <v>462</v>
      </c>
      <c r="D13" s="84" t="s">
        <v>435</v>
      </c>
      <c r="E13" s="60">
        <f>Customers!O9</f>
        <v>6007.083333333333</v>
      </c>
      <c r="F13" s="119">
        <f t="shared" si="0"/>
        <v>3.2412598657665481</v>
      </c>
      <c r="G13" s="119">
        <f t="shared" si="0"/>
        <v>0.63045918685872515</v>
      </c>
      <c r="H13" s="108">
        <f t="shared" si="1"/>
        <v>47.5</v>
      </c>
      <c r="I13" s="113">
        <f t="shared" si="2"/>
        <v>33.188071241555996</v>
      </c>
      <c r="J13" s="114">
        <f t="shared" si="3"/>
        <v>199363.50962063033</v>
      </c>
      <c r="M13" t="s">
        <v>526</v>
      </c>
      <c r="N13" s="84" t="s">
        <v>611</v>
      </c>
      <c r="O13" s="118">
        <v>0.64008150475975545</v>
      </c>
      <c r="P13" s="118">
        <v>0.1728519144947808</v>
      </c>
      <c r="Q13" s="84">
        <v>58</v>
      </c>
      <c r="U13" s="99"/>
      <c r="V13" s="101"/>
      <c r="W13" s="101"/>
      <c r="X13" s="101"/>
      <c r="Y13" s="101"/>
      <c r="Z13" s="101"/>
      <c r="AA13" s="101"/>
      <c r="AB13" s="101"/>
      <c r="AC13" s="101"/>
      <c r="AD13" s="102"/>
    </row>
    <row r="14" spans="2:31" x14ac:dyDescent="0.3">
      <c r="B14" s="84">
        <f>IF(ISBLANK(C14),"",MAX($B$6:B13)+1)</f>
        <v>6</v>
      </c>
      <c r="C14" s="109" t="s">
        <v>463</v>
      </c>
      <c r="D14" s="84" t="s">
        <v>436</v>
      </c>
      <c r="E14" s="60">
        <f>Customers!O10</f>
        <v>786.5</v>
      </c>
      <c r="F14" s="119">
        <f t="shared" si="0"/>
        <v>0.64008150475975545</v>
      </c>
      <c r="G14" s="119">
        <f t="shared" si="0"/>
        <v>0.1728519144947808</v>
      </c>
      <c r="H14" s="108">
        <f t="shared" si="1"/>
        <v>47.5</v>
      </c>
      <c r="I14" s="113">
        <f t="shared" si="2"/>
        <v>8.8505474432618438</v>
      </c>
      <c r="J14" s="114">
        <f t="shared" si="3"/>
        <v>6960.9555641254401</v>
      </c>
      <c r="M14" t="s">
        <v>526</v>
      </c>
      <c r="N14" s="127" t="s">
        <v>612</v>
      </c>
      <c r="O14" s="118">
        <v>68.027664205304106</v>
      </c>
      <c r="P14" s="118">
        <v>6.6360296820820226</v>
      </c>
      <c r="Q14" s="84">
        <v>58</v>
      </c>
      <c r="U14" s="99" t="s">
        <v>2353</v>
      </c>
      <c r="V14" s="189"/>
      <c r="W14" s="450">
        <v>5408.666666666667</v>
      </c>
      <c r="X14" s="417">
        <v>6999.333333333333</v>
      </c>
      <c r="Y14" s="417">
        <v>8255.359523809524</v>
      </c>
      <c r="Z14" s="417"/>
      <c r="AA14" s="417">
        <v>11410.666666666666</v>
      </c>
      <c r="AB14" s="417"/>
      <c r="AC14" s="417">
        <v>2296.4214285714288</v>
      </c>
      <c r="AD14" s="418">
        <v>3870.8892857142855</v>
      </c>
    </row>
    <row r="15" spans="2:31" x14ac:dyDescent="0.3">
      <c r="B15" s="84">
        <f>IF(ISBLANK(C15),"",MAX($B$6:B14)+1)</f>
        <v>7</v>
      </c>
      <c r="C15" s="109" t="s">
        <v>464</v>
      </c>
      <c r="D15" s="84" t="s">
        <v>437</v>
      </c>
      <c r="E15" s="60">
        <f>Customers!O11</f>
        <v>88.333333333333329</v>
      </c>
      <c r="F15" s="119">
        <f t="shared" si="0"/>
        <v>68.027664205304106</v>
      </c>
      <c r="G15" s="119">
        <f t="shared" si="0"/>
        <v>6.6360296820820226</v>
      </c>
      <c r="H15" s="108">
        <f t="shared" si="1"/>
        <v>47.5</v>
      </c>
      <c r="I15" s="113">
        <f t="shared" si="2"/>
        <v>383.2390741042002</v>
      </c>
      <c r="J15" s="114">
        <f t="shared" si="3"/>
        <v>33852.784879204351</v>
      </c>
      <c r="M15" t="s">
        <v>526</v>
      </c>
      <c r="N15" s="127" t="s">
        <v>613</v>
      </c>
      <c r="O15" s="118">
        <v>208.05892068296407</v>
      </c>
      <c r="P15" s="118">
        <v>21.728284006375564</v>
      </c>
      <c r="Q15" s="84">
        <v>58</v>
      </c>
      <c r="U15" s="99" t="s">
        <v>2355</v>
      </c>
      <c r="V15" s="101"/>
      <c r="W15" s="159">
        <v>968999</v>
      </c>
      <c r="X15" s="414">
        <v>2057969</v>
      </c>
      <c r="Y15" s="414">
        <v>1789923.3316666652</v>
      </c>
      <c r="Z15" s="414"/>
      <c r="AA15" s="414">
        <v>2485228</v>
      </c>
      <c r="AB15" s="414"/>
      <c r="AC15" s="414">
        <v>457172.03333333321</v>
      </c>
      <c r="AD15" s="415">
        <v>697711.17185483768</v>
      </c>
    </row>
    <row r="16" spans="2:31" x14ac:dyDescent="0.3">
      <c r="B16" s="84">
        <f>IF(ISBLANK(C16),"",MAX($B$6:B15)+1)</f>
        <v>8</v>
      </c>
      <c r="C16" s="109" t="s">
        <v>465</v>
      </c>
      <c r="D16" s="84" t="s">
        <v>438</v>
      </c>
      <c r="E16" s="60">
        <f>Customers!O12</f>
        <v>5.75</v>
      </c>
      <c r="F16" s="119">
        <f t="shared" si="0"/>
        <v>208.05892068296407</v>
      </c>
      <c r="G16" s="119">
        <f t="shared" si="0"/>
        <v>21.728284006375564</v>
      </c>
      <c r="H16" s="108">
        <f t="shared" si="1"/>
        <v>47.5</v>
      </c>
      <c r="I16" s="113">
        <f t="shared" si="2"/>
        <v>1240.1524109858033</v>
      </c>
      <c r="J16" s="114">
        <f t="shared" si="3"/>
        <v>7130.8763631683687</v>
      </c>
      <c r="N16" s="7"/>
      <c r="U16" s="99" t="s">
        <v>2356</v>
      </c>
      <c r="V16" s="101"/>
      <c r="W16" s="413">
        <v>0.49084033911412256</v>
      </c>
      <c r="X16" s="452">
        <v>0.80554403746214576</v>
      </c>
      <c r="Y16" s="452">
        <v>0.59402616260010255</v>
      </c>
      <c r="Z16" s="452"/>
      <c r="AA16" s="452">
        <v>0.59670867921387349</v>
      </c>
      <c r="AB16" s="452"/>
      <c r="AC16" s="452">
        <v>0.5454252007658017</v>
      </c>
      <c r="AD16" s="453">
        <v>0.49382385184488953</v>
      </c>
    </row>
    <row r="17" spans="2:32" x14ac:dyDescent="0.3">
      <c r="B17" s="84">
        <f>IF(ISBLANK(C17),"",MAX($B$6:B16)+1)</f>
        <v>9</v>
      </c>
      <c r="C17" s="109" t="s">
        <v>466</v>
      </c>
      <c r="D17" s="84" t="s">
        <v>435</v>
      </c>
      <c r="E17" s="60">
        <f>Customers!O13</f>
        <v>27.333333333333332</v>
      </c>
      <c r="F17" s="119"/>
      <c r="G17" s="119"/>
      <c r="H17" s="108"/>
      <c r="I17" s="113">
        <f t="shared" si="2"/>
        <v>0</v>
      </c>
      <c r="J17" s="416">
        <f>AC14</f>
        <v>2296.4214285714288</v>
      </c>
      <c r="N17" s="7"/>
      <c r="U17" s="99"/>
      <c r="V17" s="101"/>
      <c r="W17" s="101"/>
      <c r="X17" s="101"/>
      <c r="Y17" s="101"/>
      <c r="Z17" s="101"/>
      <c r="AA17" s="101"/>
      <c r="AB17" s="101"/>
      <c r="AC17" s="101"/>
      <c r="AD17" s="102"/>
    </row>
    <row r="18" spans="2:32" x14ac:dyDescent="0.3">
      <c r="B18" s="84">
        <f>IF(ISBLANK(C18),"",MAX($B$6:B17)+1)</f>
        <v>10</v>
      </c>
      <c r="C18" s="109" t="s">
        <v>467</v>
      </c>
      <c r="D18" s="84" t="s">
        <v>437</v>
      </c>
      <c r="E18" s="60">
        <f>Customers!O14</f>
        <v>14.916666666666666</v>
      </c>
      <c r="F18" s="119"/>
      <c r="G18" s="119"/>
      <c r="H18" s="108"/>
      <c r="I18" s="113">
        <f t="shared" ref="I18:I29" si="4">F18+G18*H18</f>
        <v>0</v>
      </c>
      <c r="J18" s="416">
        <f>AD14</f>
        <v>3870.8892857142855</v>
      </c>
      <c r="K18" s="416">
        <f>AD31</f>
        <v>2276.319047619048</v>
      </c>
      <c r="U18" s="99"/>
      <c r="V18" s="101"/>
      <c r="W18" s="101"/>
      <c r="X18" s="101"/>
      <c r="Y18" s="101"/>
      <c r="Z18" s="101"/>
      <c r="AA18" s="101"/>
      <c r="AB18" s="101"/>
      <c r="AC18" s="101"/>
      <c r="AD18" s="102"/>
    </row>
    <row r="19" spans="2:32" x14ac:dyDescent="0.3">
      <c r="B19" s="84">
        <f>IF(ISBLANK(C19),"",MAX($B$6:B18)+1)</f>
        <v>11</v>
      </c>
      <c r="C19" s="109" t="s">
        <v>468</v>
      </c>
      <c r="D19" s="84" t="s">
        <v>438</v>
      </c>
      <c r="E19" s="60">
        <f>Customers!O15</f>
        <v>11.833333333333334</v>
      </c>
      <c r="F19" s="119"/>
      <c r="G19" s="119"/>
      <c r="H19" s="108"/>
      <c r="I19" s="113">
        <f t="shared" si="4"/>
        <v>0</v>
      </c>
      <c r="J19" s="416">
        <f>Y14</f>
        <v>8255.359523809524</v>
      </c>
      <c r="K19" s="416">
        <f>Y31</f>
        <v>4916.8999999999996</v>
      </c>
      <c r="U19" s="103"/>
      <c r="V19" s="202"/>
      <c r="W19" s="202"/>
      <c r="X19" s="202"/>
      <c r="Y19" s="202"/>
      <c r="Z19" s="202"/>
      <c r="AA19" s="202"/>
      <c r="AB19" s="202"/>
      <c r="AC19" s="202"/>
      <c r="AD19" s="203"/>
    </row>
    <row r="20" spans="2:32" x14ac:dyDescent="0.3">
      <c r="B20" s="84">
        <f>IF(ISBLANK(C20),"",MAX($B$6:B19)+1)</f>
        <v>12</v>
      </c>
      <c r="C20" s="109" t="s">
        <v>469</v>
      </c>
      <c r="D20" s="84" t="s">
        <v>437</v>
      </c>
      <c r="E20" s="60">
        <f>Customers!O16</f>
        <v>0</v>
      </c>
      <c r="F20" s="119">
        <v>0</v>
      </c>
      <c r="G20" s="119">
        <v>0</v>
      </c>
      <c r="H20" s="108"/>
      <c r="I20" s="113">
        <f t="shared" si="4"/>
        <v>0</v>
      </c>
      <c r="J20" s="114">
        <f t="shared" ref="J20:J29" si="5">E20*I20</f>
        <v>0</v>
      </c>
    </row>
    <row r="21" spans="2:32" x14ac:dyDescent="0.3">
      <c r="B21" s="84">
        <f>IF(ISBLANK(C21),"",MAX($B$6:B20)+1)</f>
        <v>13</v>
      </c>
      <c r="C21" s="109" t="s">
        <v>470</v>
      </c>
      <c r="D21" s="84" t="s">
        <v>438</v>
      </c>
      <c r="E21" s="60">
        <f>Customers!O17</f>
        <v>5</v>
      </c>
      <c r="F21" s="119">
        <v>0</v>
      </c>
      <c r="G21" s="119">
        <v>0</v>
      </c>
      <c r="H21" s="108"/>
      <c r="I21" s="113">
        <f t="shared" si="4"/>
        <v>0</v>
      </c>
      <c r="J21" s="114">
        <f t="shared" si="5"/>
        <v>0</v>
      </c>
    </row>
    <row r="22" spans="2:32" x14ac:dyDescent="0.3">
      <c r="B22" s="84" t="str">
        <f>IF(ISBLANK(C22),"",MAX($B$6:B21)+1)</f>
        <v/>
      </c>
      <c r="C22" s="109"/>
      <c r="D22" s="84"/>
      <c r="E22" s="59"/>
      <c r="H22" s="108"/>
      <c r="I22" s="113"/>
      <c r="J22" s="113"/>
      <c r="K22" s="113"/>
    </row>
    <row r="23" spans="2:32" x14ac:dyDescent="0.3">
      <c r="B23" s="84">
        <f>IF(ISBLANK(C23),"",MAX($B$6:B22)+1)</f>
        <v>14</v>
      </c>
      <c r="C23" s="117" t="s">
        <v>602</v>
      </c>
      <c r="D23" s="84"/>
      <c r="E23" s="59"/>
      <c r="H23" s="108"/>
      <c r="I23" s="113"/>
      <c r="J23" s="114"/>
      <c r="AC23" s="5"/>
    </row>
    <row r="24" spans="2:32" x14ac:dyDescent="0.3">
      <c r="B24" s="84">
        <f>IF(ISBLANK(C24),"",MAX($B$6:B23)+1)</f>
        <v>15</v>
      </c>
      <c r="C24" s="109" t="s">
        <v>464</v>
      </c>
      <c r="D24" s="84" t="s">
        <v>437</v>
      </c>
      <c r="E24" s="60">
        <f>Customers!O20</f>
        <v>16.833333333333332</v>
      </c>
      <c r="H24" s="108"/>
      <c r="I24" s="113">
        <f t="shared" ref="I24:I25" si="6">F24+G24*H24</f>
        <v>0</v>
      </c>
      <c r="J24" s="416">
        <f>W14</f>
        <v>5408.666666666667</v>
      </c>
      <c r="K24" s="416">
        <f>W31</f>
        <v>1346.3333333333333</v>
      </c>
      <c r="U24" s="411" t="s">
        <v>2397</v>
      </c>
      <c r="V24" s="195"/>
      <c r="W24" s="195"/>
      <c r="X24" s="195"/>
      <c r="Y24" s="195"/>
      <c r="Z24" s="195"/>
      <c r="AA24" s="195"/>
      <c r="AB24" s="195"/>
      <c r="AC24" s="463"/>
      <c r="AD24" s="196"/>
      <c r="AE24" s="101"/>
      <c r="AF24" s="101"/>
    </row>
    <row r="25" spans="2:32" x14ac:dyDescent="0.3">
      <c r="B25" s="84">
        <f>IF(ISBLANK(C25),"",MAX($B$6:B24)+1)</f>
        <v>16</v>
      </c>
      <c r="C25" s="109" t="s">
        <v>465</v>
      </c>
      <c r="D25" s="84" t="s">
        <v>438</v>
      </c>
      <c r="E25" s="60">
        <f>Customers!O21</f>
        <v>4</v>
      </c>
      <c r="H25" s="108"/>
      <c r="I25" s="113">
        <f t="shared" si="6"/>
        <v>0</v>
      </c>
      <c r="J25" s="416">
        <f>X14</f>
        <v>6999.333333333333</v>
      </c>
      <c r="K25" s="416">
        <f>X31</f>
        <v>5698.333333333333</v>
      </c>
      <c r="U25" s="99"/>
      <c r="V25" s="101"/>
      <c r="W25" s="101" t="s">
        <v>1976</v>
      </c>
      <c r="X25" s="101" t="s">
        <v>1985</v>
      </c>
      <c r="Y25" s="101" t="s">
        <v>1982</v>
      </c>
      <c r="Z25" s="101" t="s">
        <v>1984</v>
      </c>
      <c r="AA25" s="101" t="s">
        <v>1986</v>
      </c>
      <c r="AB25" s="101" t="s">
        <v>1988</v>
      </c>
      <c r="AC25" s="464"/>
      <c r="AD25" s="102" t="s">
        <v>1977</v>
      </c>
      <c r="AE25" s="101"/>
      <c r="AF25" s="101"/>
    </row>
    <row r="26" spans="2:32" x14ac:dyDescent="0.3">
      <c r="B26" s="84">
        <f>IF(ISBLANK(C26),"",MAX($B$6:B25)+1)</f>
        <v>17</v>
      </c>
      <c r="C26" s="109" t="s">
        <v>467</v>
      </c>
      <c r="D26" s="84" t="s">
        <v>437</v>
      </c>
      <c r="E26" s="60">
        <f>Customers!O22</f>
        <v>0</v>
      </c>
      <c r="H26" s="108"/>
      <c r="I26" s="113">
        <f t="shared" si="4"/>
        <v>0</v>
      </c>
      <c r="J26" s="416"/>
      <c r="K26" s="416"/>
      <c r="U26" s="99"/>
      <c r="V26" s="101"/>
      <c r="W26" s="101"/>
      <c r="X26" s="101"/>
      <c r="Y26" s="101"/>
      <c r="Z26" s="101"/>
      <c r="AA26" s="101"/>
      <c r="AB26" s="101"/>
      <c r="AC26" s="464"/>
      <c r="AD26" s="102"/>
      <c r="AE26" s="101"/>
      <c r="AF26" s="101"/>
    </row>
    <row r="27" spans="2:32" x14ac:dyDescent="0.3">
      <c r="B27" s="84">
        <f>IF(ISBLANK(C27),"",MAX($B$6:B26)+1)</f>
        <v>18</v>
      </c>
      <c r="C27" s="109" t="s">
        <v>468</v>
      </c>
      <c r="D27" s="84" t="s">
        <v>438</v>
      </c>
      <c r="E27" s="60">
        <f>Customers!O23</f>
        <v>7.833333333333333</v>
      </c>
      <c r="H27" s="108"/>
      <c r="I27" s="113">
        <f t="shared" si="4"/>
        <v>0</v>
      </c>
      <c r="J27" s="416">
        <f>AA14</f>
        <v>11410.666666666666</v>
      </c>
      <c r="K27" s="416">
        <f>AA31</f>
        <v>9472</v>
      </c>
      <c r="U27" s="99" t="s">
        <v>2350</v>
      </c>
      <c r="V27" s="101">
        <v>20180219</v>
      </c>
      <c r="W27" s="101">
        <v>1317</v>
      </c>
      <c r="X27" s="101">
        <v>5529</v>
      </c>
      <c r="Y27" s="101">
        <v>5389.7</v>
      </c>
      <c r="Z27" s="101">
        <v>9624</v>
      </c>
      <c r="AA27" s="101">
        <v>9624</v>
      </c>
      <c r="AB27" s="101">
        <v>7158</v>
      </c>
      <c r="AC27" s="465"/>
      <c r="AD27" s="451">
        <v>2234.1857142857143</v>
      </c>
      <c r="AE27" s="101"/>
      <c r="AF27" s="101"/>
    </row>
    <row r="28" spans="2:32" x14ac:dyDescent="0.3">
      <c r="B28" s="84">
        <f>IF(ISBLANK(C28),"",MAX($B$6:B27)+1)</f>
        <v>19</v>
      </c>
      <c r="C28" s="109" t="s">
        <v>470</v>
      </c>
      <c r="D28" s="84" t="s">
        <v>438</v>
      </c>
      <c r="E28" s="60">
        <f>Customers!O24</f>
        <v>10.916666666666666</v>
      </c>
      <c r="F28" s="119">
        <v>0</v>
      </c>
      <c r="G28" s="119">
        <v>0</v>
      </c>
      <c r="H28" s="108"/>
      <c r="I28" s="113">
        <f t="shared" si="4"/>
        <v>0</v>
      </c>
      <c r="J28" s="114">
        <f t="shared" si="5"/>
        <v>0</v>
      </c>
      <c r="U28" s="99" t="s">
        <v>2351</v>
      </c>
      <c r="V28" s="412">
        <v>20180220</v>
      </c>
      <c r="W28" s="101">
        <v>1360</v>
      </c>
      <c r="X28" s="101">
        <v>5634</v>
      </c>
      <c r="Y28" s="101">
        <v>4691.1000000000004</v>
      </c>
      <c r="Z28" s="101">
        <v>9410</v>
      </c>
      <c r="AA28" s="101">
        <v>9410</v>
      </c>
      <c r="AB28" s="101">
        <v>13749</v>
      </c>
      <c r="AC28" s="465"/>
      <c r="AD28" s="451">
        <v>2385.6857142857143</v>
      </c>
      <c r="AE28" s="101"/>
      <c r="AF28" s="101"/>
    </row>
    <row r="29" spans="2:32" x14ac:dyDescent="0.3">
      <c r="B29" s="84">
        <f>IF(ISBLANK(C29),"",MAX($B$6:B28)+1)</f>
        <v>20</v>
      </c>
      <c r="C29" s="109" t="s">
        <v>473</v>
      </c>
      <c r="D29" s="84" t="s">
        <v>440</v>
      </c>
      <c r="E29" s="60">
        <f>Customers!O25</f>
        <v>1</v>
      </c>
      <c r="I29" s="113">
        <f t="shared" si="4"/>
        <v>0</v>
      </c>
      <c r="J29" s="114">
        <f t="shared" si="5"/>
        <v>0</v>
      </c>
      <c r="U29" s="99" t="s">
        <v>2352</v>
      </c>
      <c r="V29" s="101">
        <v>20180221</v>
      </c>
      <c r="W29" s="101">
        <v>1362</v>
      </c>
      <c r="X29" s="101">
        <v>5932</v>
      </c>
      <c r="Y29" s="101">
        <v>4669.8999999999996</v>
      </c>
      <c r="Z29" s="101">
        <v>9382</v>
      </c>
      <c r="AA29" s="101">
        <v>9382</v>
      </c>
      <c r="AB29" s="101">
        <v>14928</v>
      </c>
      <c r="AC29" s="465"/>
      <c r="AD29" s="451">
        <v>2209.0857142857144</v>
      </c>
      <c r="AE29" s="101"/>
      <c r="AF29" s="101"/>
    </row>
    <row r="30" spans="2:32" x14ac:dyDescent="0.3">
      <c r="B30" s="84" t="str">
        <f>IF(ISBLANK(C30),"",MAX($B$6:B29)+1)</f>
        <v/>
      </c>
      <c r="E30" s="116"/>
      <c r="I30" s="113"/>
      <c r="J30" s="114"/>
      <c r="U30" s="99"/>
      <c r="V30" s="101"/>
      <c r="W30" s="101"/>
      <c r="X30" s="101"/>
      <c r="Y30" s="101"/>
      <c r="Z30" s="101"/>
      <c r="AA30" s="101"/>
      <c r="AB30" s="101"/>
      <c r="AC30" s="465"/>
      <c r="AD30" s="451"/>
      <c r="AE30" s="101"/>
      <c r="AF30" s="101"/>
    </row>
    <row r="31" spans="2:32" x14ac:dyDescent="0.3">
      <c r="B31" s="84">
        <f>IF(ISBLANK(C31),"",MAX($B$6:B30)+1)</f>
        <v>21</v>
      </c>
      <c r="C31" s="117" t="s">
        <v>620</v>
      </c>
      <c r="E31" s="116"/>
      <c r="I31" s="113"/>
      <c r="J31" s="114">
        <f>SUM(J10:J29)</f>
        <v>923755.05820569536</v>
      </c>
      <c r="U31" s="99" t="s">
        <v>2353</v>
      </c>
      <c r="V31" s="189"/>
      <c r="W31" s="158">
        <v>1346.3333333333333</v>
      </c>
      <c r="X31" s="461">
        <v>5698.333333333333</v>
      </c>
      <c r="Y31" s="461">
        <v>4916.8999999999996</v>
      </c>
      <c r="Z31" s="461">
        <v>9472</v>
      </c>
      <c r="AA31" s="461">
        <v>9472</v>
      </c>
      <c r="AB31" s="461">
        <v>11945</v>
      </c>
      <c r="AC31" s="466"/>
      <c r="AD31" s="462">
        <v>2276.319047619048</v>
      </c>
      <c r="AE31" s="417"/>
      <c r="AF31" s="417"/>
    </row>
    <row r="32" spans="2:32" x14ac:dyDescent="0.3">
      <c r="B32" s="84" t="str">
        <f>IF(ISBLANK(C32),"",MAX($B$6:B31)+1)</f>
        <v/>
      </c>
      <c r="E32" s="116"/>
      <c r="I32" s="113"/>
      <c r="J32" s="114"/>
      <c r="U32" s="99" t="s">
        <v>2355</v>
      </c>
      <c r="V32" s="101"/>
      <c r="W32" s="159">
        <v>208512</v>
      </c>
      <c r="X32" s="414">
        <v>1712612</v>
      </c>
      <c r="Y32" s="414">
        <v>1068163.5</v>
      </c>
      <c r="Z32" s="414">
        <v>2134967</v>
      </c>
      <c r="AA32" s="414">
        <v>2134967</v>
      </c>
      <c r="AB32" s="414">
        <v>4885032</v>
      </c>
      <c r="AC32" s="467"/>
      <c r="AD32" s="415">
        <v>578178.6999999996</v>
      </c>
      <c r="AE32" s="414"/>
      <c r="AF32" s="414"/>
    </row>
    <row r="33" spans="2:32" x14ac:dyDescent="0.3">
      <c r="B33" s="84" t="str">
        <f>IF(ISBLANK(C33),"",MAX($B$6:B32)+1)</f>
        <v/>
      </c>
      <c r="E33" s="116"/>
      <c r="I33" s="113"/>
      <c r="J33" s="114"/>
      <c r="U33" s="99" t="s">
        <v>2356</v>
      </c>
      <c r="V33" s="101"/>
      <c r="W33" s="413">
        <v>0.42431227043178327</v>
      </c>
      <c r="X33" s="452">
        <v>0.82341403999407015</v>
      </c>
      <c r="Y33" s="452">
        <v>0.59518707772493917</v>
      </c>
      <c r="Z33" s="452">
        <v>0.61752794104035547</v>
      </c>
      <c r="AA33" s="452">
        <v>0.61752794104035547</v>
      </c>
      <c r="AB33" s="452">
        <v>1.1204394571007528</v>
      </c>
      <c r="AC33" s="468"/>
      <c r="AD33" s="453">
        <v>0.69588278257108771</v>
      </c>
      <c r="AE33" s="452"/>
      <c r="AF33" s="452"/>
    </row>
    <row r="34" spans="2:32" x14ac:dyDescent="0.3">
      <c r="B34" s="84" t="str">
        <f>IF(ISBLANK(C34),"",MAX($B$6:B33)+1)</f>
        <v/>
      </c>
      <c r="U34" s="99"/>
      <c r="V34" s="101"/>
      <c r="W34" s="101"/>
      <c r="X34" s="101"/>
      <c r="Y34" s="101"/>
      <c r="Z34" s="101"/>
      <c r="AA34" s="101"/>
      <c r="AB34" s="101"/>
      <c r="AC34" s="464"/>
      <c r="AD34" s="102"/>
      <c r="AE34" s="101"/>
      <c r="AF34" s="101"/>
    </row>
    <row r="35" spans="2:32" x14ac:dyDescent="0.3">
      <c r="B35" s="84">
        <f>IF(ISBLANK(C35),"",MAX($B$6:B34)+1)</f>
        <v>22</v>
      </c>
      <c r="C35" s="109" t="str">
        <f>"Design Day Average Daily Temperature = "&amp;Q2&amp;" degrees Farenheit"</f>
        <v>Design Day Average Daily Temperature = 10.5 degrees Farenheit</v>
      </c>
      <c r="U35" s="99"/>
      <c r="V35" s="101"/>
      <c r="W35" s="101"/>
      <c r="X35" s="101"/>
      <c r="Y35" s="101"/>
      <c r="Z35" s="101"/>
      <c r="AA35" s="101"/>
      <c r="AB35" s="101"/>
      <c r="AC35" s="464"/>
      <c r="AD35" s="102"/>
      <c r="AE35" s="101"/>
      <c r="AF35" s="101"/>
    </row>
    <row r="36" spans="2:32" x14ac:dyDescent="0.3">
      <c r="B36" s="84" t="str">
        <f>IF(ISBLANK(C36),"",MAX($B$6:B35)+1)</f>
        <v/>
      </c>
      <c r="U36" s="103"/>
      <c r="V36" s="202"/>
      <c r="W36" s="202"/>
      <c r="X36" s="202"/>
      <c r="Y36" s="202"/>
      <c r="Z36" s="202"/>
      <c r="AA36" s="202"/>
      <c r="AB36" s="202"/>
      <c r="AC36" s="469"/>
      <c r="AD36" s="203"/>
      <c r="AE36" s="101"/>
      <c r="AF36" s="101"/>
    </row>
    <row r="37" spans="2:32" x14ac:dyDescent="0.3">
      <c r="B37" s="84" t="str">
        <f>IF(ISBLANK(C37),"",MAX($B$6:B36)+1)</f>
        <v/>
      </c>
      <c r="AC37" s="5"/>
    </row>
    <row r="38" spans="2:32" x14ac:dyDescent="0.3">
      <c r="B38" s="84">
        <f>IF(ISBLANK(C38),"",MAX($B$6:B37)+1)</f>
        <v>23</v>
      </c>
      <c r="C38" s="8" t="s">
        <v>619</v>
      </c>
      <c r="AC38" s="5"/>
    </row>
    <row r="39" spans="2:32" x14ac:dyDescent="0.3">
      <c r="B39" s="84">
        <f>IF(ISBLANK(C39),"",MAX($B$6:B38)+1)</f>
        <v>24</v>
      </c>
      <c r="C39" s="120" t="s">
        <v>433</v>
      </c>
      <c r="D39" s="37" t="s">
        <v>434</v>
      </c>
      <c r="E39" s="37" t="s">
        <v>435</v>
      </c>
      <c r="F39" s="37" t="s">
        <v>436</v>
      </c>
      <c r="G39" s="37" t="s">
        <v>437</v>
      </c>
      <c r="H39" s="38" t="s">
        <v>438</v>
      </c>
      <c r="AC39" s="5"/>
    </row>
    <row r="40" spans="2:32" x14ac:dyDescent="0.3">
      <c r="B40" s="84">
        <f>IF(ISBLANK(C40),"",MAX($B$6:B39)+1)</f>
        <v>25</v>
      </c>
      <c r="C40" s="121">
        <f>SUMIF($D$10:$D$29,C$39,$J$10:$J$29)</f>
        <v>2710.9754643940114</v>
      </c>
      <c r="D40" s="122">
        <f t="shared" ref="D40:F40" si="7">SUMIF($D$10:$D$29,D$39,$J$10:$J$29)</f>
        <v>635494.61940941098</v>
      </c>
      <c r="E40" s="122">
        <f t="shared" si="7"/>
        <v>201659.93104920175</v>
      </c>
      <c r="F40" s="122">
        <f t="shared" si="7"/>
        <v>6960.9555641254401</v>
      </c>
      <c r="G40" s="122">
        <f>SUMIF($D$10:$D$29,G$39,$J$10:$J$29)</f>
        <v>43132.340831585301</v>
      </c>
      <c r="H40" s="123">
        <f>SUMIF($D$10:$D$29,H$39,$J$10:$J$29)</f>
        <v>33796.235886977891</v>
      </c>
      <c r="AC40" s="5"/>
    </row>
    <row r="41" spans="2:32" x14ac:dyDescent="0.3">
      <c r="B41" s="84">
        <f>IF(ISBLANK(C41),"",MAX($B$6:B40)+1)</f>
        <v>26</v>
      </c>
      <c r="C41" s="205" t="s">
        <v>2070</v>
      </c>
      <c r="D41" s="206"/>
      <c r="E41" s="206"/>
      <c r="F41" s="207"/>
      <c r="G41" s="207"/>
      <c r="H41" s="208"/>
      <c r="AC41" s="5"/>
    </row>
    <row r="42" spans="2:32" x14ac:dyDescent="0.3">
      <c r="B42" s="84">
        <f>IF(ISBLANK(C42),"",MAX($B$6:B41)+1)</f>
        <v>27</v>
      </c>
      <c r="C42" s="121">
        <f>SUMIF($D$10:$D$21,C$39,$J$10:$J$21)</f>
        <v>2710.9754643940114</v>
      </c>
      <c r="D42" s="122">
        <f t="shared" ref="D42:F42" si="8">SUMIF($D$10:$D$21,D$39,$J$10:$J$21)</f>
        <v>635494.61940941098</v>
      </c>
      <c r="E42" s="122">
        <f t="shared" si="8"/>
        <v>201659.93104920175</v>
      </c>
      <c r="F42" s="122">
        <f t="shared" si="8"/>
        <v>6960.9555641254401</v>
      </c>
      <c r="G42" s="122">
        <f>SUMIF($D$10:$D$21,G$39,$J$10:$J$21)</f>
        <v>37723.674164918637</v>
      </c>
      <c r="H42" s="123">
        <f>SUMIF($D$10:$D$21,H$39,$J$10:$J$21)</f>
        <v>15386.235886977893</v>
      </c>
      <c r="AC42" s="5"/>
    </row>
    <row r="43" spans="2:32" x14ac:dyDescent="0.3">
      <c r="B43" s="84">
        <f>IF(ISBLANK(C43),"",MAX($B$6:B42)+1)</f>
        <v>28</v>
      </c>
      <c r="C43" s="205" t="s">
        <v>2399</v>
      </c>
      <c r="D43" s="206"/>
      <c r="E43" s="206"/>
      <c r="F43" s="207"/>
      <c r="G43" s="207"/>
      <c r="H43" s="208"/>
      <c r="AC43" s="5"/>
    </row>
    <row r="44" spans="2:32" x14ac:dyDescent="0.3">
      <c r="B44" s="84">
        <f>IF(ISBLANK(C44),"",MAX($B$6:B43)+1)</f>
        <v>29</v>
      </c>
      <c r="C44" s="121">
        <f>SUMIF($D$10:$D$29,C$39,$J$10:$J$29)-SUMIF($D$10:$D$29,C$39,$K$10:$K$29)</f>
        <v>2710.9754643940114</v>
      </c>
      <c r="D44" s="122">
        <f t="shared" ref="D44:H44" si="9">SUMIF($D$10:$D$29,D$39,$J$10:$J$29)-SUMIF($D$10:$D$29,D$39,$K$10:$K$29)</f>
        <v>635494.61940941098</v>
      </c>
      <c r="E44" s="122">
        <f t="shared" si="9"/>
        <v>201659.93104920175</v>
      </c>
      <c r="F44" s="122">
        <f t="shared" si="9"/>
        <v>6960.9555641254401</v>
      </c>
      <c r="G44" s="122">
        <f t="shared" si="9"/>
        <v>39509.688450632922</v>
      </c>
      <c r="H44" s="123">
        <f t="shared" si="9"/>
        <v>13709.002553644557</v>
      </c>
      <c r="AC44" s="5"/>
    </row>
    <row r="45" spans="2:32" x14ac:dyDescent="0.3">
      <c r="B45" s="84">
        <f>IF(ISBLANK(C45),"",MAX($B$6:B44)+1)</f>
        <v>30</v>
      </c>
      <c r="C45" s="411" t="s">
        <v>2400</v>
      </c>
      <c r="D45" s="195"/>
      <c r="E45" s="195"/>
      <c r="F45" s="457"/>
      <c r="G45" s="457"/>
      <c r="H45" s="458"/>
      <c r="AC45" s="5"/>
    </row>
    <row r="46" spans="2:32" x14ac:dyDescent="0.3">
      <c r="B46" s="84">
        <f>IF(ISBLANK(C46),"",MAX($B$6:B45)+1)</f>
        <v>31</v>
      </c>
      <c r="C46" s="103">
        <v>0</v>
      </c>
      <c r="D46" s="202">
        <v>0</v>
      </c>
      <c r="E46" s="202">
        <v>0</v>
      </c>
      <c r="F46" s="459">
        <v>0</v>
      </c>
      <c r="G46" s="460">
        <f>SUM(W32,AD32)</f>
        <v>786690.6999999996</v>
      </c>
      <c r="H46" s="472">
        <f>SUM(X32:AB32)</f>
        <v>11935741.5</v>
      </c>
      <c r="K46" s="11">
        <f>SUM(C46:J46)-SUM(W32:AD32)</f>
        <v>0</v>
      </c>
      <c r="AC46" s="5"/>
    </row>
    <row r="47" spans="2:32" x14ac:dyDescent="0.3">
      <c r="AC47" s="5"/>
    </row>
    <row r="48" spans="2:32" x14ac:dyDescent="0.3">
      <c r="AC48" s="5"/>
    </row>
    <row r="49" spans="29:29" x14ac:dyDescent="0.3">
      <c r="AC49" s="5"/>
    </row>
    <row r="50" spans="29:29" x14ac:dyDescent="0.3">
      <c r="AC50" s="5"/>
    </row>
    <row r="51" spans="29:29" x14ac:dyDescent="0.3">
      <c r="AC51" s="5"/>
    </row>
    <row r="52" spans="29:29" x14ac:dyDescent="0.3">
      <c r="AC52" s="5"/>
    </row>
    <row r="53" spans="29:29" x14ac:dyDescent="0.3">
      <c r="AC53" s="5"/>
    </row>
  </sheetData>
  <pageMargins left="0.7" right="0.7" top="0.75" bottom="0.75" header="0.3" footer="0.3"/>
  <pageSetup scale="78" orientation="portrait" horizontalDpi="1200" verticalDpi="120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zoomScale="85" zoomScaleNormal="85" workbookViewId="0">
      <selection activeCell="B31" sqref="B31"/>
    </sheetView>
  </sheetViews>
  <sheetFormatPr defaultColWidth="9.109375" defaultRowHeight="13.2" x14ac:dyDescent="0.25"/>
  <cols>
    <col min="1" max="1" width="20.6640625" style="371" customWidth="1"/>
    <col min="2" max="2" width="36" style="370" customWidth="1"/>
    <col min="3" max="32" width="12.6640625" style="369" customWidth="1"/>
    <col min="33" max="16384" width="9.109375" style="369"/>
  </cols>
  <sheetData>
    <row r="1" spans="1:32" ht="13.8" x14ac:dyDescent="0.25">
      <c r="A1" s="381" t="s">
        <v>455</v>
      </c>
      <c r="Q1" s="481" t="s">
        <v>2407</v>
      </c>
    </row>
    <row r="2" spans="1:32" ht="14.4" x14ac:dyDescent="0.25">
      <c r="Q2" s="482" t="s">
        <v>321</v>
      </c>
    </row>
    <row r="3" spans="1:32" s="377" customFormat="1" ht="14.4" x14ac:dyDescent="0.25">
      <c r="A3" s="379"/>
      <c r="B3" s="373"/>
      <c r="C3" s="378">
        <v>2017</v>
      </c>
      <c r="D3" s="378">
        <v>2017</v>
      </c>
      <c r="E3" s="378">
        <v>2017</v>
      </c>
      <c r="F3" s="378">
        <v>2018</v>
      </c>
      <c r="G3" s="378">
        <v>2018</v>
      </c>
      <c r="H3" s="378">
        <v>2018</v>
      </c>
      <c r="I3" s="378">
        <v>2018</v>
      </c>
      <c r="J3" s="378">
        <v>2018</v>
      </c>
      <c r="K3" s="378">
        <v>2018</v>
      </c>
      <c r="L3" s="378">
        <v>2018</v>
      </c>
      <c r="M3" s="378">
        <v>2018</v>
      </c>
      <c r="N3" s="378">
        <v>2018</v>
      </c>
      <c r="O3" s="378" t="s">
        <v>456</v>
      </c>
      <c r="Q3" s="482" t="s">
        <v>2408</v>
      </c>
    </row>
    <row r="4" spans="1:32" s="375" customFormat="1" ht="14.4" x14ac:dyDescent="0.25">
      <c r="C4" s="376" t="s">
        <v>263</v>
      </c>
      <c r="D4" s="376" t="s">
        <v>264</v>
      </c>
      <c r="E4" s="376" t="s">
        <v>265</v>
      </c>
      <c r="F4" s="376" t="s">
        <v>266</v>
      </c>
      <c r="G4" s="376" t="s">
        <v>267</v>
      </c>
      <c r="H4" s="376" t="s">
        <v>268</v>
      </c>
      <c r="I4" s="376" t="s">
        <v>269</v>
      </c>
      <c r="J4" s="376" t="s">
        <v>270</v>
      </c>
      <c r="K4" s="376" t="s">
        <v>271</v>
      </c>
      <c r="L4" s="376" t="s">
        <v>272</v>
      </c>
      <c r="M4" s="376" t="s">
        <v>273</v>
      </c>
      <c r="N4" s="376" t="s">
        <v>262</v>
      </c>
      <c r="O4" s="376" t="s">
        <v>457</v>
      </c>
      <c r="P4" s="376"/>
      <c r="Q4" s="482" t="s">
        <v>1959</v>
      </c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</row>
    <row r="5" spans="1:32" ht="14.4" x14ac:dyDescent="0.25">
      <c r="A5" s="374"/>
      <c r="B5" s="373"/>
      <c r="Q5" s="482" t="s">
        <v>1907</v>
      </c>
    </row>
    <row r="6" spans="1:32" s="17" customFormat="1" ht="14.4" x14ac:dyDescent="0.25">
      <c r="A6" s="371" t="s">
        <v>458</v>
      </c>
      <c r="B6" s="370" t="s">
        <v>459</v>
      </c>
      <c r="C6" s="16">
        <v>839</v>
      </c>
      <c r="D6" s="16">
        <v>843</v>
      </c>
      <c r="E6" s="16">
        <v>846</v>
      </c>
      <c r="F6" s="16">
        <v>853</v>
      </c>
      <c r="G6" s="16">
        <v>855</v>
      </c>
      <c r="H6" s="16">
        <v>861</v>
      </c>
      <c r="I6" s="16">
        <v>866</v>
      </c>
      <c r="J6" s="16">
        <v>869</v>
      </c>
      <c r="K6" s="16">
        <v>875</v>
      </c>
      <c r="L6" s="16">
        <v>875</v>
      </c>
      <c r="M6" s="16">
        <v>874</v>
      </c>
      <c r="N6" s="16">
        <v>868</v>
      </c>
      <c r="O6" s="16">
        <f>AVERAGE(C6:N6)</f>
        <v>860.33333333333337</v>
      </c>
      <c r="Q6" s="482" t="s">
        <v>2409</v>
      </c>
    </row>
    <row r="7" spans="1:32" s="17" customFormat="1" ht="14.4" x14ac:dyDescent="0.25">
      <c r="B7" s="370" t="s">
        <v>460</v>
      </c>
      <c r="C7" s="16">
        <v>73419</v>
      </c>
      <c r="D7" s="16">
        <v>73708</v>
      </c>
      <c r="E7" s="16">
        <v>73959</v>
      </c>
      <c r="F7" s="16">
        <v>74269</v>
      </c>
      <c r="G7" s="16">
        <v>74431</v>
      </c>
      <c r="H7" s="16">
        <v>74636</v>
      </c>
      <c r="I7" s="16">
        <v>74808</v>
      </c>
      <c r="J7" s="16">
        <v>74978</v>
      </c>
      <c r="K7" s="16">
        <v>75145</v>
      </c>
      <c r="L7" s="16">
        <v>75293</v>
      </c>
      <c r="M7" s="16">
        <v>75431</v>
      </c>
      <c r="N7" s="16">
        <v>75649</v>
      </c>
      <c r="O7" s="16">
        <f t="shared" ref="O7:O26" si="0">AVERAGE(C7:N7)</f>
        <v>74643.833333333328</v>
      </c>
      <c r="Q7" s="482" t="s">
        <v>2410</v>
      </c>
    </row>
    <row r="8" spans="1:32" s="17" customFormat="1" x14ac:dyDescent="0.25">
      <c r="B8" s="18" t="s">
        <v>461</v>
      </c>
      <c r="C8" s="16">
        <v>38</v>
      </c>
      <c r="D8" s="16">
        <v>37</v>
      </c>
      <c r="E8" s="16">
        <v>37</v>
      </c>
      <c r="F8" s="16">
        <v>37</v>
      </c>
      <c r="G8" s="16">
        <v>35</v>
      </c>
      <c r="H8" s="16">
        <v>36</v>
      </c>
      <c r="I8" s="16">
        <v>37</v>
      </c>
      <c r="J8" s="16">
        <v>37</v>
      </c>
      <c r="K8" s="16">
        <v>38</v>
      </c>
      <c r="L8" s="16">
        <v>37</v>
      </c>
      <c r="M8" s="16">
        <v>37</v>
      </c>
      <c r="N8" s="16">
        <v>37</v>
      </c>
      <c r="O8" s="16">
        <f t="shared" si="0"/>
        <v>36.916666666666664</v>
      </c>
    </row>
    <row r="9" spans="1:32" s="17" customFormat="1" ht="14.4" x14ac:dyDescent="0.3">
      <c r="B9" s="18" t="s">
        <v>462</v>
      </c>
      <c r="C9" s="16">
        <v>5879</v>
      </c>
      <c r="D9" s="16">
        <v>5916</v>
      </c>
      <c r="E9" s="16">
        <v>5964</v>
      </c>
      <c r="F9" s="16">
        <v>6025</v>
      </c>
      <c r="G9" s="16">
        <v>6041</v>
      </c>
      <c r="H9" s="16">
        <v>6047</v>
      </c>
      <c r="I9" s="16">
        <v>6059</v>
      </c>
      <c r="J9" s="16">
        <v>6039</v>
      </c>
      <c r="K9" s="16">
        <v>6038</v>
      </c>
      <c r="L9" s="16">
        <v>6032</v>
      </c>
      <c r="M9" s="16">
        <v>6021</v>
      </c>
      <c r="N9" s="16">
        <v>6024</v>
      </c>
      <c r="O9" s="16">
        <f t="shared" si="0"/>
        <v>6007.083333333333</v>
      </c>
      <c r="Q9" s="45"/>
      <c r="R9" s="37" t="s">
        <v>433</v>
      </c>
      <c r="S9" s="37" t="s">
        <v>434</v>
      </c>
      <c r="T9" s="37" t="s">
        <v>435</v>
      </c>
      <c r="U9" s="37" t="s">
        <v>436</v>
      </c>
      <c r="V9" s="37" t="s">
        <v>437</v>
      </c>
      <c r="W9" s="37" t="s">
        <v>438</v>
      </c>
      <c r="X9" s="37" t="s">
        <v>439</v>
      </c>
      <c r="Y9" s="38" t="s">
        <v>440</v>
      </c>
    </row>
    <row r="10" spans="1:32" s="17" customFormat="1" x14ac:dyDescent="0.25">
      <c r="B10" s="18" t="s">
        <v>463</v>
      </c>
      <c r="C10" s="16">
        <v>805</v>
      </c>
      <c r="D10" s="16">
        <v>820</v>
      </c>
      <c r="E10" s="16">
        <v>839</v>
      </c>
      <c r="F10" s="16">
        <v>790</v>
      </c>
      <c r="G10" s="16">
        <v>807</v>
      </c>
      <c r="H10" s="16">
        <v>805</v>
      </c>
      <c r="I10" s="16">
        <v>799</v>
      </c>
      <c r="J10" s="16">
        <v>768</v>
      </c>
      <c r="K10" s="16">
        <v>745</v>
      </c>
      <c r="L10" s="16">
        <v>726</v>
      </c>
      <c r="M10" s="16">
        <v>742</v>
      </c>
      <c r="N10" s="16">
        <v>792</v>
      </c>
      <c r="O10" s="16">
        <f t="shared" si="0"/>
        <v>786.5</v>
      </c>
      <c r="Q10" s="54" t="s">
        <v>531</v>
      </c>
      <c r="R10" s="39">
        <f>SUM(R18:R25)</f>
        <v>897.25</v>
      </c>
      <c r="S10" s="39">
        <f t="shared" ref="S10:Y10" si="1">SUM(S18:S25)</f>
        <v>74643.833333333328</v>
      </c>
      <c r="T10" s="39">
        <f t="shared" si="1"/>
        <v>6034.4166666666661</v>
      </c>
      <c r="U10" s="39">
        <f t="shared" si="1"/>
        <v>786.5</v>
      </c>
      <c r="V10" s="39">
        <f t="shared" si="1"/>
        <v>120.08333333333333</v>
      </c>
      <c r="W10" s="39">
        <f t="shared" si="1"/>
        <v>45.333333333333336</v>
      </c>
      <c r="X10" s="39">
        <f t="shared" si="1"/>
        <v>0</v>
      </c>
      <c r="Y10" s="41">
        <f t="shared" si="1"/>
        <v>1</v>
      </c>
    </row>
    <row r="11" spans="1:32" s="17" customFormat="1" x14ac:dyDescent="0.25">
      <c r="B11" s="19" t="s">
        <v>464</v>
      </c>
      <c r="C11" s="16">
        <v>86</v>
      </c>
      <c r="D11" s="16">
        <v>89</v>
      </c>
      <c r="E11" s="16">
        <v>91</v>
      </c>
      <c r="F11" s="16">
        <v>90</v>
      </c>
      <c r="G11" s="16">
        <v>91</v>
      </c>
      <c r="H11" s="16">
        <v>90</v>
      </c>
      <c r="I11" s="16">
        <v>90</v>
      </c>
      <c r="J11" s="16">
        <v>89</v>
      </c>
      <c r="K11" s="16">
        <v>86</v>
      </c>
      <c r="L11" s="16">
        <v>86</v>
      </c>
      <c r="M11" s="16">
        <v>86</v>
      </c>
      <c r="N11" s="16">
        <v>86</v>
      </c>
      <c r="O11" s="16">
        <f t="shared" si="0"/>
        <v>88.333333333333329</v>
      </c>
      <c r="Q11" s="40"/>
      <c r="R11" s="39"/>
      <c r="S11" s="39"/>
      <c r="T11" s="39"/>
      <c r="U11" s="39"/>
      <c r="V11" s="39"/>
      <c r="W11" s="39"/>
      <c r="X11" s="39"/>
      <c r="Y11" s="41"/>
    </row>
    <row r="12" spans="1:32" s="17" customFormat="1" x14ac:dyDescent="0.25">
      <c r="B12" s="370" t="s">
        <v>465</v>
      </c>
      <c r="C12" s="16">
        <v>6</v>
      </c>
      <c r="D12" s="16">
        <v>6</v>
      </c>
      <c r="E12" s="16">
        <v>6</v>
      </c>
      <c r="F12" s="16">
        <v>6</v>
      </c>
      <c r="G12" s="16">
        <v>6</v>
      </c>
      <c r="H12" s="16">
        <v>6</v>
      </c>
      <c r="I12" s="16">
        <v>6</v>
      </c>
      <c r="J12" s="16">
        <v>6</v>
      </c>
      <c r="K12" s="16">
        <v>6</v>
      </c>
      <c r="L12" s="16">
        <v>6</v>
      </c>
      <c r="M12" s="16">
        <v>4</v>
      </c>
      <c r="N12" s="16">
        <v>5</v>
      </c>
      <c r="O12" s="16">
        <f t="shared" si="0"/>
        <v>5.75</v>
      </c>
      <c r="P12" s="16"/>
      <c r="Q12" s="42" t="s">
        <v>532</v>
      </c>
      <c r="R12" s="23">
        <f>SUM(R18:R20)</f>
        <v>897.25</v>
      </c>
      <c r="S12" s="23">
        <f t="shared" ref="S12:Y12" si="2">SUM(S18:S20)</f>
        <v>74643.833333333328</v>
      </c>
      <c r="T12" s="23">
        <f t="shared" si="2"/>
        <v>6034.4166666666661</v>
      </c>
      <c r="U12" s="23">
        <f t="shared" si="2"/>
        <v>786.5</v>
      </c>
      <c r="V12" s="23">
        <f t="shared" si="2"/>
        <v>103.25</v>
      </c>
      <c r="W12" s="23">
        <f t="shared" si="2"/>
        <v>17.583333333333336</v>
      </c>
      <c r="X12" s="23">
        <f t="shared" si="2"/>
        <v>0</v>
      </c>
      <c r="Y12" s="43">
        <f t="shared" si="2"/>
        <v>0</v>
      </c>
      <c r="Z12" s="16"/>
      <c r="AA12" s="16"/>
      <c r="AB12" s="16"/>
      <c r="AC12" s="16"/>
      <c r="AD12" s="16"/>
      <c r="AE12" s="16"/>
      <c r="AF12" s="16"/>
    </row>
    <row r="13" spans="1:32" s="17" customFormat="1" x14ac:dyDescent="0.25">
      <c r="A13" s="371"/>
      <c r="B13" s="370" t="s">
        <v>466</v>
      </c>
      <c r="C13" s="16">
        <v>27</v>
      </c>
      <c r="D13" s="16">
        <v>27</v>
      </c>
      <c r="E13" s="16">
        <v>27</v>
      </c>
      <c r="F13" s="16">
        <v>27</v>
      </c>
      <c r="G13" s="16">
        <v>27</v>
      </c>
      <c r="H13" s="16">
        <v>27</v>
      </c>
      <c r="I13" s="16">
        <v>27</v>
      </c>
      <c r="J13" s="16">
        <v>27</v>
      </c>
      <c r="K13" s="16">
        <v>28</v>
      </c>
      <c r="L13" s="16">
        <v>28</v>
      </c>
      <c r="M13" s="16">
        <v>28</v>
      </c>
      <c r="N13" s="16">
        <v>28</v>
      </c>
      <c r="O13" s="16">
        <f t="shared" si="0"/>
        <v>27.333333333333332</v>
      </c>
      <c r="P13" s="16"/>
      <c r="Q13" s="42" t="s">
        <v>533</v>
      </c>
      <c r="R13" s="23">
        <f>SUM(R21)</f>
        <v>0</v>
      </c>
      <c r="S13" s="23">
        <f t="shared" ref="S13:Y13" si="3">SUM(S21)</f>
        <v>0</v>
      </c>
      <c r="T13" s="23">
        <f t="shared" si="3"/>
        <v>0</v>
      </c>
      <c r="U13" s="23">
        <f t="shared" si="3"/>
        <v>0</v>
      </c>
      <c r="V13" s="23">
        <f t="shared" si="3"/>
        <v>0</v>
      </c>
      <c r="W13" s="23">
        <f t="shared" si="3"/>
        <v>5</v>
      </c>
      <c r="X13" s="23">
        <f t="shared" si="3"/>
        <v>0</v>
      </c>
      <c r="Y13" s="43">
        <f t="shared" si="3"/>
        <v>0</v>
      </c>
      <c r="Z13" s="16"/>
      <c r="AA13" s="16"/>
      <c r="AB13" s="16"/>
      <c r="AC13" s="16"/>
      <c r="AD13" s="16"/>
      <c r="AE13" s="16"/>
      <c r="AF13" s="16"/>
    </row>
    <row r="14" spans="1:32" s="17" customFormat="1" x14ac:dyDescent="0.25">
      <c r="A14" s="371"/>
      <c r="B14" s="370" t="s">
        <v>467</v>
      </c>
      <c r="C14" s="16">
        <v>14</v>
      </c>
      <c r="D14" s="16">
        <v>15</v>
      </c>
      <c r="E14" s="16">
        <v>15</v>
      </c>
      <c r="F14" s="16">
        <v>15</v>
      </c>
      <c r="G14" s="16">
        <v>15</v>
      </c>
      <c r="H14" s="16">
        <v>15</v>
      </c>
      <c r="I14" s="16">
        <v>15</v>
      </c>
      <c r="J14" s="16">
        <v>15</v>
      </c>
      <c r="K14" s="16">
        <v>15</v>
      </c>
      <c r="L14" s="16">
        <v>15</v>
      </c>
      <c r="M14" s="16">
        <v>15</v>
      </c>
      <c r="N14" s="16">
        <v>15</v>
      </c>
      <c r="O14" s="16">
        <f t="shared" si="0"/>
        <v>14.916666666666666</v>
      </c>
      <c r="P14" s="16"/>
      <c r="Q14" s="42"/>
      <c r="R14" s="23"/>
      <c r="S14" s="23"/>
      <c r="T14" s="23"/>
      <c r="U14" s="23"/>
      <c r="V14" s="23"/>
      <c r="W14" s="23"/>
      <c r="X14" s="23"/>
      <c r="Y14" s="43"/>
      <c r="Z14" s="16"/>
      <c r="AA14" s="16"/>
      <c r="AB14" s="16"/>
      <c r="AC14" s="16"/>
      <c r="AD14" s="16"/>
      <c r="AE14" s="16"/>
      <c r="AF14" s="16"/>
    </row>
    <row r="15" spans="1:32" s="17" customFormat="1" x14ac:dyDescent="0.25">
      <c r="A15" s="371"/>
      <c r="B15" s="370" t="s">
        <v>468</v>
      </c>
      <c r="C15" s="16">
        <v>12</v>
      </c>
      <c r="D15" s="16">
        <v>12</v>
      </c>
      <c r="E15" s="16">
        <v>12</v>
      </c>
      <c r="F15" s="16">
        <v>11</v>
      </c>
      <c r="G15" s="16">
        <v>12</v>
      </c>
      <c r="H15" s="16">
        <v>12</v>
      </c>
      <c r="I15" s="16">
        <v>12</v>
      </c>
      <c r="J15" s="16">
        <v>12</v>
      </c>
      <c r="K15" s="16">
        <v>12</v>
      </c>
      <c r="L15" s="16">
        <v>11</v>
      </c>
      <c r="M15" s="16">
        <v>12</v>
      </c>
      <c r="N15" s="16">
        <v>12</v>
      </c>
      <c r="O15" s="16">
        <f t="shared" si="0"/>
        <v>11.833333333333334</v>
      </c>
      <c r="P15" s="16"/>
      <c r="Q15" s="42" t="s">
        <v>535</v>
      </c>
      <c r="R15" s="23">
        <f>SUM(R23:R24)</f>
        <v>0</v>
      </c>
      <c r="S15" s="23">
        <f t="shared" ref="S15:Y15" si="4">SUM(S23:S24)</f>
        <v>0</v>
      </c>
      <c r="T15" s="23">
        <f t="shared" si="4"/>
        <v>0</v>
      </c>
      <c r="U15" s="23">
        <f t="shared" si="4"/>
        <v>0</v>
      </c>
      <c r="V15" s="23">
        <f t="shared" si="4"/>
        <v>16.833333333333332</v>
      </c>
      <c r="W15" s="23">
        <f t="shared" si="4"/>
        <v>11.833333333333332</v>
      </c>
      <c r="X15" s="23">
        <f t="shared" si="4"/>
        <v>0</v>
      </c>
      <c r="Y15" s="43">
        <f t="shared" si="4"/>
        <v>0</v>
      </c>
      <c r="Z15" s="16"/>
      <c r="AA15" s="16"/>
      <c r="AB15" s="16"/>
      <c r="AC15" s="16"/>
      <c r="AD15" s="16"/>
      <c r="AE15" s="16"/>
      <c r="AF15" s="16"/>
    </row>
    <row r="16" spans="1:32" s="17" customFormat="1" x14ac:dyDescent="0.25">
      <c r="A16" s="371"/>
      <c r="B16" s="370" t="s">
        <v>469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f t="shared" si="0"/>
        <v>0</v>
      </c>
      <c r="P16" s="16"/>
      <c r="Q16" s="42" t="s">
        <v>534</v>
      </c>
      <c r="R16" s="23">
        <f>SUM(R25)</f>
        <v>0</v>
      </c>
      <c r="S16" s="23">
        <f t="shared" ref="S16:Y16" si="5">SUM(S25)</f>
        <v>0</v>
      </c>
      <c r="T16" s="23">
        <f t="shared" si="5"/>
        <v>0</v>
      </c>
      <c r="U16" s="23">
        <f t="shared" si="5"/>
        <v>0</v>
      </c>
      <c r="V16" s="23">
        <f t="shared" si="5"/>
        <v>0</v>
      </c>
      <c r="W16" s="23">
        <f t="shared" si="5"/>
        <v>10.916666666666666</v>
      </c>
      <c r="X16" s="23">
        <f t="shared" si="5"/>
        <v>0</v>
      </c>
      <c r="Y16" s="43">
        <f t="shared" si="5"/>
        <v>1</v>
      </c>
      <c r="Z16" s="16"/>
      <c r="AA16" s="16"/>
      <c r="AB16" s="16"/>
      <c r="AC16" s="16"/>
      <c r="AD16" s="16"/>
      <c r="AE16" s="16"/>
      <c r="AF16" s="16"/>
    </row>
    <row r="17" spans="1:32" s="17" customFormat="1" x14ac:dyDescent="0.25">
      <c r="A17" s="371"/>
      <c r="B17" s="370" t="s">
        <v>470</v>
      </c>
      <c r="C17" s="20">
        <v>5</v>
      </c>
      <c r="D17" s="20">
        <v>5</v>
      </c>
      <c r="E17" s="20">
        <v>5</v>
      </c>
      <c r="F17" s="20">
        <v>5</v>
      </c>
      <c r="G17" s="20">
        <v>5</v>
      </c>
      <c r="H17" s="20">
        <v>5</v>
      </c>
      <c r="I17" s="20">
        <v>5</v>
      </c>
      <c r="J17" s="20">
        <v>5</v>
      </c>
      <c r="K17" s="20">
        <v>5</v>
      </c>
      <c r="L17" s="20">
        <v>5</v>
      </c>
      <c r="M17" s="20">
        <v>5</v>
      </c>
      <c r="N17" s="20">
        <v>5</v>
      </c>
      <c r="O17" s="20">
        <f t="shared" si="0"/>
        <v>5</v>
      </c>
      <c r="P17" s="16"/>
      <c r="Q17" s="42"/>
      <c r="R17" s="23"/>
      <c r="S17" s="23"/>
      <c r="T17" s="23"/>
      <c r="U17" s="23"/>
      <c r="V17" s="23"/>
      <c r="W17" s="23"/>
      <c r="X17" s="23"/>
      <c r="Y17" s="43"/>
      <c r="Z17" s="16"/>
      <c r="AA17" s="16"/>
      <c r="AB17" s="16"/>
      <c r="AC17" s="16"/>
      <c r="AD17" s="16"/>
      <c r="AE17" s="16"/>
      <c r="AF17" s="16"/>
    </row>
    <row r="18" spans="1:32" s="17" customFormat="1" x14ac:dyDescent="0.25">
      <c r="A18" s="371" t="s">
        <v>471</v>
      </c>
      <c r="B18" s="370"/>
      <c r="C18" s="16">
        <f t="shared" ref="C18:O18" si="6">SUM(C6:C17)</f>
        <v>81130</v>
      </c>
      <c r="D18" s="16">
        <f t="shared" si="6"/>
        <v>81478</v>
      </c>
      <c r="E18" s="16">
        <f t="shared" si="6"/>
        <v>81801</v>
      </c>
      <c r="F18" s="16">
        <f t="shared" si="6"/>
        <v>82128</v>
      </c>
      <c r="G18" s="16">
        <f t="shared" si="6"/>
        <v>82325</v>
      </c>
      <c r="H18" s="16">
        <f t="shared" si="6"/>
        <v>82540</v>
      </c>
      <c r="I18" s="16">
        <f t="shared" si="6"/>
        <v>82724</v>
      </c>
      <c r="J18" s="16">
        <f t="shared" si="6"/>
        <v>82845</v>
      </c>
      <c r="K18" s="16">
        <f t="shared" si="6"/>
        <v>82993</v>
      </c>
      <c r="L18" s="16">
        <f t="shared" si="6"/>
        <v>83114</v>
      </c>
      <c r="M18" s="16">
        <f t="shared" si="6"/>
        <v>83255</v>
      </c>
      <c r="N18" s="16">
        <f t="shared" si="6"/>
        <v>83521</v>
      </c>
      <c r="O18" s="16">
        <f t="shared" si="6"/>
        <v>82487.833333333314</v>
      </c>
      <c r="P18" s="16"/>
      <c r="Q18" s="42" t="s">
        <v>537</v>
      </c>
      <c r="R18" s="23">
        <f>O6</f>
        <v>860.33333333333337</v>
      </c>
      <c r="S18" s="23">
        <f>O7</f>
        <v>74643.833333333328</v>
      </c>
      <c r="T18" s="23"/>
      <c r="U18" s="23"/>
      <c r="V18" s="23"/>
      <c r="W18" s="23"/>
      <c r="X18" s="23"/>
      <c r="Y18" s="43"/>
      <c r="Z18" s="16"/>
      <c r="AA18" s="16"/>
      <c r="AB18" s="16"/>
      <c r="AC18" s="16"/>
      <c r="AD18" s="16"/>
      <c r="AE18" s="16"/>
      <c r="AF18" s="16"/>
    </row>
    <row r="19" spans="1:32" s="17" customFormat="1" x14ac:dyDescent="0.25">
      <c r="A19" s="371"/>
      <c r="B19" s="37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42" t="s">
        <v>538</v>
      </c>
      <c r="R19" s="23">
        <f>O8</f>
        <v>36.916666666666664</v>
      </c>
      <c r="S19" s="23"/>
      <c r="T19" s="23">
        <f>O9</f>
        <v>6007.083333333333</v>
      </c>
      <c r="U19" s="23">
        <f>O10</f>
        <v>786.5</v>
      </c>
      <c r="V19" s="23">
        <f>O11</f>
        <v>88.333333333333329</v>
      </c>
      <c r="W19" s="23">
        <f>O12</f>
        <v>5.75</v>
      </c>
      <c r="X19" s="23"/>
      <c r="Y19" s="43"/>
      <c r="Z19" s="16"/>
      <c r="AA19" s="16"/>
      <c r="AB19" s="16"/>
      <c r="AC19" s="16"/>
      <c r="AD19" s="16"/>
      <c r="AE19" s="16"/>
      <c r="AF19" s="16"/>
    </row>
    <row r="20" spans="1:32" s="17" customFormat="1" x14ac:dyDescent="0.25">
      <c r="A20" s="371" t="s">
        <v>472</v>
      </c>
      <c r="B20" s="370" t="s">
        <v>464</v>
      </c>
      <c r="C20" s="16">
        <v>17</v>
      </c>
      <c r="D20" s="16">
        <v>17</v>
      </c>
      <c r="E20" s="16">
        <v>16</v>
      </c>
      <c r="F20" s="16">
        <v>16</v>
      </c>
      <c r="G20" s="16">
        <v>17</v>
      </c>
      <c r="H20" s="16">
        <v>17</v>
      </c>
      <c r="I20" s="16">
        <v>17</v>
      </c>
      <c r="J20" s="16">
        <v>17</v>
      </c>
      <c r="K20" s="16">
        <v>17</v>
      </c>
      <c r="L20" s="16">
        <v>17</v>
      </c>
      <c r="M20" s="16">
        <v>17</v>
      </c>
      <c r="N20" s="16">
        <v>17</v>
      </c>
      <c r="O20" s="16">
        <f t="shared" si="0"/>
        <v>16.833333333333332</v>
      </c>
      <c r="P20" s="16"/>
      <c r="Q20" s="42" t="s">
        <v>539</v>
      </c>
      <c r="R20" s="23"/>
      <c r="S20" s="23"/>
      <c r="T20" s="23">
        <f>O13</f>
        <v>27.333333333333332</v>
      </c>
      <c r="U20" s="23"/>
      <c r="V20" s="23">
        <f>O14</f>
        <v>14.916666666666666</v>
      </c>
      <c r="W20" s="23">
        <f>O15</f>
        <v>11.833333333333334</v>
      </c>
      <c r="X20" s="23"/>
      <c r="Y20" s="43"/>
      <c r="Z20" s="16"/>
      <c r="AA20" s="16"/>
      <c r="AB20" s="16"/>
      <c r="AC20" s="16"/>
      <c r="AD20" s="16"/>
      <c r="AE20" s="16"/>
      <c r="AF20" s="16"/>
    </row>
    <row r="21" spans="1:32" s="17" customFormat="1" x14ac:dyDescent="0.25">
      <c r="A21" s="371"/>
      <c r="B21" s="370" t="s">
        <v>465</v>
      </c>
      <c r="C21" s="16">
        <v>4</v>
      </c>
      <c r="D21" s="16">
        <v>4</v>
      </c>
      <c r="E21" s="16">
        <v>4</v>
      </c>
      <c r="F21" s="16">
        <v>4</v>
      </c>
      <c r="G21" s="16">
        <v>4</v>
      </c>
      <c r="H21" s="16">
        <v>4</v>
      </c>
      <c r="I21" s="16">
        <v>4</v>
      </c>
      <c r="J21" s="16">
        <v>4</v>
      </c>
      <c r="K21" s="16">
        <v>4</v>
      </c>
      <c r="L21" s="16">
        <v>4</v>
      </c>
      <c r="M21" s="16">
        <v>4</v>
      </c>
      <c r="N21" s="16">
        <v>4</v>
      </c>
      <c r="O21" s="16">
        <f t="shared" si="0"/>
        <v>4</v>
      </c>
      <c r="P21" s="16"/>
      <c r="Q21" s="42" t="s">
        <v>536</v>
      </c>
      <c r="R21" s="23"/>
      <c r="S21" s="23"/>
      <c r="T21" s="23"/>
      <c r="U21" s="23"/>
      <c r="V21" s="23">
        <f>O16</f>
        <v>0</v>
      </c>
      <c r="W21" s="23">
        <f>O17</f>
        <v>5</v>
      </c>
      <c r="X21" s="23"/>
      <c r="Y21" s="43"/>
      <c r="Z21" s="16"/>
      <c r="AA21" s="16"/>
      <c r="AB21" s="16"/>
      <c r="AC21" s="16"/>
      <c r="AD21" s="16"/>
      <c r="AE21" s="16"/>
      <c r="AF21" s="16"/>
    </row>
    <row r="22" spans="1:32" s="17" customFormat="1" x14ac:dyDescent="0.25">
      <c r="A22" s="371"/>
      <c r="B22" s="370" t="s">
        <v>467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f t="shared" si="0"/>
        <v>0</v>
      </c>
      <c r="P22" s="16"/>
      <c r="Q22" s="40"/>
      <c r="R22" s="23"/>
      <c r="S22" s="23"/>
      <c r="T22" s="23"/>
      <c r="U22" s="23"/>
      <c r="V22" s="23"/>
      <c r="W22" s="23"/>
      <c r="X22" s="23"/>
      <c r="Y22" s="43"/>
      <c r="Z22" s="16"/>
      <c r="AA22" s="16"/>
      <c r="AB22" s="16"/>
      <c r="AC22" s="16"/>
      <c r="AD22" s="16"/>
      <c r="AE22" s="16"/>
      <c r="AF22" s="16"/>
    </row>
    <row r="23" spans="1:32" s="17" customFormat="1" x14ac:dyDescent="0.25">
      <c r="A23" s="371"/>
      <c r="B23" s="370" t="s">
        <v>468</v>
      </c>
      <c r="C23" s="16">
        <v>7</v>
      </c>
      <c r="D23" s="16">
        <v>8</v>
      </c>
      <c r="E23" s="16">
        <v>7</v>
      </c>
      <c r="F23" s="16">
        <v>8</v>
      </c>
      <c r="G23" s="16">
        <v>8</v>
      </c>
      <c r="H23" s="16">
        <v>8</v>
      </c>
      <c r="I23" s="16">
        <v>8</v>
      </c>
      <c r="J23" s="16">
        <v>8</v>
      </c>
      <c r="K23" s="16">
        <v>8</v>
      </c>
      <c r="L23" s="16">
        <v>8</v>
      </c>
      <c r="M23" s="16">
        <v>8</v>
      </c>
      <c r="N23" s="16">
        <v>8</v>
      </c>
      <c r="O23" s="16">
        <f t="shared" si="0"/>
        <v>7.833333333333333</v>
      </c>
      <c r="P23" s="16"/>
      <c r="Q23" s="42" t="s">
        <v>540</v>
      </c>
      <c r="R23" s="23"/>
      <c r="S23" s="23"/>
      <c r="T23" s="23"/>
      <c r="U23" s="23"/>
      <c r="V23" s="23">
        <f>O20</f>
        <v>16.833333333333332</v>
      </c>
      <c r="W23" s="23">
        <f>O21</f>
        <v>4</v>
      </c>
      <c r="X23" s="23"/>
      <c r="Y23" s="43"/>
      <c r="Z23" s="16"/>
      <c r="AA23" s="16"/>
      <c r="AB23" s="16"/>
      <c r="AC23" s="16"/>
      <c r="AD23" s="16"/>
      <c r="AE23" s="16"/>
      <c r="AF23" s="16"/>
    </row>
    <row r="24" spans="1:32" s="17" customFormat="1" x14ac:dyDescent="0.25">
      <c r="A24" s="371"/>
      <c r="B24" s="370" t="s">
        <v>470</v>
      </c>
      <c r="C24" s="16">
        <v>10</v>
      </c>
      <c r="D24" s="16">
        <v>11</v>
      </c>
      <c r="E24" s="16">
        <v>11</v>
      </c>
      <c r="F24" s="16">
        <v>11</v>
      </c>
      <c r="G24" s="16">
        <v>11</v>
      </c>
      <c r="H24" s="16">
        <v>11</v>
      </c>
      <c r="I24" s="16">
        <v>11</v>
      </c>
      <c r="J24" s="16">
        <v>11</v>
      </c>
      <c r="K24" s="16">
        <v>11</v>
      </c>
      <c r="L24" s="16">
        <v>11</v>
      </c>
      <c r="M24" s="16">
        <v>11</v>
      </c>
      <c r="N24" s="16">
        <v>11</v>
      </c>
      <c r="O24" s="16">
        <f t="shared" si="0"/>
        <v>10.916666666666666</v>
      </c>
      <c r="P24" s="16"/>
      <c r="Q24" s="42" t="s">
        <v>541</v>
      </c>
      <c r="R24" s="23"/>
      <c r="S24" s="23"/>
      <c r="T24" s="23"/>
      <c r="U24" s="23"/>
      <c r="V24" s="23">
        <f>O22</f>
        <v>0</v>
      </c>
      <c r="W24" s="23">
        <f>O23</f>
        <v>7.833333333333333</v>
      </c>
      <c r="X24" s="23"/>
      <c r="Y24" s="43"/>
      <c r="Z24" s="16"/>
      <c r="AA24" s="16"/>
      <c r="AB24" s="16"/>
      <c r="AC24" s="16"/>
      <c r="AD24" s="16"/>
      <c r="AE24" s="16"/>
      <c r="AF24" s="16"/>
    </row>
    <row r="25" spans="1:32" s="17" customFormat="1" x14ac:dyDescent="0.25">
      <c r="A25" s="371"/>
      <c r="B25" s="370" t="s">
        <v>473</v>
      </c>
      <c r="C25" s="20">
        <v>1</v>
      </c>
      <c r="D25" s="20">
        <v>1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0">
        <f t="shared" si="0"/>
        <v>1</v>
      </c>
      <c r="P25" s="16"/>
      <c r="Q25" s="44" t="s">
        <v>542</v>
      </c>
      <c r="R25" s="20"/>
      <c r="S25" s="20"/>
      <c r="T25" s="20"/>
      <c r="U25" s="20"/>
      <c r="V25" s="20"/>
      <c r="W25" s="20">
        <f>O24</f>
        <v>10.916666666666666</v>
      </c>
      <c r="X25" s="20"/>
      <c r="Y25" s="473">
        <f>O25</f>
        <v>1</v>
      </c>
      <c r="Z25" s="16"/>
      <c r="AA25" s="16"/>
      <c r="AB25" s="16"/>
      <c r="AC25" s="16"/>
      <c r="AD25" s="16"/>
      <c r="AE25" s="16"/>
      <c r="AF25" s="16"/>
    </row>
    <row r="26" spans="1:32" s="17" customFormat="1" x14ac:dyDescent="0.25">
      <c r="A26" s="371" t="s">
        <v>474</v>
      </c>
      <c r="B26" s="18"/>
      <c r="C26" s="16">
        <f t="shared" ref="C26:N26" si="7">SUM(C20:C25)</f>
        <v>39</v>
      </c>
      <c r="D26" s="16">
        <f t="shared" si="7"/>
        <v>41</v>
      </c>
      <c r="E26" s="16">
        <f t="shared" si="7"/>
        <v>39</v>
      </c>
      <c r="F26" s="16">
        <f t="shared" si="7"/>
        <v>40</v>
      </c>
      <c r="G26" s="16">
        <f t="shared" si="7"/>
        <v>41</v>
      </c>
      <c r="H26" s="16">
        <f t="shared" si="7"/>
        <v>41</v>
      </c>
      <c r="I26" s="16">
        <f t="shared" si="7"/>
        <v>41</v>
      </c>
      <c r="J26" s="16">
        <f t="shared" si="7"/>
        <v>41</v>
      </c>
      <c r="K26" s="16">
        <f t="shared" si="7"/>
        <v>41</v>
      </c>
      <c r="L26" s="16">
        <f t="shared" si="7"/>
        <v>41</v>
      </c>
      <c r="M26" s="16">
        <f t="shared" si="7"/>
        <v>41</v>
      </c>
      <c r="N26" s="16">
        <f t="shared" si="7"/>
        <v>41</v>
      </c>
      <c r="O26" s="16">
        <f t="shared" si="0"/>
        <v>40.583333333333336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17" customFormat="1" x14ac:dyDescent="0.25">
      <c r="A27" s="19"/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s="17" customFormat="1" x14ac:dyDescent="0.25">
      <c r="A28" s="371" t="s">
        <v>475</v>
      </c>
      <c r="B28" s="18"/>
      <c r="C28" s="16">
        <f t="shared" ref="C28:N28" si="8">+C26+C18</f>
        <v>81169</v>
      </c>
      <c r="D28" s="16">
        <f t="shared" si="8"/>
        <v>81519</v>
      </c>
      <c r="E28" s="16">
        <f t="shared" si="8"/>
        <v>81840</v>
      </c>
      <c r="F28" s="16">
        <f t="shared" si="8"/>
        <v>82168</v>
      </c>
      <c r="G28" s="16">
        <f t="shared" si="8"/>
        <v>82366</v>
      </c>
      <c r="H28" s="16">
        <f t="shared" si="8"/>
        <v>82581</v>
      </c>
      <c r="I28" s="16">
        <f t="shared" si="8"/>
        <v>82765</v>
      </c>
      <c r="J28" s="16">
        <f t="shared" si="8"/>
        <v>82886</v>
      </c>
      <c r="K28" s="16">
        <f t="shared" si="8"/>
        <v>83034</v>
      </c>
      <c r="L28" s="16">
        <f t="shared" si="8"/>
        <v>83155</v>
      </c>
      <c r="M28" s="16">
        <f t="shared" si="8"/>
        <v>83296</v>
      </c>
      <c r="N28" s="16">
        <f t="shared" si="8"/>
        <v>83562</v>
      </c>
      <c r="O28" s="16">
        <f>AVERAGE(C28:N28)</f>
        <v>82528.416666666672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x14ac:dyDescent="0.25">
      <c r="A29" s="19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</row>
    <row r="30" spans="1:32" x14ac:dyDescent="0.25">
      <c r="A30" s="19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</row>
    <row r="31" spans="1:32" x14ac:dyDescent="0.25"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</row>
    <row r="32" spans="1:32" x14ac:dyDescent="0.25"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</row>
    <row r="33" spans="3:32" x14ac:dyDescent="0.25"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</row>
    <row r="34" spans="3:32" x14ac:dyDescent="0.25"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</row>
    <row r="35" spans="3:32" x14ac:dyDescent="0.25"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</row>
    <row r="36" spans="3:32" x14ac:dyDescent="0.25"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</row>
    <row r="37" spans="3:32" x14ac:dyDescent="0.25"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</row>
    <row r="38" spans="3:32" x14ac:dyDescent="0.25"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</row>
    <row r="39" spans="3:32" x14ac:dyDescent="0.25"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</row>
    <row r="40" spans="3:32" x14ac:dyDescent="0.25"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</row>
    <row r="41" spans="3:32" x14ac:dyDescent="0.25"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</row>
    <row r="42" spans="3:32" x14ac:dyDescent="0.25"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</row>
    <row r="43" spans="3:32" x14ac:dyDescent="0.25"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</row>
    <row r="44" spans="3:32" x14ac:dyDescent="0.25"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</row>
    <row r="45" spans="3:32" x14ac:dyDescent="0.25"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</row>
    <row r="46" spans="3:32" x14ac:dyDescent="0.25"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</row>
    <row r="47" spans="3:32" x14ac:dyDescent="0.25"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</row>
    <row r="48" spans="3:32" x14ac:dyDescent="0.25"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</row>
    <row r="49" spans="3:32" x14ac:dyDescent="0.25"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</row>
    <row r="50" spans="3:32" x14ac:dyDescent="0.25"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</row>
    <row r="51" spans="3:32" x14ac:dyDescent="0.25"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</row>
    <row r="52" spans="3:32" x14ac:dyDescent="0.25"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</row>
    <row r="53" spans="3:32" x14ac:dyDescent="0.25"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</row>
    <row r="54" spans="3:32" x14ac:dyDescent="0.25"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</row>
    <row r="55" spans="3:32" x14ac:dyDescent="0.25"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</row>
    <row r="56" spans="3:32" x14ac:dyDescent="0.25"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</row>
    <row r="57" spans="3:32" x14ac:dyDescent="0.25"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</row>
    <row r="58" spans="3:32" x14ac:dyDescent="0.25"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</row>
    <row r="59" spans="3:32" x14ac:dyDescent="0.25"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</row>
    <row r="60" spans="3:32" x14ac:dyDescent="0.25"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</row>
  </sheetData>
  <printOptions horizontalCentered="1"/>
  <pageMargins left="0.25" right="0.25" top="0.75" bottom="0.75" header="0.3" footer="0.3"/>
  <pageSetup scale="56" fitToHeight="0" orientation="landscape" r:id="rId1"/>
  <headerFooter alignWithMargins="0">
    <oddFooter>&amp;C&amp;"Tahoma,Regular"&amp;8&amp;F &amp;D &amp;T&amp;R&amp;"Tahoma,Regular"&amp;8&amp;A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="85" zoomScaleNormal="85" workbookViewId="0">
      <selection activeCell="C17" sqref="C17"/>
    </sheetView>
  </sheetViews>
  <sheetFormatPr defaultColWidth="9.109375" defaultRowHeight="13.2" x14ac:dyDescent="0.25"/>
  <cols>
    <col min="1" max="1" width="13.6640625" style="369" customWidth="1"/>
    <col min="2" max="2" width="12" style="369" bestFit="1" customWidth="1"/>
    <col min="3" max="3" width="32.6640625" style="369" bestFit="1" customWidth="1"/>
    <col min="4" max="15" width="14.6640625" style="369" customWidth="1"/>
    <col min="16" max="16" width="14.6640625" style="346" customWidth="1"/>
    <col min="17" max="18" width="14.6640625" style="369" customWidth="1"/>
    <col min="19" max="19" width="22.6640625" style="369" customWidth="1"/>
    <col min="20" max="20" width="10" style="369" bestFit="1" customWidth="1"/>
    <col min="21" max="22" width="12" style="369" bestFit="1" customWidth="1"/>
    <col min="23" max="26" width="11" style="369" bestFit="1" customWidth="1"/>
    <col min="27" max="27" width="14.44140625" style="369" bestFit="1" customWidth="1"/>
    <col min="28" max="16384" width="9.109375" style="369"/>
  </cols>
  <sheetData>
    <row r="1" spans="1:28" ht="15" x14ac:dyDescent="0.25">
      <c r="A1" s="393" t="s">
        <v>476</v>
      </c>
      <c r="G1" s="372"/>
      <c r="H1" s="372"/>
      <c r="I1" s="372"/>
      <c r="J1" s="372"/>
      <c r="K1" s="372"/>
      <c r="L1" s="372"/>
      <c r="M1" s="372"/>
      <c r="N1" s="372"/>
      <c r="O1" s="372"/>
      <c r="Q1" s="63"/>
      <c r="R1" s="63"/>
      <c r="S1" s="481" t="s">
        <v>2406</v>
      </c>
    </row>
    <row r="2" spans="1:28" ht="14.4" x14ac:dyDescent="0.25">
      <c r="A2" s="381"/>
      <c r="G2" s="372"/>
      <c r="H2" s="372"/>
      <c r="I2" s="372"/>
      <c r="J2" s="372"/>
      <c r="K2" s="372"/>
      <c r="L2" s="372"/>
      <c r="M2" s="372"/>
      <c r="N2" s="372"/>
      <c r="O2" s="372"/>
      <c r="Q2" s="63"/>
      <c r="R2" s="63"/>
      <c r="S2" s="482" t="s">
        <v>321</v>
      </c>
    </row>
    <row r="3" spans="1:28" ht="14.4" x14ac:dyDescent="0.25">
      <c r="D3" s="378">
        <v>2017</v>
      </c>
      <c r="E3" s="378">
        <v>2017</v>
      </c>
      <c r="F3" s="378">
        <v>2017</v>
      </c>
      <c r="G3" s="378">
        <v>2018</v>
      </c>
      <c r="H3" s="378">
        <v>2018</v>
      </c>
      <c r="I3" s="378">
        <v>2018</v>
      </c>
      <c r="J3" s="378">
        <v>2018</v>
      </c>
      <c r="K3" s="378">
        <v>2018</v>
      </c>
      <c r="L3" s="378">
        <v>2018</v>
      </c>
      <c r="M3" s="378">
        <v>2018</v>
      </c>
      <c r="N3" s="378">
        <v>2018</v>
      </c>
      <c r="O3" s="378">
        <v>2018</v>
      </c>
      <c r="P3" s="391" t="s">
        <v>477</v>
      </c>
      <c r="Q3" s="64" t="s">
        <v>543</v>
      </c>
      <c r="R3" s="64" t="s">
        <v>544</v>
      </c>
      <c r="S3" s="482" t="s">
        <v>2408</v>
      </c>
    </row>
    <row r="4" spans="1:28" ht="14.4" x14ac:dyDescent="0.25">
      <c r="C4" s="392"/>
      <c r="D4" s="378" t="s">
        <v>263</v>
      </c>
      <c r="E4" s="378" t="s">
        <v>264</v>
      </c>
      <c r="F4" s="378" t="s">
        <v>265</v>
      </c>
      <c r="G4" s="378" t="s">
        <v>266</v>
      </c>
      <c r="H4" s="378" t="s">
        <v>267</v>
      </c>
      <c r="I4" s="378" t="s">
        <v>268</v>
      </c>
      <c r="J4" s="378" t="s">
        <v>269</v>
      </c>
      <c r="K4" s="378" t="s">
        <v>270</v>
      </c>
      <c r="L4" s="378" t="s">
        <v>271</v>
      </c>
      <c r="M4" s="378" t="s">
        <v>272</v>
      </c>
      <c r="N4" s="378" t="s">
        <v>273</v>
      </c>
      <c r="O4" s="378" t="s">
        <v>262</v>
      </c>
      <c r="P4" s="391"/>
      <c r="Q4" s="64"/>
      <c r="R4" s="64"/>
      <c r="S4" s="482" t="s">
        <v>1959</v>
      </c>
    </row>
    <row r="5" spans="1:28" ht="14.4" x14ac:dyDescent="0.25">
      <c r="Q5" s="63"/>
      <c r="R5" s="63"/>
      <c r="S5" s="482" t="s">
        <v>1907</v>
      </c>
    </row>
    <row r="6" spans="1:28" ht="14.4" x14ac:dyDescent="0.25">
      <c r="A6" s="388"/>
      <c r="B6" s="19" t="s">
        <v>458</v>
      </c>
      <c r="C6" s="370" t="s">
        <v>459</v>
      </c>
      <c r="D6" s="16">
        <v>12956.480979861035</v>
      </c>
      <c r="E6" s="16">
        <v>21703.683285770589</v>
      </c>
      <c r="F6" s="16">
        <v>29621.43717370569</v>
      </c>
      <c r="G6" s="16">
        <v>29450.809732212325</v>
      </c>
      <c r="H6" s="16">
        <v>24111.743852945488</v>
      </c>
      <c r="I6" s="16">
        <v>21849.670296842898</v>
      </c>
      <c r="J6" s="16">
        <v>16368.341609245726</v>
      </c>
      <c r="K6" s="16">
        <v>11033.420467211996</v>
      </c>
      <c r="L6" s="16">
        <v>7989.7326964442082</v>
      </c>
      <c r="M6" s="16">
        <v>6735.8823316682719</v>
      </c>
      <c r="N6" s="16">
        <v>6702.2481211922259</v>
      </c>
      <c r="O6" s="16">
        <v>6976.8774498172506</v>
      </c>
      <c r="P6" s="21">
        <f>SUM(D6:O6)</f>
        <v>195500.32799691771</v>
      </c>
      <c r="Q6" s="65">
        <f>SUM(E6:I6)</f>
        <v>126737.344341477</v>
      </c>
      <c r="R6" s="65">
        <f>MAX(SUM(E6:I6)-AVERAGE(D6,J6:O6)*5,0)</f>
        <v>77620.927444733621</v>
      </c>
      <c r="S6" s="482" t="s">
        <v>2409</v>
      </c>
    </row>
    <row r="7" spans="1:28" ht="14.4" x14ac:dyDescent="0.25">
      <c r="A7" s="388"/>
      <c r="B7" s="19"/>
      <c r="C7" s="370" t="s">
        <v>460</v>
      </c>
      <c r="D7" s="16">
        <v>3136929.0421701102</v>
      </c>
      <c r="E7" s="16">
        <v>5875485.6121540396</v>
      </c>
      <c r="F7" s="16">
        <v>8301172.843677626</v>
      </c>
      <c r="G7" s="16">
        <v>8207401.5910515012</v>
      </c>
      <c r="H7" s="16">
        <v>6640405.7948552137</v>
      </c>
      <c r="I7" s="16">
        <v>5822528.0841272539</v>
      </c>
      <c r="J7" s="16">
        <v>4144454.1229169634</v>
      </c>
      <c r="K7" s="16">
        <v>2472214.2382290815</v>
      </c>
      <c r="L7" s="16">
        <v>1555430.5164252147</v>
      </c>
      <c r="M7" s="16">
        <v>1300232.82234002</v>
      </c>
      <c r="N7" s="16">
        <v>1294665.2298803527</v>
      </c>
      <c r="O7" s="16">
        <v>1422248.8931354135</v>
      </c>
      <c r="P7" s="21">
        <f t="shared" ref="P7:P10" si="0">SUM(D7:O7)</f>
        <v>50173168.790962793</v>
      </c>
      <c r="Q7" s="65">
        <f>SUM(E7:I7)</f>
        <v>34846993.925865635</v>
      </c>
      <c r="R7" s="65">
        <f>MAX(SUM(E7:I7)-AVERAGE(D7,J7:O7)*5,0)</f>
        <v>23899726.165081952</v>
      </c>
      <c r="S7" s="482" t="s">
        <v>2410</v>
      </c>
    </row>
    <row r="8" spans="1:28" x14ac:dyDescent="0.25">
      <c r="A8" s="19"/>
      <c r="B8" s="19"/>
      <c r="C8" s="18" t="s">
        <v>461</v>
      </c>
      <c r="D8" s="16">
        <v>2855.2554682601694</v>
      </c>
      <c r="E8" s="16">
        <v>5161.1959119392759</v>
      </c>
      <c r="F8" s="16">
        <v>7301.5186083272847</v>
      </c>
      <c r="G8" s="16">
        <v>7186.0728724598011</v>
      </c>
      <c r="H8" s="16">
        <v>5477.351001903965</v>
      </c>
      <c r="I8" s="16">
        <v>4905.3614147051685</v>
      </c>
      <c r="J8" s="16">
        <v>3580.8482515723167</v>
      </c>
      <c r="K8" s="16">
        <v>2209.5848755178113</v>
      </c>
      <c r="L8" s="16">
        <v>1554.7207878632348</v>
      </c>
      <c r="M8" s="16">
        <v>1759.1636723316321</v>
      </c>
      <c r="N8" s="16">
        <v>1754.0744171541789</v>
      </c>
      <c r="O8" s="16">
        <v>1788.0783854979602</v>
      </c>
      <c r="P8" s="21">
        <f t="shared" si="0"/>
        <v>45533.225667532795</v>
      </c>
      <c r="Q8" s="65">
        <f>SUM(E8:I8)</f>
        <v>30031.499809335495</v>
      </c>
      <c r="R8" s="65">
        <f>MAX(SUM(E8:I8)-AVERAGE(D8,J8:O8)*5,0)</f>
        <v>18958.838482051709</v>
      </c>
      <c r="S8" s="16"/>
    </row>
    <row r="9" spans="1:28" x14ac:dyDescent="0.25">
      <c r="A9" s="19"/>
      <c r="B9" s="19"/>
      <c r="C9" s="18" t="s">
        <v>462</v>
      </c>
      <c r="D9" s="16">
        <v>1056457.124108118</v>
      </c>
      <c r="E9" s="16">
        <v>1888738.4155285291</v>
      </c>
      <c r="F9" s="16">
        <v>2658133.2272234042</v>
      </c>
      <c r="G9" s="16">
        <v>2644400.5211002515</v>
      </c>
      <c r="H9" s="16">
        <v>2145949.1697251941</v>
      </c>
      <c r="I9" s="16">
        <v>1891172.2441892126</v>
      </c>
      <c r="J9" s="16">
        <v>1371071.4054780083</v>
      </c>
      <c r="K9" s="16">
        <v>882511.99031729472</v>
      </c>
      <c r="L9" s="16">
        <v>632068.18692368048</v>
      </c>
      <c r="M9" s="16">
        <v>571172.13733501325</v>
      </c>
      <c r="N9" s="16">
        <v>568327.83601371257</v>
      </c>
      <c r="O9" s="16">
        <v>582372.28866625368</v>
      </c>
      <c r="P9" s="21">
        <f t="shared" si="0"/>
        <v>16892374.546608672</v>
      </c>
      <c r="Q9" s="65">
        <f>SUM(E9:I9)</f>
        <v>11228393.577766592</v>
      </c>
      <c r="R9" s="65">
        <f>MAX(SUM(E9:I9)-AVERAGE(D9,J9:O9)*5,0)</f>
        <v>7182692.8857365334</v>
      </c>
      <c r="S9" s="51"/>
      <c r="T9" s="52" t="s">
        <v>433</v>
      </c>
      <c r="U9" s="52" t="s">
        <v>434</v>
      </c>
      <c r="V9" s="52" t="s">
        <v>435</v>
      </c>
      <c r="W9" s="52" t="s">
        <v>436</v>
      </c>
      <c r="X9" s="52" t="s">
        <v>437</v>
      </c>
      <c r="Y9" s="52" t="s">
        <v>438</v>
      </c>
      <c r="Z9" s="52" t="s">
        <v>439</v>
      </c>
      <c r="AA9" s="53" t="s">
        <v>440</v>
      </c>
      <c r="AB9" s="46"/>
    </row>
    <row r="10" spans="1:28" x14ac:dyDescent="0.25">
      <c r="A10" s="19"/>
      <c r="B10" s="19"/>
      <c r="C10" s="18" t="s">
        <v>463</v>
      </c>
      <c r="D10" s="16">
        <v>33460.105393483514</v>
      </c>
      <c r="E10" s="16">
        <v>65662.760754138464</v>
      </c>
      <c r="F10" s="16">
        <v>96059.695948290086</v>
      </c>
      <c r="G10" s="16">
        <v>88978.493674624347</v>
      </c>
      <c r="H10" s="16">
        <v>72981.617790224584</v>
      </c>
      <c r="I10" s="16">
        <v>62823.951575120787</v>
      </c>
      <c r="J10" s="16">
        <v>43614.528715114866</v>
      </c>
      <c r="K10" s="16">
        <v>24854.764876565896</v>
      </c>
      <c r="L10" s="16">
        <v>15828.381828621268</v>
      </c>
      <c r="M10" s="16">
        <v>3838.173529512761</v>
      </c>
      <c r="N10" s="16">
        <v>3861.8528937342621</v>
      </c>
      <c r="O10" s="16">
        <v>5146.3213168998327</v>
      </c>
      <c r="P10" s="21">
        <f t="shared" si="0"/>
        <v>517110.64829633071</v>
      </c>
      <c r="Q10" s="65">
        <f>SUM(E10:I10)</f>
        <v>386506.51974239829</v>
      </c>
      <c r="R10" s="65">
        <f>MAX(SUM(E10:I10)-AVERAGE(D10,J10:O10)*5,0)</f>
        <v>293217.85648958944</v>
      </c>
      <c r="S10" s="61" t="s">
        <v>2309</v>
      </c>
      <c r="T10" s="32">
        <f>SUM(T18:T25)</f>
        <v>241033.5536644505</v>
      </c>
      <c r="U10" s="32">
        <f t="shared" ref="U10:AA10" si="1">SUM(U18:U25)</f>
        <v>50173168.790962793</v>
      </c>
      <c r="V10" s="32">
        <f t="shared" si="1"/>
        <v>17370932.746608671</v>
      </c>
      <c r="W10" s="32">
        <f t="shared" si="1"/>
        <v>517110.64829633071</v>
      </c>
      <c r="X10" s="32">
        <f t="shared" si="1"/>
        <v>5299749.9210790517</v>
      </c>
      <c r="Y10" s="32">
        <f t="shared" si="1"/>
        <v>20994553.018093295</v>
      </c>
      <c r="Z10" s="32">
        <f t="shared" si="1"/>
        <v>0</v>
      </c>
      <c r="AA10" s="325">
        <f t="shared" si="1"/>
        <v>2813155</v>
      </c>
      <c r="AB10" s="56" t="b">
        <f>SUM(T10:AA10)=P101</f>
        <v>1</v>
      </c>
    </row>
    <row r="11" spans="1:28" x14ac:dyDescent="0.25">
      <c r="A11" s="19"/>
      <c r="B11" s="19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1"/>
      <c r="Q11" s="65"/>
      <c r="R11" s="65"/>
      <c r="S11" s="42"/>
      <c r="T11" s="55"/>
      <c r="U11" s="55"/>
      <c r="V11" s="55"/>
      <c r="W11" s="55"/>
      <c r="X11" s="55"/>
      <c r="Y11" s="55"/>
      <c r="Z11" s="55"/>
      <c r="AA11" s="48"/>
      <c r="AB11" s="15"/>
    </row>
    <row r="12" spans="1:28" x14ac:dyDescent="0.25">
      <c r="A12" s="390"/>
      <c r="B12" s="19"/>
      <c r="C12" s="22" t="s">
        <v>478</v>
      </c>
      <c r="D12" s="23">
        <v>127322.45967226822</v>
      </c>
      <c r="E12" s="23">
        <v>196026.18357702921</v>
      </c>
      <c r="F12" s="23">
        <v>262918.11470485362</v>
      </c>
      <c r="G12" s="23">
        <v>256791.69296221959</v>
      </c>
      <c r="H12" s="23">
        <v>214662.61307189308</v>
      </c>
      <c r="I12" s="23">
        <v>196659.20156928882</v>
      </c>
      <c r="J12" s="23">
        <v>153914.24842065727</v>
      </c>
      <c r="K12" s="23">
        <v>115943.42348042765</v>
      </c>
      <c r="L12" s="23">
        <v>91687.863495131372</v>
      </c>
      <c r="M12" s="23">
        <v>76585.274374214394</v>
      </c>
      <c r="N12" s="23">
        <v>76448.909299498147</v>
      </c>
      <c r="O12" s="23">
        <v>76410.067477146265</v>
      </c>
      <c r="P12" s="21"/>
      <c r="Q12" s="65"/>
      <c r="R12" s="65"/>
      <c r="S12" s="42" t="s">
        <v>532</v>
      </c>
      <c r="T12" s="55">
        <f>SUM(T18:T20)</f>
        <v>241033.5536644505</v>
      </c>
      <c r="U12" s="55">
        <f t="shared" ref="U12:AA12" si="2">SUM(U18:U20)</f>
        <v>50173168.790962793</v>
      </c>
      <c r="V12" s="55">
        <f t="shared" si="2"/>
        <v>17370932.746608671</v>
      </c>
      <c r="W12" s="55">
        <f t="shared" si="2"/>
        <v>517110.64829633071</v>
      </c>
      <c r="X12" s="55">
        <f t="shared" si="2"/>
        <v>4336314.9210790517</v>
      </c>
      <c r="Y12" s="55">
        <f t="shared" si="2"/>
        <v>2664688.0180932935</v>
      </c>
      <c r="Z12" s="55">
        <f t="shared" si="2"/>
        <v>0</v>
      </c>
      <c r="AA12" s="48">
        <f t="shared" si="2"/>
        <v>0</v>
      </c>
      <c r="AB12" s="15"/>
    </row>
    <row r="13" spans="1:28" x14ac:dyDescent="0.25">
      <c r="A13" s="390"/>
      <c r="B13" s="19"/>
      <c r="C13" s="22" t="s">
        <v>479</v>
      </c>
      <c r="D13" s="20">
        <v>125728.68950233005</v>
      </c>
      <c r="E13" s="20">
        <v>193572.40845584421</v>
      </c>
      <c r="F13" s="20">
        <v>259627.01390903504</v>
      </c>
      <c r="G13" s="20">
        <v>253577.28019337603</v>
      </c>
      <c r="H13" s="20">
        <v>211975.55479328617</v>
      </c>
      <c r="I13" s="20">
        <v>194197.50258929923</v>
      </c>
      <c r="J13" s="20">
        <v>151987.61317898257</v>
      </c>
      <c r="K13" s="20">
        <v>114492.09140422317</v>
      </c>
      <c r="L13" s="20">
        <v>90540.152540127499</v>
      </c>
      <c r="M13" s="20">
        <v>75626.611416647153</v>
      </c>
      <c r="N13" s="20">
        <v>75491.95330383585</v>
      </c>
      <c r="O13" s="20">
        <v>75453.597687436704</v>
      </c>
      <c r="P13" s="24"/>
      <c r="Q13" s="66"/>
      <c r="R13" s="66"/>
      <c r="S13" s="42" t="s">
        <v>533</v>
      </c>
      <c r="T13" s="55">
        <f>SUM(T21)</f>
        <v>0</v>
      </c>
      <c r="U13" s="55">
        <f t="shared" ref="U13:AA13" si="3">SUM(U21)</f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1319198</v>
      </c>
      <c r="Z13" s="55">
        <f t="shared" si="3"/>
        <v>0</v>
      </c>
      <c r="AA13" s="48">
        <f t="shared" si="3"/>
        <v>0</v>
      </c>
      <c r="AB13" s="15"/>
    </row>
    <row r="14" spans="1:28" x14ac:dyDescent="0.25">
      <c r="A14" s="390"/>
      <c r="B14" s="19"/>
      <c r="C14" s="18" t="s">
        <v>464</v>
      </c>
      <c r="D14" s="16">
        <f t="shared" ref="D14:F14" si="4">SUM(D12:D13)</f>
        <v>253051.14917459828</v>
      </c>
      <c r="E14" s="16">
        <f t="shared" si="4"/>
        <v>389598.59203287342</v>
      </c>
      <c r="F14" s="16">
        <f t="shared" si="4"/>
        <v>522545.12861388864</v>
      </c>
      <c r="G14" s="16">
        <f t="shared" ref="G14:O14" si="5">SUM(G12:G13)</f>
        <v>510368.9731555956</v>
      </c>
      <c r="H14" s="16">
        <f t="shared" si="5"/>
        <v>426638.16786517925</v>
      </c>
      <c r="I14" s="16">
        <f t="shared" si="5"/>
        <v>390856.70415858808</v>
      </c>
      <c r="J14" s="16">
        <f t="shared" si="5"/>
        <v>305901.86159963987</v>
      </c>
      <c r="K14" s="16">
        <f t="shared" si="5"/>
        <v>230435.51488465082</v>
      </c>
      <c r="L14" s="16">
        <f t="shared" si="5"/>
        <v>182228.01603525889</v>
      </c>
      <c r="M14" s="16">
        <f t="shared" si="5"/>
        <v>152211.88579086156</v>
      </c>
      <c r="N14" s="16">
        <f t="shared" si="5"/>
        <v>151940.86260333401</v>
      </c>
      <c r="O14" s="16">
        <f t="shared" si="5"/>
        <v>151863.66516458296</v>
      </c>
      <c r="P14" s="21">
        <f t="shared" ref="P14" si="6">SUM(D14:O14)</f>
        <v>3667640.5210790518</v>
      </c>
      <c r="Q14" s="65">
        <f>SUM(E14:I14)</f>
        <v>2240007.565826125</v>
      </c>
      <c r="R14" s="65">
        <f>MAX(SUM(E14:I14)-AVERAGE(D14,J14:O14)*5,0)</f>
        <v>1220269.7406454633</v>
      </c>
      <c r="S14" s="42"/>
      <c r="T14" s="55"/>
      <c r="U14" s="55"/>
      <c r="V14" s="55"/>
      <c r="W14" s="55"/>
      <c r="X14" s="55"/>
      <c r="Y14" s="55"/>
      <c r="Z14" s="55"/>
      <c r="AA14" s="48"/>
      <c r="AB14" s="15"/>
    </row>
    <row r="15" spans="1:28" x14ac:dyDescent="0.25">
      <c r="A15" s="390"/>
      <c r="B15" s="19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/>
      <c r="Q15" s="65"/>
      <c r="R15" s="65"/>
      <c r="S15" s="42" t="s">
        <v>535</v>
      </c>
      <c r="T15" s="55">
        <f>SUM(T23:T24)</f>
        <v>0</v>
      </c>
      <c r="U15" s="55">
        <f t="shared" ref="U15:AA15" si="7">SUM(U23:U24)</f>
        <v>0</v>
      </c>
      <c r="V15" s="55">
        <f t="shared" si="7"/>
        <v>0</v>
      </c>
      <c r="W15" s="55">
        <f t="shared" si="7"/>
        <v>0</v>
      </c>
      <c r="X15" s="55">
        <f t="shared" si="7"/>
        <v>963435</v>
      </c>
      <c r="Y15" s="55">
        <f t="shared" si="7"/>
        <v>6102285</v>
      </c>
      <c r="Z15" s="55">
        <f t="shared" si="7"/>
        <v>0</v>
      </c>
      <c r="AA15" s="48">
        <f t="shared" si="7"/>
        <v>0</v>
      </c>
      <c r="AB15" s="15"/>
    </row>
    <row r="16" spans="1:28" x14ac:dyDescent="0.25">
      <c r="A16" s="390"/>
      <c r="B16" s="19"/>
      <c r="C16" s="22" t="s">
        <v>480</v>
      </c>
      <c r="D16" s="23">
        <v>27650.187898451848</v>
      </c>
      <c r="E16" s="23">
        <v>41848.025594814419</v>
      </c>
      <c r="F16" s="23">
        <v>55263.939144870208</v>
      </c>
      <c r="G16" s="23">
        <v>54558.872047250552</v>
      </c>
      <c r="H16" s="23">
        <v>45001.984383736031</v>
      </c>
      <c r="I16" s="23">
        <v>41461.97100188108</v>
      </c>
      <c r="J16" s="23">
        <v>32196.299868149435</v>
      </c>
      <c r="K16" s="23">
        <v>24165.751575310009</v>
      </c>
      <c r="L16" s="23">
        <v>19572.169794814909</v>
      </c>
      <c r="M16" s="23">
        <v>13299.693567150405</v>
      </c>
      <c r="N16" s="23">
        <v>8845.7411590260745</v>
      </c>
      <c r="O16" s="23">
        <v>11161.53166684791</v>
      </c>
      <c r="P16" s="21"/>
      <c r="Q16" s="65"/>
      <c r="R16" s="65"/>
      <c r="S16" s="42" t="s">
        <v>534</v>
      </c>
      <c r="T16" s="55">
        <f>SUM(T25)</f>
        <v>0</v>
      </c>
      <c r="U16" s="55">
        <f t="shared" ref="U16:AA16" si="8">SUM(U25)</f>
        <v>0</v>
      </c>
      <c r="V16" s="55">
        <f t="shared" si="8"/>
        <v>0</v>
      </c>
      <c r="W16" s="55">
        <f t="shared" si="8"/>
        <v>0</v>
      </c>
      <c r="X16" s="55">
        <f t="shared" si="8"/>
        <v>0</v>
      </c>
      <c r="Y16" s="55">
        <f t="shared" si="8"/>
        <v>10908382</v>
      </c>
      <c r="Z16" s="55">
        <f t="shared" si="8"/>
        <v>0</v>
      </c>
      <c r="AA16" s="48">
        <f t="shared" si="8"/>
        <v>2813155</v>
      </c>
      <c r="AB16" s="15"/>
    </row>
    <row r="17" spans="1:28" x14ac:dyDescent="0.25">
      <c r="A17" s="390"/>
      <c r="B17" s="19"/>
      <c r="C17" s="22" t="s">
        <v>481</v>
      </c>
      <c r="D17" s="23">
        <v>21858.236043900299</v>
      </c>
      <c r="E17" s="23">
        <v>33082.018277128984</v>
      </c>
      <c r="F17" s="23">
        <v>43687.667909553325</v>
      </c>
      <c r="G17" s="23">
        <v>43130.2929252256</v>
      </c>
      <c r="H17" s="23">
        <v>35575.30967660054</v>
      </c>
      <c r="I17" s="23">
        <v>32776.831475174513</v>
      </c>
      <c r="J17" s="23">
        <v>25452.062924230973</v>
      </c>
      <c r="K17" s="23">
        <v>19103.693040037426</v>
      </c>
      <c r="L17" s="23">
        <v>15472.339965194718</v>
      </c>
      <c r="M17" s="23">
        <v>10513.774530935207</v>
      </c>
      <c r="N17" s="23">
        <v>6992.8023255155549</v>
      </c>
      <c r="O17" s="23">
        <v>8823.4985845824813</v>
      </c>
      <c r="P17" s="21"/>
      <c r="Q17" s="65"/>
      <c r="R17" s="65"/>
      <c r="S17" s="42"/>
      <c r="T17" s="47"/>
      <c r="U17" s="47"/>
      <c r="V17" s="47"/>
      <c r="W17" s="47"/>
      <c r="X17" s="47"/>
      <c r="Y17" s="47"/>
      <c r="Z17" s="47"/>
      <c r="AA17" s="48"/>
      <c r="AB17" s="15"/>
    </row>
    <row r="18" spans="1:28" x14ac:dyDescent="0.25">
      <c r="A18" s="390"/>
      <c r="B18" s="19"/>
      <c r="C18" s="22" t="s">
        <v>482</v>
      </c>
      <c r="D18" s="23">
        <v>5480.0509173680175</v>
      </c>
      <c r="E18" s="23">
        <v>8293.9512705352463</v>
      </c>
      <c r="F18" s="23">
        <v>10952.880375368914</v>
      </c>
      <c r="G18" s="23">
        <v>10813.141592786065</v>
      </c>
      <c r="H18" s="23">
        <v>8919.0412271766818</v>
      </c>
      <c r="I18" s="23">
        <v>8217.438270553901</v>
      </c>
      <c r="J18" s="23">
        <v>6381.054742784836</v>
      </c>
      <c r="K18" s="23">
        <v>4789.4628989693056</v>
      </c>
      <c r="L18" s="23">
        <v>3879.0509284373934</v>
      </c>
      <c r="M18" s="23">
        <v>2635.8952134808769</v>
      </c>
      <c r="N18" s="23">
        <v>1753.1566921480132</v>
      </c>
      <c r="O18" s="23">
        <v>2212.1282529717191</v>
      </c>
      <c r="P18" s="21"/>
      <c r="Q18" s="65"/>
      <c r="R18" s="65"/>
      <c r="S18" s="42" t="s">
        <v>537</v>
      </c>
      <c r="T18" s="32">
        <f>P6</f>
        <v>195500.32799691771</v>
      </c>
      <c r="U18" s="32">
        <f>P7</f>
        <v>50173168.790962793</v>
      </c>
      <c r="V18" s="47"/>
      <c r="W18" s="47"/>
      <c r="X18" s="47"/>
      <c r="Y18" s="47"/>
      <c r="Z18" s="47"/>
      <c r="AA18" s="48"/>
      <c r="AB18" s="15"/>
    </row>
    <row r="19" spans="1:28" x14ac:dyDescent="0.25">
      <c r="A19" s="390"/>
      <c r="B19" s="19"/>
      <c r="C19" s="22" t="s">
        <v>483</v>
      </c>
      <c r="D19" s="23">
        <v>88.221562431364589</v>
      </c>
      <c r="E19" s="23">
        <v>133.52163161426381</v>
      </c>
      <c r="F19" s="23">
        <v>176.32686893043794</v>
      </c>
      <c r="G19" s="23">
        <v>174.07725958964801</v>
      </c>
      <c r="H19" s="23">
        <v>143.58475209737557</v>
      </c>
      <c r="I19" s="23">
        <v>132.28987364222161</v>
      </c>
      <c r="J19" s="23">
        <v>102.72653080364481</v>
      </c>
      <c r="K19" s="23">
        <v>77.10400989432074</v>
      </c>
      <c r="L19" s="23">
        <v>62.44758284507752</v>
      </c>
      <c r="M19" s="23">
        <v>42.434422169625563</v>
      </c>
      <c r="N19" s="23">
        <v>28.223501003998763</v>
      </c>
      <c r="O19" s="23">
        <v>35.612335308275021</v>
      </c>
      <c r="P19" s="21"/>
      <c r="Q19" s="65"/>
      <c r="R19" s="65"/>
      <c r="S19" s="42" t="s">
        <v>538</v>
      </c>
      <c r="T19" s="32">
        <f>P8</f>
        <v>45533.225667532795</v>
      </c>
      <c r="U19" s="47"/>
      <c r="V19" s="32">
        <f>P9</f>
        <v>16892374.546608672</v>
      </c>
      <c r="W19" s="32">
        <f>P10</f>
        <v>517110.64829633071</v>
      </c>
      <c r="X19" s="32">
        <f>P14</f>
        <v>3667640.5210790518</v>
      </c>
      <c r="Y19" s="32">
        <f>P22</f>
        <v>747018.51809329365</v>
      </c>
      <c r="Z19" s="47"/>
      <c r="AA19" s="48"/>
      <c r="AB19" s="15"/>
    </row>
    <row r="20" spans="1:28" x14ac:dyDescent="0.25">
      <c r="A20" s="390"/>
      <c r="B20" s="19"/>
      <c r="C20" s="22" t="s">
        <v>484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1"/>
      <c r="Q20" s="65"/>
      <c r="R20" s="65"/>
      <c r="S20" s="42" t="s">
        <v>539</v>
      </c>
      <c r="T20" s="47"/>
      <c r="U20" s="47"/>
      <c r="V20" s="32">
        <f>P24</f>
        <v>478558.2</v>
      </c>
      <c r="W20" s="47"/>
      <c r="X20" s="32">
        <f>P28</f>
        <v>668674.4</v>
      </c>
      <c r="Y20" s="32">
        <f>P36</f>
        <v>1917669.5</v>
      </c>
      <c r="Z20" s="47"/>
      <c r="AA20" s="48"/>
      <c r="AB20" s="15"/>
    </row>
    <row r="21" spans="1:28" x14ac:dyDescent="0.25">
      <c r="A21" s="390"/>
      <c r="B21" s="19"/>
      <c r="C21" s="22" t="s">
        <v>485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4"/>
      <c r="Q21" s="66"/>
      <c r="R21" s="66"/>
      <c r="S21" s="42" t="s">
        <v>536</v>
      </c>
      <c r="T21" s="47"/>
      <c r="U21" s="47"/>
      <c r="V21" s="47"/>
      <c r="W21" s="47"/>
      <c r="X21" s="47"/>
      <c r="Y21" s="32">
        <f>P48</f>
        <v>1319198</v>
      </c>
      <c r="Z21" s="47"/>
      <c r="AA21" s="48"/>
      <c r="AB21" s="15"/>
    </row>
    <row r="22" spans="1:28" x14ac:dyDescent="0.25">
      <c r="A22" s="390"/>
      <c r="B22" s="19"/>
      <c r="C22" s="18" t="s">
        <v>465</v>
      </c>
      <c r="D22" s="16">
        <f t="shared" ref="D22:F22" si="9">SUM(D16:D21)</f>
        <v>55076.69642215153</v>
      </c>
      <c r="E22" s="16">
        <f t="shared" si="9"/>
        <v>83357.516774092903</v>
      </c>
      <c r="F22" s="16">
        <f t="shared" si="9"/>
        <v>110080.81429872289</v>
      </c>
      <c r="G22" s="16">
        <f t="shared" ref="G22:O22" si="10">SUM(G16:G21)</f>
        <v>108676.38382485186</v>
      </c>
      <c r="H22" s="16">
        <f t="shared" si="10"/>
        <v>89639.920039610632</v>
      </c>
      <c r="I22" s="16">
        <f t="shared" si="10"/>
        <v>82588.530621251717</v>
      </c>
      <c r="J22" s="16">
        <f t="shared" si="10"/>
        <v>64132.144065968889</v>
      </c>
      <c r="K22" s="16">
        <f t="shared" si="10"/>
        <v>48136.011524211062</v>
      </c>
      <c r="L22" s="16">
        <f t="shared" si="10"/>
        <v>38986.008271292092</v>
      </c>
      <c r="M22" s="16">
        <f t="shared" si="10"/>
        <v>26491.797733736119</v>
      </c>
      <c r="N22" s="16">
        <f t="shared" si="10"/>
        <v>17619.923677693641</v>
      </c>
      <c r="O22" s="16">
        <f t="shared" si="10"/>
        <v>22232.770839710389</v>
      </c>
      <c r="P22" s="21">
        <f t="shared" ref="P22" si="11">SUM(D22:O22)</f>
        <v>747018.51809329365</v>
      </c>
      <c r="Q22" s="65">
        <f>SUM(E22:I22)</f>
        <v>474343.16555853002</v>
      </c>
      <c r="R22" s="65">
        <f>MAX(SUM(E22:I22)-AVERAGE(D22,J22:O22)*5,0)</f>
        <v>279575.05660512741</v>
      </c>
      <c r="S22" s="42"/>
      <c r="T22" s="47"/>
      <c r="U22" s="47"/>
      <c r="V22" s="47"/>
      <c r="W22" s="47"/>
      <c r="X22" s="47"/>
      <c r="Y22" s="47"/>
      <c r="Z22" s="47"/>
      <c r="AA22" s="48"/>
      <c r="AB22" s="15"/>
    </row>
    <row r="23" spans="1:28" x14ac:dyDescent="0.25">
      <c r="B23" s="19"/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1"/>
      <c r="Q23" s="65"/>
      <c r="R23" s="65"/>
      <c r="S23" s="42" t="s">
        <v>540</v>
      </c>
      <c r="T23" s="47"/>
      <c r="U23" s="47"/>
      <c r="V23" s="47"/>
      <c r="W23" s="47"/>
      <c r="X23" s="32">
        <f>P53</f>
        <v>963435</v>
      </c>
      <c r="Y23" s="32">
        <f>P61</f>
        <v>2057969</v>
      </c>
      <c r="Z23" s="47"/>
      <c r="AA23" s="48"/>
      <c r="AB23" s="15"/>
    </row>
    <row r="24" spans="1:28" x14ac:dyDescent="0.25">
      <c r="B24" s="19"/>
      <c r="C24" s="18" t="s">
        <v>486</v>
      </c>
      <c r="D24" s="16">
        <v>25167.4</v>
      </c>
      <c r="E24" s="16">
        <v>39410.900000000009</v>
      </c>
      <c r="F24" s="16">
        <v>54104.800000000003</v>
      </c>
      <c r="G24" s="16">
        <v>71632.700000000012</v>
      </c>
      <c r="H24" s="16">
        <v>57320.999999999993</v>
      </c>
      <c r="I24" s="16">
        <v>56906.100000000006</v>
      </c>
      <c r="J24" s="16">
        <v>45634.9</v>
      </c>
      <c r="K24" s="16">
        <v>32808.300000000003</v>
      </c>
      <c r="L24" s="16">
        <v>26394.5</v>
      </c>
      <c r="M24" s="16">
        <v>24727.000000000004</v>
      </c>
      <c r="N24" s="16">
        <v>21904.600000000002</v>
      </c>
      <c r="O24" s="16">
        <v>22545.999999999993</v>
      </c>
      <c r="P24" s="21">
        <f t="shared" ref="P24" si="12">SUM(D24:O24)</f>
        <v>478558.2</v>
      </c>
      <c r="Q24" s="65">
        <f>SUM(E24:I24)</f>
        <v>279375.5</v>
      </c>
      <c r="R24" s="65">
        <f>MAX(SUM(E24:I24)-AVERAGE(D24,J24:O24)*5,0)</f>
        <v>137102.14285714284</v>
      </c>
      <c r="S24" s="42" t="s">
        <v>541</v>
      </c>
      <c r="T24" s="47"/>
      <c r="U24" s="47"/>
      <c r="V24" s="47"/>
      <c r="W24" s="47"/>
      <c r="X24" s="47"/>
      <c r="Y24" s="32">
        <f>P73</f>
        <v>4044316</v>
      </c>
      <c r="Z24" s="47"/>
      <c r="AA24" s="48"/>
      <c r="AB24" s="15"/>
    </row>
    <row r="25" spans="1:28" x14ac:dyDescent="0.25">
      <c r="B25" s="19"/>
      <c r="C25" s="18"/>
      <c r="Q25" s="63"/>
      <c r="R25" s="63"/>
      <c r="S25" s="49" t="s">
        <v>542</v>
      </c>
      <c r="T25" s="47"/>
      <c r="U25" s="47"/>
      <c r="V25" s="47"/>
      <c r="W25" s="47"/>
      <c r="X25" s="47"/>
      <c r="Y25" s="32">
        <f>P81</f>
        <v>10908382</v>
      </c>
      <c r="Z25" s="47"/>
      <c r="AA25" s="43">
        <f>P83</f>
        <v>2813155</v>
      </c>
      <c r="AB25" s="15"/>
    </row>
    <row r="26" spans="1:28" x14ac:dyDescent="0.25">
      <c r="B26" s="19"/>
      <c r="C26" s="22" t="s">
        <v>487</v>
      </c>
      <c r="D26" s="16">
        <v>27144.100000000002</v>
      </c>
      <c r="E26" s="16">
        <v>28989.5</v>
      </c>
      <c r="F26" s="16">
        <v>30000</v>
      </c>
      <c r="G26" s="16">
        <v>30000</v>
      </c>
      <c r="H26" s="16">
        <v>29943.8</v>
      </c>
      <c r="I26" s="16">
        <v>30000</v>
      </c>
      <c r="J26" s="16">
        <v>29800</v>
      </c>
      <c r="K26" s="16">
        <v>28490.799999999999</v>
      </c>
      <c r="L26" s="16">
        <v>23629.7</v>
      </c>
      <c r="M26" s="16">
        <v>22839.5</v>
      </c>
      <c r="N26" s="16">
        <v>20498.8</v>
      </c>
      <c r="O26" s="16">
        <v>20771.5</v>
      </c>
      <c r="P26" s="21"/>
      <c r="Q26" s="65"/>
      <c r="R26" s="65"/>
      <c r="S26" s="57"/>
      <c r="T26" s="58"/>
      <c r="U26" s="58"/>
      <c r="V26" s="58"/>
      <c r="W26" s="58"/>
      <c r="X26" s="58"/>
      <c r="Y26" s="58"/>
      <c r="Z26" s="58"/>
      <c r="AA26" s="58"/>
      <c r="AB26" s="15"/>
    </row>
    <row r="27" spans="1:28" x14ac:dyDescent="0.25">
      <c r="B27" s="19"/>
      <c r="C27" s="22" t="s">
        <v>488</v>
      </c>
      <c r="D27" s="20">
        <v>17821.499999999996</v>
      </c>
      <c r="E27" s="20">
        <v>23759.499999999993</v>
      </c>
      <c r="F27" s="20">
        <v>41340.399999999994</v>
      </c>
      <c r="G27" s="20">
        <v>51196</v>
      </c>
      <c r="H27" s="20">
        <v>44036.5</v>
      </c>
      <c r="I27" s="20">
        <v>46932.399999999994</v>
      </c>
      <c r="J27" s="20">
        <v>36555.399999999994</v>
      </c>
      <c r="K27" s="20">
        <v>23370.000000000011</v>
      </c>
      <c r="L27" s="20">
        <v>15775.3</v>
      </c>
      <c r="M27" s="20">
        <v>15584.800000000003</v>
      </c>
      <c r="N27" s="20">
        <v>13993.099999999995</v>
      </c>
      <c r="O27" s="20">
        <v>16201.800000000003</v>
      </c>
      <c r="P27" s="24"/>
      <c r="Q27" s="66"/>
      <c r="R27" s="66"/>
      <c r="S27" s="23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x14ac:dyDescent="0.25">
      <c r="A28" s="19"/>
      <c r="B28" s="19"/>
      <c r="C28" s="18" t="s">
        <v>489</v>
      </c>
      <c r="D28" s="16">
        <f t="shared" ref="D28:O28" si="13">SUM(D26:D27)</f>
        <v>44965.599999999999</v>
      </c>
      <c r="E28" s="16">
        <f t="shared" si="13"/>
        <v>52748.999999999993</v>
      </c>
      <c r="F28" s="16">
        <f t="shared" si="13"/>
        <v>71340.399999999994</v>
      </c>
      <c r="G28" s="16">
        <f t="shared" si="13"/>
        <v>81196</v>
      </c>
      <c r="H28" s="16">
        <f t="shared" si="13"/>
        <v>73980.3</v>
      </c>
      <c r="I28" s="16">
        <f t="shared" si="13"/>
        <v>76932.399999999994</v>
      </c>
      <c r="J28" s="16">
        <f t="shared" si="13"/>
        <v>66355.399999999994</v>
      </c>
      <c r="K28" s="16">
        <f t="shared" si="13"/>
        <v>51860.80000000001</v>
      </c>
      <c r="L28" s="16">
        <f t="shared" si="13"/>
        <v>39405</v>
      </c>
      <c r="M28" s="16">
        <f t="shared" si="13"/>
        <v>38424.300000000003</v>
      </c>
      <c r="N28" s="16">
        <f t="shared" si="13"/>
        <v>34491.899999999994</v>
      </c>
      <c r="O28" s="16">
        <f t="shared" si="13"/>
        <v>36973.300000000003</v>
      </c>
      <c r="P28" s="21">
        <f t="shared" ref="P28" si="14">SUM(D28:O28)</f>
        <v>668674.4</v>
      </c>
      <c r="Q28" s="65">
        <f>SUM(E28:I28)</f>
        <v>356198.1</v>
      </c>
      <c r="R28" s="65">
        <f>MAX(SUM(E28:I28)-AVERAGE(D28,J28:O28)*5,0)</f>
        <v>133000.74285714282</v>
      </c>
      <c r="S28" s="51"/>
      <c r="T28" s="52" t="s">
        <v>433</v>
      </c>
      <c r="U28" s="52" t="s">
        <v>434</v>
      </c>
      <c r="V28" s="52" t="s">
        <v>435</v>
      </c>
      <c r="W28" s="52" t="s">
        <v>436</v>
      </c>
      <c r="X28" s="52" t="s">
        <v>437</v>
      </c>
      <c r="Y28" s="52" t="s">
        <v>438</v>
      </c>
      <c r="Z28" s="52" t="s">
        <v>439</v>
      </c>
      <c r="AA28" s="53" t="s">
        <v>440</v>
      </c>
      <c r="AB28" s="15"/>
    </row>
    <row r="29" spans="1:28" x14ac:dyDescent="0.25">
      <c r="A29" s="19"/>
      <c r="B29" s="19"/>
      <c r="C29" s="1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1"/>
      <c r="Q29" s="65"/>
      <c r="R29" s="65"/>
      <c r="S29" s="61" t="s">
        <v>2392</v>
      </c>
      <c r="T29" s="32">
        <f t="shared" ref="T29:Y29" si="15">SUM(T33:T40)</f>
        <v>156768.84415081248</v>
      </c>
      <c r="U29" s="32">
        <f t="shared" si="15"/>
        <v>34846993.925865635</v>
      </c>
      <c r="V29" s="32">
        <f t="shared" si="15"/>
        <v>11507769.077766592</v>
      </c>
      <c r="W29" s="32">
        <f t="shared" si="15"/>
        <v>386506.51974239829</v>
      </c>
      <c r="X29" s="32">
        <f t="shared" si="15"/>
        <v>3204180.6658261251</v>
      </c>
      <c r="Y29" s="32">
        <f t="shared" si="15"/>
        <v>9425493.4655585289</v>
      </c>
      <c r="Z29" s="32"/>
      <c r="AA29" s="325"/>
      <c r="AB29" s="67" t="b">
        <f>SUM(T29:AA29)=SUM(Q6:Q81)</f>
        <v>1</v>
      </c>
    </row>
    <row r="30" spans="1:28" x14ac:dyDescent="0.25">
      <c r="A30" s="19"/>
      <c r="B30" s="19"/>
      <c r="C30" s="22" t="s">
        <v>490</v>
      </c>
      <c r="D30" s="23">
        <v>91448.200000000012</v>
      </c>
      <c r="E30" s="23">
        <v>105830.5</v>
      </c>
      <c r="F30" s="23">
        <v>112087.1</v>
      </c>
      <c r="G30" s="23">
        <v>112320.8</v>
      </c>
      <c r="H30" s="23">
        <v>105677.8</v>
      </c>
      <c r="I30" s="23">
        <v>104675.2</v>
      </c>
      <c r="J30" s="23">
        <v>105097.7</v>
      </c>
      <c r="K30" s="23">
        <v>89207.2</v>
      </c>
      <c r="L30" s="23">
        <v>76220.399999999994</v>
      </c>
      <c r="M30" s="23">
        <v>75223.599999999991</v>
      </c>
      <c r="N30" s="23">
        <v>69689</v>
      </c>
      <c r="O30" s="23">
        <v>69364.899999999994</v>
      </c>
      <c r="P30" s="21"/>
      <c r="Q30" s="65"/>
      <c r="R30" s="65"/>
      <c r="S30" s="446"/>
      <c r="T30" s="447"/>
      <c r="U30" s="447"/>
      <c r="V30" s="447"/>
      <c r="W30" s="447"/>
      <c r="X30" s="447"/>
      <c r="Y30" s="447"/>
      <c r="Z30" s="447"/>
      <c r="AA30" s="448"/>
      <c r="AB30" s="15"/>
    </row>
    <row r="31" spans="1:28" x14ac:dyDescent="0.25">
      <c r="A31" s="19"/>
      <c r="B31" s="19"/>
      <c r="C31" s="22" t="s">
        <v>491</v>
      </c>
      <c r="D31" s="23">
        <v>46101.7</v>
      </c>
      <c r="E31" s="23">
        <v>56570.700000000004</v>
      </c>
      <c r="F31" s="23">
        <v>78801.299999999988</v>
      </c>
      <c r="G31" s="23">
        <v>99806.2</v>
      </c>
      <c r="H31" s="23">
        <v>80439</v>
      </c>
      <c r="I31" s="23">
        <v>81043.600000000006</v>
      </c>
      <c r="J31" s="23">
        <v>68562.3</v>
      </c>
      <c r="K31" s="23">
        <v>42669.899999999994</v>
      </c>
      <c r="L31" s="23">
        <v>43368.9</v>
      </c>
      <c r="M31" s="23">
        <v>42118</v>
      </c>
      <c r="N31" s="23">
        <v>39050.300000000003</v>
      </c>
      <c r="O31" s="23">
        <v>40146.699999999997</v>
      </c>
      <c r="P31" s="21"/>
      <c r="Q31" s="65"/>
      <c r="R31" s="65"/>
      <c r="S31" s="661" t="s">
        <v>543</v>
      </c>
      <c r="T31" s="442">
        <f t="shared" ref="T31:Y31" si="16">SUM(T33:T36)</f>
        <v>156768.84415081248</v>
      </c>
      <c r="U31" s="442">
        <f>SUM(U33:U36)</f>
        <v>34846993.925865635</v>
      </c>
      <c r="V31" s="442">
        <f t="shared" si="16"/>
        <v>11507769.077766592</v>
      </c>
      <c r="W31" s="442">
        <f t="shared" si="16"/>
        <v>386506.51974239829</v>
      </c>
      <c r="X31" s="442">
        <f t="shared" si="16"/>
        <v>2596205.6658261251</v>
      </c>
      <c r="Y31" s="442">
        <f t="shared" si="16"/>
        <v>2125438.4655585298</v>
      </c>
      <c r="Z31" s="442"/>
      <c r="AA31" s="443"/>
    </row>
    <row r="32" spans="1:28" x14ac:dyDescent="0.25">
      <c r="A32" s="19"/>
      <c r="B32" s="19"/>
      <c r="C32" s="22" t="s">
        <v>492</v>
      </c>
      <c r="D32" s="23">
        <v>3945</v>
      </c>
      <c r="E32" s="23">
        <v>378</v>
      </c>
      <c r="F32" s="23">
        <v>7855.1999999999971</v>
      </c>
      <c r="G32" s="23">
        <v>30782.800000000003</v>
      </c>
      <c r="H32" s="23">
        <v>6265.3000000000029</v>
      </c>
      <c r="I32" s="23">
        <v>13304.800000000003</v>
      </c>
      <c r="J32" s="23">
        <v>6660</v>
      </c>
      <c r="K32" s="23">
        <v>6076</v>
      </c>
      <c r="L32" s="23">
        <v>2248</v>
      </c>
      <c r="M32" s="23">
        <v>1000</v>
      </c>
      <c r="N32" s="23">
        <v>1304</v>
      </c>
      <c r="O32" s="23">
        <v>2329.4000000000015</v>
      </c>
      <c r="P32" s="21"/>
      <c r="Q32" s="65"/>
      <c r="R32" s="65"/>
      <c r="S32" s="444"/>
      <c r="T32" s="380"/>
      <c r="U32" s="380"/>
      <c r="V32" s="380"/>
      <c r="W32" s="380"/>
      <c r="X32" s="380"/>
      <c r="Y32" s="380"/>
      <c r="Z32" s="380"/>
      <c r="AA32" s="445"/>
      <c r="AB32" s="15"/>
    </row>
    <row r="33" spans="1:28" x14ac:dyDescent="0.25">
      <c r="A33" s="19"/>
      <c r="B33" s="19"/>
      <c r="C33" s="22" t="s">
        <v>493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1"/>
      <c r="Q33" s="65"/>
      <c r="R33" s="65"/>
      <c r="S33" s="42" t="s">
        <v>537</v>
      </c>
      <c r="T33" s="32">
        <f>Q6</f>
        <v>126737.344341477</v>
      </c>
      <c r="U33" s="32">
        <f>Q7</f>
        <v>34846993.925865635</v>
      </c>
      <c r="V33" s="47"/>
      <c r="W33" s="47"/>
      <c r="X33" s="47"/>
      <c r="Y33" s="47"/>
      <c r="Z33" s="47"/>
      <c r="AA33" s="48"/>
      <c r="AB33" s="15"/>
    </row>
    <row r="34" spans="1:28" x14ac:dyDescent="0.25">
      <c r="A34" s="19"/>
      <c r="B34" s="19"/>
      <c r="C34" s="22" t="s">
        <v>494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1"/>
      <c r="Q34" s="65"/>
      <c r="R34" s="65"/>
      <c r="S34" s="42" t="s">
        <v>538</v>
      </c>
      <c r="T34" s="32">
        <f>Q8</f>
        <v>30031.499809335495</v>
      </c>
      <c r="U34" s="47"/>
      <c r="V34" s="32">
        <f>Q9</f>
        <v>11228393.577766592</v>
      </c>
      <c r="W34" s="32">
        <f>Q10</f>
        <v>386506.51974239829</v>
      </c>
      <c r="X34" s="32">
        <f>Q14</f>
        <v>2240007.565826125</v>
      </c>
      <c r="Y34" s="32">
        <f>Q22</f>
        <v>474343.16555853002</v>
      </c>
      <c r="Z34" s="47"/>
      <c r="AA34" s="48"/>
      <c r="AB34" s="15"/>
    </row>
    <row r="35" spans="1:28" x14ac:dyDescent="0.25">
      <c r="A35" s="19"/>
      <c r="B35" s="19"/>
      <c r="C35" s="22" t="s">
        <v>495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4"/>
      <c r="Q35" s="66"/>
      <c r="R35" s="66"/>
      <c r="S35" s="42" t="s">
        <v>539</v>
      </c>
      <c r="T35" s="47"/>
      <c r="U35" s="47"/>
      <c r="V35" s="32">
        <f>Q24</f>
        <v>279375.5</v>
      </c>
      <c r="W35" s="47"/>
      <c r="X35" s="32">
        <f>Q28</f>
        <v>356198.1</v>
      </c>
      <c r="Y35" s="32">
        <f>Q36</f>
        <v>995838.29999999993</v>
      </c>
      <c r="Z35" s="47"/>
      <c r="AA35" s="48"/>
      <c r="AB35" s="15"/>
    </row>
    <row r="36" spans="1:28" x14ac:dyDescent="0.25">
      <c r="A36" s="19"/>
      <c r="B36" s="19"/>
      <c r="C36" s="18" t="s">
        <v>496</v>
      </c>
      <c r="D36" s="16">
        <f t="shared" ref="D36:O36" si="17">SUM(D30:D35)</f>
        <v>141494.90000000002</v>
      </c>
      <c r="E36" s="16">
        <f t="shared" si="17"/>
        <v>162779.20000000001</v>
      </c>
      <c r="F36" s="16">
        <f t="shared" si="17"/>
        <v>198743.59999999998</v>
      </c>
      <c r="G36" s="16">
        <f t="shared" si="17"/>
        <v>242909.8</v>
      </c>
      <c r="H36" s="16">
        <f t="shared" si="17"/>
        <v>192382.09999999998</v>
      </c>
      <c r="I36" s="16">
        <f t="shared" si="17"/>
        <v>199023.59999999998</v>
      </c>
      <c r="J36" s="16">
        <f t="shared" si="17"/>
        <v>180320</v>
      </c>
      <c r="K36" s="16">
        <f t="shared" si="17"/>
        <v>137953.09999999998</v>
      </c>
      <c r="L36" s="16">
        <f t="shared" si="17"/>
        <v>121837.29999999999</v>
      </c>
      <c r="M36" s="16">
        <f t="shared" si="17"/>
        <v>118341.59999999999</v>
      </c>
      <c r="N36" s="16">
        <f t="shared" si="17"/>
        <v>110043.3</v>
      </c>
      <c r="O36" s="16">
        <f t="shared" si="17"/>
        <v>111841</v>
      </c>
      <c r="P36" s="21">
        <f t="shared" ref="P36" si="18">SUM(D36:O36)</f>
        <v>1917669.5</v>
      </c>
      <c r="Q36" s="65">
        <f>SUM(E36:I36)</f>
        <v>995838.29999999993</v>
      </c>
      <c r="R36" s="65">
        <f>MAX(SUM(E36:I36)-AVERAGE(D36,J36:O36)*5,0)</f>
        <v>337387.44285714277</v>
      </c>
      <c r="S36" s="42" t="s">
        <v>536</v>
      </c>
      <c r="T36" s="47"/>
      <c r="U36" s="47"/>
      <c r="V36" s="47"/>
      <c r="W36" s="47"/>
      <c r="X36" s="47"/>
      <c r="Y36" s="32">
        <f>Q48</f>
        <v>655257</v>
      </c>
      <c r="Z36" s="47"/>
      <c r="AA36" s="48"/>
      <c r="AB36" s="15"/>
    </row>
    <row r="37" spans="1:28" x14ac:dyDescent="0.25">
      <c r="A37" s="19"/>
      <c r="B37" s="19"/>
      <c r="C37" s="1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1"/>
      <c r="Q37" s="65"/>
      <c r="R37" s="65"/>
      <c r="S37" s="42"/>
      <c r="T37" s="47"/>
      <c r="U37" s="47"/>
      <c r="V37" s="47"/>
      <c r="W37" s="47"/>
      <c r="X37" s="47"/>
      <c r="Y37" s="47"/>
      <c r="Z37" s="47"/>
      <c r="AA37" s="48"/>
      <c r="AB37" s="15"/>
    </row>
    <row r="38" spans="1:28" x14ac:dyDescent="0.25">
      <c r="A38" s="19"/>
      <c r="B38" s="25"/>
      <c r="C38" s="22"/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/>
      <c r="Q38" s="65"/>
      <c r="R38" s="65"/>
      <c r="S38" s="42" t="s">
        <v>540</v>
      </c>
      <c r="T38" s="47"/>
      <c r="U38" s="47"/>
      <c r="V38" s="47"/>
      <c r="W38" s="47"/>
      <c r="X38" s="32">
        <f>Q53</f>
        <v>607975</v>
      </c>
      <c r="Y38" s="32">
        <f>Q61</f>
        <v>927134</v>
      </c>
      <c r="Z38" s="47"/>
      <c r="AA38" s="48"/>
      <c r="AB38" s="15"/>
    </row>
    <row r="39" spans="1:28" x14ac:dyDescent="0.25">
      <c r="A39" s="19"/>
      <c r="B39" s="19"/>
      <c r="C39" s="22"/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4"/>
      <c r="Q39" s="66"/>
      <c r="R39" s="66"/>
      <c r="S39" s="42" t="s">
        <v>541</v>
      </c>
      <c r="T39" s="47"/>
      <c r="U39" s="47"/>
      <c r="V39" s="47"/>
      <c r="W39" s="47"/>
      <c r="X39" s="47"/>
      <c r="Y39" s="32">
        <f>Q73</f>
        <v>1969197</v>
      </c>
      <c r="Z39" s="47"/>
      <c r="AA39" s="48"/>
      <c r="AB39" s="15"/>
    </row>
    <row r="40" spans="1:28" x14ac:dyDescent="0.25">
      <c r="A40" s="19"/>
      <c r="B40" s="19"/>
      <c r="C40" s="370"/>
      <c r="D40" s="16">
        <f t="shared" ref="D40:O40" si="19">SUM(D38:D39)</f>
        <v>0</v>
      </c>
      <c r="E40" s="16">
        <f t="shared" si="19"/>
        <v>0</v>
      </c>
      <c r="F40" s="16">
        <f t="shared" si="19"/>
        <v>0</v>
      </c>
      <c r="G40" s="16">
        <f t="shared" si="19"/>
        <v>0</v>
      </c>
      <c r="H40" s="16">
        <f t="shared" si="19"/>
        <v>0</v>
      </c>
      <c r="I40" s="16">
        <f t="shared" si="19"/>
        <v>0</v>
      </c>
      <c r="J40" s="16">
        <f t="shared" si="19"/>
        <v>0</v>
      </c>
      <c r="K40" s="16">
        <f t="shared" si="19"/>
        <v>0</v>
      </c>
      <c r="L40" s="16">
        <f t="shared" si="19"/>
        <v>0</v>
      </c>
      <c r="M40" s="16">
        <f t="shared" si="19"/>
        <v>0</v>
      </c>
      <c r="N40" s="16">
        <f t="shared" si="19"/>
        <v>0</v>
      </c>
      <c r="O40" s="16">
        <f t="shared" si="19"/>
        <v>0</v>
      </c>
      <c r="P40" s="21">
        <f t="shared" ref="P40" si="20">SUM(D40:O40)</f>
        <v>0</v>
      </c>
      <c r="Q40" s="65"/>
      <c r="R40" s="65"/>
      <c r="S40" s="62" t="s">
        <v>542</v>
      </c>
      <c r="T40" s="50"/>
      <c r="U40" s="50"/>
      <c r="V40" s="50"/>
      <c r="W40" s="50"/>
      <c r="X40" s="50"/>
      <c r="Y40" s="36">
        <f>Q81</f>
        <v>4403724</v>
      </c>
      <c r="Z40" s="50"/>
      <c r="AA40" s="473">
        <f>Q83</f>
        <v>1377662</v>
      </c>
      <c r="AB40" s="15"/>
    </row>
    <row r="41" spans="1:28" x14ac:dyDescent="0.25">
      <c r="A41" s="19"/>
      <c r="B41" s="19"/>
      <c r="C41" s="370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21"/>
      <c r="Q41" s="65"/>
      <c r="R41" s="6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x14ac:dyDescent="0.25">
      <c r="A42" s="19"/>
      <c r="B42" s="19"/>
      <c r="C42" s="22" t="s">
        <v>497</v>
      </c>
      <c r="D42" s="16">
        <v>31105</v>
      </c>
      <c r="E42" s="16">
        <v>39252</v>
      </c>
      <c r="F42" s="16">
        <v>39281</v>
      </c>
      <c r="G42" s="16">
        <v>38542</v>
      </c>
      <c r="H42" s="16">
        <v>39389</v>
      </c>
      <c r="I42" s="16">
        <v>37573</v>
      </c>
      <c r="J42" s="16">
        <v>34741</v>
      </c>
      <c r="K42" s="16">
        <v>31880</v>
      </c>
      <c r="L42" s="16">
        <v>30177</v>
      </c>
      <c r="M42" s="16">
        <v>30080</v>
      </c>
      <c r="N42" s="16">
        <v>30000</v>
      </c>
      <c r="O42" s="16">
        <v>30000</v>
      </c>
      <c r="P42" s="21"/>
      <c r="Q42" s="65"/>
      <c r="R42" s="65"/>
      <c r="S42" s="474"/>
      <c r="T42" s="475" t="s">
        <v>433</v>
      </c>
      <c r="U42" s="475" t="s">
        <v>434</v>
      </c>
      <c r="V42" s="475" t="s">
        <v>435</v>
      </c>
      <c r="W42" s="475" t="s">
        <v>436</v>
      </c>
      <c r="X42" s="475" t="s">
        <v>437</v>
      </c>
      <c r="Y42" s="475" t="s">
        <v>438</v>
      </c>
      <c r="Z42" s="475" t="s">
        <v>439</v>
      </c>
      <c r="AA42" s="476" t="s">
        <v>440</v>
      </c>
      <c r="AB42" s="15"/>
    </row>
    <row r="43" spans="1:28" x14ac:dyDescent="0.25">
      <c r="A43" s="19"/>
      <c r="B43" s="19"/>
      <c r="C43" s="22" t="s">
        <v>498</v>
      </c>
      <c r="D43" s="16">
        <v>49973</v>
      </c>
      <c r="E43" s="16">
        <v>50389</v>
      </c>
      <c r="F43" s="16">
        <v>51507</v>
      </c>
      <c r="G43" s="16">
        <v>55979</v>
      </c>
      <c r="H43" s="16">
        <v>54326</v>
      </c>
      <c r="I43" s="16">
        <v>48908</v>
      </c>
      <c r="J43" s="16">
        <v>52307</v>
      </c>
      <c r="K43" s="16">
        <v>51054</v>
      </c>
      <c r="L43" s="16">
        <v>54002</v>
      </c>
      <c r="M43" s="16">
        <v>43183</v>
      </c>
      <c r="N43" s="16">
        <v>46300</v>
      </c>
      <c r="O43" s="16">
        <v>50227</v>
      </c>
      <c r="P43" s="21"/>
      <c r="Q43" s="65"/>
      <c r="R43" s="65"/>
      <c r="S43" s="61" t="s">
        <v>2393</v>
      </c>
      <c r="T43" s="477">
        <f>SUM(T45:T49)</f>
        <v>96579.765926785331</v>
      </c>
      <c r="U43" s="477">
        <f t="shared" ref="U43:X43" si="21">SUM(U45:U49)</f>
        <v>23899726.165081952</v>
      </c>
      <c r="V43" s="477">
        <f t="shared" si="21"/>
        <v>7319795.0285936762</v>
      </c>
      <c r="W43" s="477">
        <f t="shared" si="21"/>
        <v>293217.85648958944</v>
      </c>
      <c r="X43" s="477">
        <f t="shared" si="21"/>
        <v>1353270.4835026062</v>
      </c>
      <c r="Y43" s="477">
        <f>SUM(Y45:Y49)</f>
        <v>797975.9280336987</v>
      </c>
      <c r="Z43" s="477"/>
      <c r="AA43" s="325"/>
      <c r="AB43" s="56" t="b">
        <f>SUM(T43:AA43)=SUM(R4:R48)</f>
        <v>1</v>
      </c>
    </row>
    <row r="44" spans="1:28" x14ac:dyDescent="0.25">
      <c r="A44" s="19"/>
      <c r="B44" s="19"/>
      <c r="C44" s="22" t="s">
        <v>499</v>
      </c>
      <c r="D44" s="16">
        <v>21339</v>
      </c>
      <c r="E44" s="16">
        <v>26782</v>
      </c>
      <c r="F44" s="16">
        <v>33981</v>
      </c>
      <c r="G44" s="16">
        <v>31525</v>
      </c>
      <c r="H44" s="16">
        <v>28961</v>
      </c>
      <c r="I44" s="16">
        <v>29321</v>
      </c>
      <c r="J44" s="16">
        <v>20815</v>
      </c>
      <c r="K44" s="16">
        <v>13522</v>
      </c>
      <c r="L44" s="16">
        <v>10062</v>
      </c>
      <c r="M44" s="16">
        <v>7708</v>
      </c>
      <c r="N44" s="16">
        <v>10420</v>
      </c>
      <c r="O44" s="16">
        <v>12644</v>
      </c>
      <c r="P44" s="21"/>
      <c r="Q44" s="65"/>
      <c r="R44" s="65"/>
      <c r="S44" s="49"/>
      <c r="T44" s="47"/>
      <c r="U44" s="47"/>
      <c r="V44" s="47"/>
      <c r="W44" s="47"/>
      <c r="X44" s="47"/>
      <c r="Y44" s="47"/>
      <c r="Z44" s="47"/>
      <c r="AA44" s="48"/>
      <c r="AB44" s="15"/>
    </row>
    <row r="45" spans="1:28" x14ac:dyDescent="0.25">
      <c r="A45" s="19"/>
      <c r="B45" s="19"/>
      <c r="C45" s="22" t="s">
        <v>500</v>
      </c>
      <c r="D45" s="16">
        <v>2402</v>
      </c>
      <c r="E45" s="16">
        <v>9846</v>
      </c>
      <c r="F45" s="16">
        <v>22762</v>
      </c>
      <c r="G45" s="16">
        <v>5137</v>
      </c>
      <c r="H45" s="16">
        <v>7433</v>
      </c>
      <c r="I45" s="16">
        <v>4363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21"/>
      <c r="Q45" s="65"/>
      <c r="R45" s="65"/>
      <c r="S45" s="42" t="s">
        <v>537</v>
      </c>
      <c r="T45" s="32">
        <f>R6</f>
        <v>77620.927444733621</v>
      </c>
      <c r="U45" s="32">
        <f>R7</f>
        <v>23899726.165081952</v>
      </c>
      <c r="V45" s="47"/>
      <c r="W45" s="47"/>
      <c r="X45" s="47"/>
      <c r="Y45" s="47"/>
      <c r="Z45" s="47"/>
      <c r="AA45" s="48"/>
      <c r="AB45" s="15"/>
    </row>
    <row r="46" spans="1:28" x14ac:dyDescent="0.25">
      <c r="A46" s="19"/>
      <c r="B46" s="19"/>
      <c r="C46" s="22" t="s">
        <v>501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21"/>
      <c r="Q46" s="65"/>
      <c r="R46" s="65"/>
      <c r="S46" s="42" t="s">
        <v>538</v>
      </c>
      <c r="T46" s="32">
        <f>R8</f>
        <v>18958.838482051709</v>
      </c>
      <c r="U46" s="47"/>
      <c r="V46" s="32">
        <f>R9</f>
        <v>7182692.8857365334</v>
      </c>
      <c r="W46" s="32">
        <f>R10</f>
        <v>293217.85648958944</v>
      </c>
      <c r="X46" s="32">
        <f>R14</f>
        <v>1220269.7406454633</v>
      </c>
      <c r="Y46" s="32">
        <f>R22</f>
        <v>279575.05660512741</v>
      </c>
      <c r="Z46" s="47"/>
      <c r="AA46" s="48"/>
      <c r="AB46" s="15"/>
    </row>
    <row r="47" spans="1:28" x14ac:dyDescent="0.25">
      <c r="A47" s="390"/>
      <c r="B47" s="19"/>
      <c r="C47" s="22" t="s">
        <v>502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4"/>
      <c r="Q47" s="66"/>
      <c r="R47" s="66"/>
      <c r="S47" s="42" t="s">
        <v>539</v>
      </c>
      <c r="T47" s="47"/>
      <c r="U47" s="47"/>
      <c r="V47" s="32">
        <f>R24</f>
        <v>137102.14285714284</v>
      </c>
      <c r="W47" s="47"/>
      <c r="X47" s="32">
        <f>R28</f>
        <v>133000.74285714282</v>
      </c>
      <c r="Y47" s="32">
        <f>R36</f>
        <v>337387.44285714277</v>
      </c>
      <c r="Z47" s="47"/>
      <c r="AA47" s="48"/>
      <c r="AB47" s="15"/>
    </row>
    <row r="48" spans="1:28" x14ac:dyDescent="0.25">
      <c r="A48" s="390"/>
      <c r="B48" s="19"/>
      <c r="C48" s="370" t="s">
        <v>470</v>
      </c>
      <c r="D48" s="23">
        <f t="shared" ref="D48:O48" si="22">SUM(D42:D47)</f>
        <v>104819</v>
      </c>
      <c r="E48" s="23">
        <f t="shared" si="22"/>
        <v>126269</v>
      </c>
      <c r="F48" s="23">
        <f t="shared" si="22"/>
        <v>147531</v>
      </c>
      <c r="G48" s="23">
        <f t="shared" si="22"/>
        <v>131183</v>
      </c>
      <c r="H48" s="23">
        <f t="shared" si="22"/>
        <v>130109</v>
      </c>
      <c r="I48" s="23">
        <f t="shared" si="22"/>
        <v>120165</v>
      </c>
      <c r="J48" s="23">
        <f t="shared" si="22"/>
        <v>107863</v>
      </c>
      <c r="K48" s="23">
        <f t="shared" si="22"/>
        <v>96456</v>
      </c>
      <c r="L48" s="23">
        <f t="shared" si="22"/>
        <v>94241</v>
      </c>
      <c r="M48" s="23">
        <f t="shared" si="22"/>
        <v>80971</v>
      </c>
      <c r="N48" s="23">
        <f t="shared" si="22"/>
        <v>86720</v>
      </c>
      <c r="O48" s="23">
        <f t="shared" si="22"/>
        <v>92871</v>
      </c>
      <c r="P48" s="21">
        <f t="shared" ref="P48" si="23">SUM(D48:O48)</f>
        <v>1319198</v>
      </c>
      <c r="Q48" s="65">
        <f>SUM(E48:I48)</f>
        <v>655257</v>
      </c>
      <c r="R48" s="65">
        <f>MAX(SUM(E48:I48)-AVERAGE(D48,J48:O48)*5,0)</f>
        <v>181013.42857142852</v>
      </c>
      <c r="S48" s="44" t="s">
        <v>536</v>
      </c>
      <c r="T48" s="50"/>
      <c r="U48" s="50"/>
      <c r="V48" s="50"/>
      <c r="W48" s="50"/>
      <c r="X48" s="50"/>
      <c r="Y48" s="36">
        <f>R48</f>
        <v>181013.42857142852</v>
      </c>
      <c r="Z48" s="50"/>
      <c r="AA48" s="478"/>
      <c r="AB48" s="15"/>
    </row>
    <row r="49" spans="1:28" x14ac:dyDescent="0.25">
      <c r="A49" s="390"/>
      <c r="B49" s="19"/>
      <c r="C49" s="37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1"/>
      <c r="Q49" s="65"/>
      <c r="R49" s="65"/>
      <c r="S49" s="23"/>
      <c r="T49" s="47"/>
      <c r="U49" s="47"/>
      <c r="V49" s="47"/>
      <c r="W49" s="47"/>
      <c r="X49" s="47"/>
      <c r="Y49" s="47"/>
      <c r="Z49" s="47"/>
      <c r="AA49" s="47"/>
      <c r="AB49" s="15"/>
    </row>
    <row r="50" spans="1:28" x14ac:dyDescent="0.25">
      <c r="A50" s="390"/>
      <c r="B50" s="26"/>
      <c r="C50" s="1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21"/>
      <c r="Q50" s="65"/>
      <c r="R50" s="65"/>
      <c r="S50" s="324"/>
      <c r="T50" s="324"/>
      <c r="U50" s="324"/>
      <c r="V50" s="324"/>
      <c r="W50" s="324"/>
      <c r="X50" s="324"/>
      <c r="Y50" s="324"/>
      <c r="Z50" s="324"/>
      <c r="AA50" s="324"/>
      <c r="AB50" s="15"/>
    </row>
    <row r="51" spans="1:28" x14ac:dyDescent="0.25">
      <c r="A51" s="390"/>
      <c r="B51" s="371" t="s">
        <v>503</v>
      </c>
      <c r="C51" s="22" t="s">
        <v>504</v>
      </c>
      <c r="D51" s="16">
        <v>33682</v>
      </c>
      <c r="E51" s="16">
        <v>34000</v>
      </c>
      <c r="F51" s="16">
        <v>34000</v>
      </c>
      <c r="G51" s="16">
        <v>34000</v>
      </c>
      <c r="H51" s="16">
        <v>34000</v>
      </c>
      <c r="I51" s="16">
        <v>34000</v>
      </c>
      <c r="J51" s="16">
        <v>33916</v>
      </c>
      <c r="K51" s="16">
        <v>30904</v>
      </c>
      <c r="L51" s="16">
        <v>29011</v>
      </c>
      <c r="M51" s="16">
        <v>23334</v>
      </c>
      <c r="N51" s="16">
        <v>24130</v>
      </c>
      <c r="O51" s="16">
        <v>28307</v>
      </c>
      <c r="P51" s="21"/>
      <c r="Q51" s="65"/>
      <c r="R51" s="65"/>
      <c r="S51" s="16" t="str">
        <f>S29</f>
        <v>Winter Throughput</v>
      </c>
      <c r="T51" s="449">
        <f t="shared" ref="T51:Y51" si="24">T29/SUM($T$29:$Y$29)</f>
        <v>2.6335439003083278E-3</v>
      </c>
      <c r="U51" s="449">
        <f t="shared" si="24"/>
        <v>0.58539111386992504</v>
      </c>
      <c r="V51" s="449">
        <f t="shared" si="24"/>
        <v>0.19331784465894419</v>
      </c>
      <c r="W51" s="449">
        <f t="shared" si="24"/>
        <v>6.4928837934008455E-3</v>
      </c>
      <c r="X51" s="449">
        <f t="shared" si="24"/>
        <v>5.3826705769767169E-2</v>
      </c>
      <c r="Y51" s="449">
        <f t="shared" si="24"/>
        <v>0.15833790800765446</v>
      </c>
      <c r="AA51" s="449"/>
      <c r="AB51" s="449">
        <f>SUM(T51:Y51)</f>
        <v>1</v>
      </c>
    </row>
    <row r="52" spans="1:28" x14ac:dyDescent="0.25">
      <c r="A52" s="19"/>
      <c r="B52" s="26"/>
      <c r="C52" s="22" t="s">
        <v>505</v>
      </c>
      <c r="D52" s="20">
        <v>42959</v>
      </c>
      <c r="E52" s="20">
        <v>71111</v>
      </c>
      <c r="F52" s="20">
        <v>112463</v>
      </c>
      <c r="G52" s="20">
        <v>87896</v>
      </c>
      <c r="H52" s="20">
        <v>86418</v>
      </c>
      <c r="I52" s="20">
        <v>80087</v>
      </c>
      <c r="J52" s="20">
        <v>49539</v>
      </c>
      <c r="K52" s="20">
        <v>19141</v>
      </c>
      <c r="L52" s="20">
        <v>14417</v>
      </c>
      <c r="M52" s="20">
        <v>6034</v>
      </c>
      <c r="N52" s="20">
        <v>6106</v>
      </c>
      <c r="O52" s="20">
        <v>13980</v>
      </c>
      <c r="P52" s="24"/>
      <c r="Q52" s="66"/>
      <c r="R52" s="66"/>
      <c r="S52" s="16" t="str">
        <f>S31</f>
        <v>Winter Sales</v>
      </c>
      <c r="T52" s="449">
        <f t="shared" ref="T52:Y52" si="25">T31/SUM($T$31:$AA$31)</f>
        <v>3.0369974506162939E-3</v>
      </c>
      <c r="U52" s="449">
        <f t="shared" si="25"/>
        <v>0.67507183769682044</v>
      </c>
      <c r="V52" s="449">
        <f t="shared" si="25"/>
        <v>0.22293374388750975</v>
      </c>
      <c r="W52" s="449">
        <f t="shared" si="25"/>
        <v>7.4875803381890052E-3</v>
      </c>
      <c r="X52" s="449">
        <f t="shared" si="25"/>
        <v>5.0294878622721903E-2</v>
      </c>
      <c r="Y52" s="449">
        <f t="shared" si="25"/>
        <v>4.117496200414264E-2</v>
      </c>
      <c r="AA52" s="449"/>
      <c r="AB52" s="449">
        <f>SUM(T52:Y52)</f>
        <v>0.99999999999999989</v>
      </c>
    </row>
    <row r="53" spans="1:28" x14ac:dyDescent="0.25">
      <c r="A53" s="19"/>
      <c r="B53" s="26"/>
      <c r="C53" s="370" t="s">
        <v>464</v>
      </c>
      <c r="D53" s="16">
        <f t="shared" ref="D53:O53" si="26">SUM(D51:D52)</f>
        <v>76641</v>
      </c>
      <c r="E53" s="16">
        <f t="shared" si="26"/>
        <v>105111</v>
      </c>
      <c r="F53" s="16">
        <f t="shared" si="26"/>
        <v>146463</v>
      </c>
      <c r="G53" s="16">
        <f t="shared" si="26"/>
        <v>121896</v>
      </c>
      <c r="H53" s="16">
        <f t="shared" si="26"/>
        <v>120418</v>
      </c>
      <c r="I53" s="16">
        <f t="shared" si="26"/>
        <v>114087</v>
      </c>
      <c r="J53" s="16">
        <f t="shared" si="26"/>
        <v>83455</v>
      </c>
      <c r="K53" s="16">
        <f t="shared" si="26"/>
        <v>50045</v>
      </c>
      <c r="L53" s="16">
        <f t="shared" si="26"/>
        <v>43428</v>
      </c>
      <c r="M53" s="16">
        <f t="shared" si="26"/>
        <v>29368</v>
      </c>
      <c r="N53" s="16">
        <f t="shared" si="26"/>
        <v>30236</v>
      </c>
      <c r="O53" s="16">
        <f t="shared" si="26"/>
        <v>42287</v>
      </c>
      <c r="P53" s="21">
        <f t="shared" ref="P53" si="27">SUM(D53:O53)</f>
        <v>963435</v>
      </c>
      <c r="Q53" s="65">
        <f>SUM(E53:I53)</f>
        <v>607975</v>
      </c>
      <c r="R53" s="65">
        <f>MAX(SUM(E53:I53)-AVERAGE(D53,J53:O53)*5,0)</f>
        <v>354075</v>
      </c>
      <c r="S53" s="16" t="str">
        <f>S43</f>
        <v>Winter 5 (incremental)</v>
      </c>
      <c r="T53" s="449">
        <f t="shared" ref="T53:Y53" si="28">T43/SUM($T$43:$AA$43)</f>
        <v>2.8607271612783387E-3</v>
      </c>
      <c r="U53" s="449">
        <f t="shared" si="28"/>
        <v>0.70791842506011604</v>
      </c>
      <c r="V53" s="449">
        <f t="shared" si="28"/>
        <v>0.21681494309234625</v>
      </c>
      <c r="W53" s="449">
        <f t="shared" si="28"/>
        <v>8.68521763520806E-3</v>
      </c>
      <c r="X53" s="449">
        <f t="shared" si="28"/>
        <v>4.008435505680287E-2</v>
      </c>
      <c r="Y53" s="449">
        <f t="shared" si="28"/>
        <v>2.363633199424833E-2</v>
      </c>
      <c r="AA53" s="449"/>
      <c r="AB53" s="449">
        <f>SUM(T53:Y53)</f>
        <v>0.99999999999999989</v>
      </c>
    </row>
    <row r="54" spans="1:28" x14ac:dyDescent="0.25">
      <c r="A54" s="19"/>
      <c r="B54" s="26"/>
      <c r="C54" s="1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1"/>
      <c r="Q54" s="65"/>
      <c r="R54" s="65"/>
      <c r="S54" s="16"/>
    </row>
    <row r="55" spans="1:28" x14ac:dyDescent="0.25">
      <c r="A55" s="19"/>
      <c r="B55" s="371"/>
      <c r="C55" s="22" t="s">
        <v>506</v>
      </c>
      <c r="D55" s="23">
        <v>40000</v>
      </c>
      <c r="E55" s="23">
        <v>40000</v>
      </c>
      <c r="F55" s="23">
        <v>40000</v>
      </c>
      <c r="G55" s="23">
        <v>40000</v>
      </c>
      <c r="H55" s="23">
        <v>40000</v>
      </c>
      <c r="I55" s="23">
        <v>40000</v>
      </c>
      <c r="J55" s="23">
        <v>40000</v>
      </c>
      <c r="K55" s="23">
        <v>40000</v>
      </c>
      <c r="L55" s="23">
        <v>40000</v>
      </c>
      <c r="M55" s="23">
        <v>40000</v>
      </c>
      <c r="N55" s="23">
        <v>40000</v>
      </c>
      <c r="O55" s="23">
        <v>40000</v>
      </c>
      <c r="P55" s="21"/>
      <c r="Q55" s="65"/>
      <c r="R55" s="65"/>
      <c r="S55" s="16"/>
    </row>
    <row r="56" spans="1:28" x14ac:dyDescent="0.25">
      <c r="A56" s="19"/>
      <c r="B56" s="26"/>
      <c r="C56" s="22" t="s">
        <v>507</v>
      </c>
      <c r="D56" s="23">
        <v>66739</v>
      </c>
      <c r="E56" s="23">
        <v>69611</v>
      </c>
      <c r="F56" s="23">
        <v>76102</v>
      </c>
      <c r="G56" s="23">
        <v>71989</v>
      </c>
      <c r="H56" s="23">
        <v>71341</v>
      </c>
      <c r="I56" s="23">
        <v>70775</v>
      </c>
      <c r="J56" s="23">
        <v>62472</v>
      </c>
      <c r="K56" s="23">
        <v>54201</v>
      </c>
      <c r="L56" s="23">
        <v>53527</v>
      </c>
      <c r="M56" s="23">
        <v>49796</v>
      </c>
      <c r="N56" s="23">
        <v>61676</v>
      </c>
      <c r="O56" s="23">
        <v>64087</v>
      </c>
      <c r="P56" s="21"/>
      <c r="Q56" s="65"/>
      <c r="R56" s="65"/>
      <c r="S56" s="16"/>
    </row>
    <row r="57" spans="1:28" x14ac:dyDescent="0.25">
      <c r="A57" s="19"/>
      <c r="B57" s="26"/>
      <c r="C57" s="22" t="s">
        <v>508</v>
      </c>
      <c r="D57" s="23">
        <v>37546</v>
      </c>
      <c r="E57" s="23">
        <v>45401</v>
      </c>
      <c r="F57" s="23">
        <v>40332</v>
      </c>
      <c r="G57" s="23">
        <v>37839</v>
      </c>
      <c r="H57" s="23">
        <v>28163</v>
      </c>
      <c r="I57" s="23">
        <v>34729</v>
      </c>
      <c r="J57" s="23">
        <v>35917</v>
      </c>
      <c r="K57" s="23">
        <v>36816</v>
      </c>
      <c r="L57" s="23">
        <v>31629</v>
      </c>
      <c r="M57" s="23">
        <v>33882</v>
      </c>
      <c r="N57" s="23">
        <v>37032</v>
      </c>
      <c r="O57" s="23">
        <v>35795</v>
      </c>
      <c r="P57" s="21"/>
      <c r="Q57" s="65"/>
      <c r="R57" s="65"/>
      <c r="S57" s="16"/>
    </row>
    <row r="58" spans="1:28" x14ac:dyDescent="0.25">
      <c r="A58" s="19"/>
      <c r="B58" s="26"/>
      <c r="C58" s="22" t="s">
        <v>509</v>
      </c>
      <c r="D58" s="23">
        <v>25390</v>
      </c>
      <c r="E58" s="23">
        <v>33463</v>
      </c>
      <c r="F58" s="23">
        <v>47952</v>
      </c>
      <c r="G58" s="23">
        <v>33852</v>
      </c>
      <c r="H58" s="23">
        <v>32913</v>
      </c>
      <c r="I58" s="23">
        <v>32672</v>
      </c>
      <c r="J58" s="23">
        <v>24651</v>
      </c>
      <c r="K58" s="23">
        <v>25953</v>
      </c>
      <c r="L58" s="23">
        <v>22830</v>
      </c>
      <c r="M58" s="23">
        <v>29323</v>
      </c>
      <c r="N58" s="23">
        <v>29999</v>
      </c>
      <c r="O58" s="23">
        <v>31574</v>
      </c>
      <c r="P58" s="21"/>
      <c r="Q58" s="65"/>
      <c r="R58" s="65"/>
      <c r="S58" s="16"/>
    </row>
    <row r="59" spans="1:28" x14ac:dyDescent="0.25">
      <c r="A59" s="19"/>
      <c r="B59" s="26"/>
      <c r="C59" s="22" t="s">
        <v>510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1"/>
      <c r="Q59" s="65"/>
      <c r="R59" s="65"/>
      <c r="S59" s="16"/>
    </row>
    <row r="60" spans="1:28" x14ac:dyDescent="0.25">
      <c r="A60" s="19"/>
      <c r="B60" s="26"/>
      <c r="C60" s="22" t="s">
        <v>511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4"/>
      <c r="Q60" s="66"/>
      <c r="R60" s="66"/>
      <c r="S60" s="23"/>
    </row>
    <row r="61" spans="1:28" x14ac:dyDescent="0.25">
      <c r="A61" s="19"/>
      <c r="B61" s="371"/>
      <c r="C61" s="370" t="s">
        <v>465</v>
      </c>
      <c r="D61" s="16">
        <f t="shared" ref="D61:O61" si="29">SUM(D55:D60)</f>
        <v>169675</v>
      </c>
      <c r="E61" s="16">
        <f t="shared" si="29"/>
        <v>188475</v>
      </c>
      <c r="F61" s="16">
        <f t="shared" si="29"/>
        <v>204386</v>
      </c>
      <c r="G61" s="16">
        <f t="shared" si="29"/>
        <v>183680</v>
      </c>
      <c r="H61" s="16">
        <f t="shared" si="29"/>
        <v>172417</v>
      </c>
      <c r="I61" s="16">
        <f t="shared" si="29"/>
        <v>178176</v>
      </c>
      <c r="J61" s="16">
        <f t="shared" si="29"/>
        <v>163040</v>
      </c>
      <c r="K61" s="16">
        <f t="shared" si="29"/>
        <v>156970</v>
      </c>
      <c r="L61" s="16">
        <f t="shared" si="29"/>
        <v>147986</v>
      </c>
      <c r="M61" s="16">
        <f t="shared" si="29"/>
        <v>153001</v>
      </c>
      <c r="N61" s="16">
        <f t="shared" si="29"/>
        <v>168707</v>
      </c>
      <c r="O61" s="16">
        <f t="shared" si="29"/>
        <v>171456</v>
      </c>
      <c r="P61" s="21">
        <f t="shared" ref="P61" si="30">SUM(D61:O61)</f>
        <v>2057969</v>
      </c>
      <c r="Q61" s="65">
        <f>SUM(E61:I61)</f>
        <v>927134</v>
      </c>
      <c r="R61" s="65">
        <f>MAX(SUM(E61:I61)-AVERAGE(D61,J61:O61)*5,0)</f>
        <v>119394.71428571432</v>
      </c>
      <c r="S61" s="16"/>
    </row>
    <row r="62" spans="1:28" x14ac:dyDescent="0.25">
      <c r="A62" s="19"/>
      <c r="B62" s="371"/>
      <c r="C62" s="370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21"/>
      <c r="Q62" s="65"/>
      <c r="R62" s="65"/>
      <c r="S62" s="16"/>
    </row>
    <row r="63" spans="1:28" x14ac:dyDescent="0.25">
      <c r="A63" s="19"/>
      <c r="B63" s="371"/>
      <c r="C63" s="22"/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1"/>
      <c r="Q63" s="65"/>
      <c r="R63" s="65"/>
      <c r="S63" s="16"/>
    </row>
    <row r="64" spans="1:28" x14ac:dyDescent="0.25">
      <c r="A64" s="19"/>
      <c r="B64" s="371"/>
      <c r="C64" s="22"/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4"/>
      <c r="Q64" s="66"/>
      <c r="R64" s="66"/>
      <c r="S64" s="23"/>
    </row>
    <row r="65" spans="1:19" x14ac:dyDescent="0.25">
      <c r="A65" s="19"/>
      <c r="B65" s="371"/>
      <c r="C65" s="370"/>
      <c r="D65" s="16">
        <f t="shared" ref="D65:O65" si="31">SUM(D63:D64)</f>
        <v>0</v>
      </c>
      <c r="E65" s="16">
        <f t="shared" si="31"/>
        <v>0</v>
      </c>
      <c r="F65" s="16">
        <f t="shared" si="31"/>
        <v>0</v>
      </c>
      <c r="G65" s="16">
        <f t="shared" si="31"/>
        <v>0</v>
      </c>
      <c r="H65" s="16">
        <f t="shared" si="31"/>
        <v>0</v>
      </c>
      <c r="I65" s="16">
        <f t="shared" si="31"/>
        <v>0</v>
      </c>
      <c r="J65" s="16">
        <f t="shared" si="31"/>
        <v>0</v>
      </c>
      <c r="K65" s="16">
        <f t="shared" si="31"/>
        <v>0</v>
      </c>
      <c r="L65" s="16">
        <f t="shared" si="31"/>
        <v>0</v>
      </c>
      <c r="M65" s="16">
        <f t="shared" si="31"/>
        <v>0</v>
      </c>
      <c r="N65" s="16">
        <f t="shared" si="31"/>
        <v>0</v>
      </c>
      <c r="O65" s="16">
        <f t="shared" si="31"/>
        <v>0</v>
      </c>
      <c r="P65" s="21">
        <f t="shared" ref="P65" si="32">SUM(D65:O65)</f>
        <v>0</v>
      </c>
      <c r="Q65" s="65"/>
      <c r="R65" s="65"/>
      <c r="S65" s="16"/>
    </row>
    <row r="66" spans="1:19" x14ac:dyDescent="0.25">
      <c r="A66" s="19"/>
      <c r="B66" s="371"/>
      <c r="C66" s="370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21"/>
      <c r="Q66" s="65"/>
      <c r="R66" s="65"/>
      <c r="S66" s="16"/>
    </row>
    <row r="67" spans="1:19" x14ac:dyDescent="0.25">
      <c r="A67" s="19"/>
      <c r="B67" s="371"/>
      <c r="C67" s="22" t="s">
        <v>512</v>
      </c>
      <c r="D67" s="23">
        <v>71082</v>
      </c>
      <c r="E67" s="23">
        <v>72406</v>
      </c>
      <c r="F67" s="23">
        <v>74755</v>
      </c>
      <c r="G67" s="23">
        <v>72726</v>
      </c>
      <c r="H67" s="23">
        <v>73679</v>
      </c>
      <c r="I67" s="23">
        <v>73600</v>
      </c>
      <c r="J67" s="23">
        <v>70453</v>
      </c>
      <c r="K67" s="23">
        <v>67643</v>
      </c>
      <c r="L67" s="23">
        <v>64424</v>
      </c>
      <c r="M67" s="23">
        <v>65624</v>
      </c>
      <c r="N67" s="23">
        <v>65336</v>
      </c>
      <c r="O67" s="23">
        <v>63847</v>
      </c>
      <c r="P67" s="21"/>
      <c r="Q67" s="65"/>
      <c r="R67" s="65"/>
      <c r="S67" s="16"/>
    </row>
    <row r="68" spans="1:19" x14ac:dyDescent="0.25">
      <c r="A68" s="19"/>
      <c r="B68" s="371"/>
      <c r="C68" s="22" t="s">
        <v>513</v>
      </c>
      <c r="D68" s="23">
        <v>69212</v>
      </c>
      <c r="E68" s="23">
        <v>76164</v>
      </c>
      <c r="F68" s="23">
        <v>81019</v>
      </c>
      <c r="G68" s="23">
        <v>76262</v>
      </c>
      <c r="H68" s="23">
        <v>74441</v>
      </c>
      <c r="I68" s="23">
        <v>75458</v>
      </c>
      <c r="J68" s="23">
        <v>70281</v>
      </c>
      <c r="K68" s="23">
        <v>66073</v>
      </c>
      <c r="L68" s="23">
        <v>65907</v>
      </c>
      <c r="M68" s="23">
        <v>65094</v>
      </c>
      <c r="N68" s="23">
        <v>63638</v>
      </c>
      <c r="O68" s="23">
        <v>64446</v>
      </c>
      <c r="P68" s="21"/>
      <c r="Q68" s="65"/>
      <c r="R68" s="65"/>
      <c r="S68" s="16"/>
    </row>
    <row r="69" spans="1:19" x14ac:dyDescent="0.25">
      <c r="A69" s="19"/>
      <c r="B69" s="371"/>
      <c r="C69" s="22" t="s">
        <v>514</v>
      </c>
      <c r="D69" s="23">
        <v>60000</v>
      </c>
      <c r="E69" s="23">
        <v>60000</v>
      </c>
      <c r="F69" s="23">
        <v>60000</v>
      </c>
      <c r="G69" s="23">
        <v>60000</v>
      </c>
      <c r="H69" s="23">
        <v>60000</v>
      </c>
      <c r="I69" s="23">
        <v>60000</v>
      </c>
      <c r="J69" s="23">
        <v>60000</v>
      </c>
      <c r="K69" s="23">
        <v>60000</v>
      </c>
      <c r="L69" s="23">
        <v>58539</v>
      </c>
      <c r="M69" s="23">
        <v>56699</v>
      </c>
      <c r="N69" s="23">
        <v>57038</v>
      </c>
      <c r="O69" s="23">
        <v>60000</v>
      </c>
      <c r="P69" s="21"/>
      <c r="Q69" s="65"/>
      <c r="R69" s="65"/>
      <c r="S69" s="16"/>
    </row>
    <row r="70" spans="1:19" x14ac:dyDescent="0.25">
      <c r="A70" s="19"/>
      <c r="B70" s="371"/>
      <c r="C70" s="22" t="s">
        <v>515</v>
      </c>
      <c r="D70" s="23">
        <v>120501</v>
      </c>
      <c r="E70" s="23">
        <v>116313</v>
      </c>
      <c r="F70" s="23">
        <v>122597</v>
      </c>
      <c r="G70" s="23">
        <v>124210</v>
      </c>
      <c r="H70" s="23">
        <v>112809</v>
      </c>
      <c r="I70" s="23">
        <v>120509</v>
      </c>
      <c r="J70" s="23">
        <v>116009</v>
      </c>
      <c r="K70" s="23">
        <v>96859</v>
      </c>
      <c r="L70" s="23">
        <v>94926</v>
      </c>
      <c r="M70" s="23">
        <v>86421</v>
      </c>
      <c r="N70" s="23">
        <v>86752</v>
      </c>
      <c r="O70" s="23">
        <v>95322</v>
      </c>
      <c r="P70" s="21"/>
      <c r="Q70" s="65"/>
      <c r="R70" s="65"/>
      <c r="S70" s="16"/>
    </row>
    <row r="71" spans="1:19" x14ac:dyDescent="0.25">
      <c r="A71" s="19"/>
      <c r="B71" s="371"/>
      <c r="C71" s="22" t="s">
        <v>516</v>
      </c>
      <c r="D71" s="23">
        <v>0</v>
      </c>
      <c r="E71" s="23">
        <v>35146</v>
      </c>
      <c r="F71" s="23">
        <v>99273</v>
      </c>
      <c r="G71" s="23">
        <v>58580</v>
      </c>
      <c r="H71" s="23">
        <v>64697</v>
      </c>
      <c r="I71" s="23">
        <v>64553</v>
      </c>
      <c r="J71" s="23">
        <v>32993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1"/>
      <c r="Q71" s="65"/>
      <c r="R71" s="65"/>
      <c r="S71" s="16"/>
    </row>
    <row r="72" spans="1:19" x14ac:dyDescent="0.25">
      <c r="A72" s="19"/>
      <c r="B72" s="371"/>
      <c r="C72" s="22" t="s">
        <v>517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4"/>
      <c r="Q72" s="66"/>
      <c r="R72" s="66"/>
      <c r="S72" s="23"/>
    </row>
    <row r="73" spans="1:19" x14ac:dyDescent="0.25">
      <c r="A73" s="19"/>
      <c r="B73" s="371"/>
      <c r="C73" s="370" t="s">
        <v>468</v>
      </c>
      <c r="D73" s="16">
        <f t="shared" ref="D73:O73" si="33">SUM(D67:D72)</f>
        <v>320795</v>
      </c>
      <c r="E73" s="16">
        <f t="shared" si="33"/>
        <v>360029</v>
      </c>
      <c r="F73" s="16">
        <f t="shared" si="33"/>
        <v>437644</v>
      </c>
      <c r="G73" s="16">
        <f t="shared" si="33"/>
        <v>391778</v>
      </c>
      <c r="H73" s="16">
        <f t="shared" si="33"/>
        <v>385626</v>
      </c>
      <c r="I73" s="16">
        <f t="shared" si="33"/>
        <v>394120</v>
      </c>
      <c r="J73" s="16">
        <f t="shared" si="33"/>
        <v>349736</v>
      </c>
      <c r="K73" s="16">
        <f t="shared" si="33"/>
        <v>290575</v>
      </c>
      <c r="L73" s="16">
        <f t="shared" si="33"/>
        <v>283796</v>
      </c>
      <c r="M73" s="16">
        <f t="shared" si="33"/>
        <v>273838</v>
      </c>
      <c r="N73" s="16">
        <f t="shared" si="33"/>
        <v>272764</v>
      </c>
      <c r="O73" s="16">
        <f t="shared" si="33"/>
        <v>283615</v>
      </c>
      <c r="P73" s="21">
        <f t="shared" ref="P73" si="34">SUM(D73:O73)</f>
        <v>4044316</v>
      </c>
      <c r="Q73" s="65">
        <f>SUM(E73:I73)</f>
        <v>1969197</v>
      </c>
      <c r="R73" s="65">
        <f>MAX(SUM(E73:I73)-AVERAGE(D73,J73:O73)*5,0)</f>
        <v>486969.14285714296</v>
      </c>
      <c r="S73" s="16"/>
    </row>
    <row r="74" spans="1:19" x14ac:dyDescent="0.25">
      <c r="A74" s="19"/>
      <c r="B74" s="371"/>
      <c r="C74" s="37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1"/>
      <c r="Q74" s="65"/>
      <c r="R74" s="65"/>
      <c r="S74" s="16"/>
    </row>
    <row r="75" spans="1:19" x14ac:dyDescent="0.25">
      <c r="A75" s="19"/>
      <c r="B75" s="371"/>
      <c r="C75" s="22" t="s">
        <v>518</v>
      </c>
      <c r="D75" s="23">
        <v>74229</v>
      </c>
      <c r="E75" s="23">
        <v>84810</v>
      </c>
      <c r="F75" s="23">
        <v>75245</v>
      </c>
      <c r="G75" s="23">
        <v>66282</v>
      </c>
      <c r="H75" s="23">
        <v>74113</v>
      </c>
      <c r="I75" s="23">
        <v>67100</v>
      </c>
      <c r="J75" s="23">
        <v>81226</v>
      </c>
      <c r="K75" s="23">
        <v>75408</v>
      </c>
      <c r="L75" s="23">
        <v>75967</v>
      </c>
      <c r="M75" s="23">
        <v>81256</v>
      </c>
      <c r="N75" s="23">
        <v>83846</v>
      </c>
      <c r="O75" s="23">
        <v>84876</v>
      </c>
      <c r="P75" s="21"/>
      <c r="Q75" s="65"/>
      <c r="R75" s="65"/>
      <c r="S75" s="16"/>
    </row>
    <row r="76" spans="1:19" x14ac:dyDescent="0.25">
      <c r="A76" s="19"/>
      <c r="B76" s="371"/>
      <c r="C76" s="22" t="s">
        <v>519</v>
      </c>
      <c r="D76" s="23">
        <v>157759</v>
      </c>
      <c r="E76" s="23">
        <v>125770</v>
      </c>
      <c r="F76" s="23">
        <v>126189</v>
      </c>
      <c r="G76" s="23">
        <v>118268</v>
      </c>
      <c r="H76" s="23">
        <v>127615</v>
      </c>
      <c r="I76" s="23">
        <v>115669</v>
      </c>
      <c r="J76" s="23">
        <v>135151</v>
      </c>
      <c r="K76" s="23">
        <v>142770</v>
      </c>
      <c r="L76" s="23">
        <v>134765</v>
      </c>
      <c r="M76" s="23">
        <v>151516</v>
      </c>
      <c r="N76" s="23">
        <v>178327</v>
      </c>
      <c r="O76" s="23">
        <v>147383</v>
      </c>
      <c r="P76" s="21"/>
      <c r="Q76" s="65"/>
      <c r="R76" s="65"/>
      <c r="S76" s="16"/>
    </row>
    <row r="77" spans="1:19" x14ac:dyDescent="0.25">
      <c r="A77" s="19"/>
      <c r="B77" s="371"/>
      <c r="C77" s="22" t="s">
        <v>520</v>
      </c>
      <c r="D77" s="23">
        <v>125444</v>
      </c>
      <c r="E77" s="23">
        <v>100000</v>
      </c>
      <c r="F77" s="23">
        <v>109033</v>
      </c>
      <c r="G77" s="23">
        <v>114542</v>
      </c>
      <c r="H77" s="23">
        <v>96483</v>
      </c>
      <c r="I77" s="23">
        <v>104320</v>
      </c>
      <c r="J77" s="23">
        <v>113693</v>
      </c>
      <c r="K77" s="23">
        <v>112278</v>
      </c>
      <c r="L77" s="23">
        <v>117078</v>
      </c>
      <c r="M77" s="23">
        <v>139981</v>
      </c>
      <c r="N77" s="23">
        <v>139140</v>
      </c>
      <c r="O77" s="23">
        <v>123947</v>
      </c>
      <c r="P77" s="21"/>
      <c r="Q77" s="65"/>
      <c r="R77" s="65"/>
      <c r="S77" s="16"/>
    </row>
    <row r="78" spans="1:19" x14ac:dyDescent="0.25">
      <c r="A78" s="19"/>
      <c r="B78" s="371"/>
      <c r="C78" s="22" t="s">
        <v>521</v>
      </c>
      <c r="D78" s="23">
        <v>474474</v>
      </c>
      <c r="E78" s="23">
        <v>362592</v>
      </c>
      <c r="F78" s="23">
        <v>338185</v>
      </c>
      <c r="G78" s="23">
        <v>343029</v>
      </c>
      <c r="H78" s="23">
        <v>282213</v>
      </c>
      <c r="I78" s="23">
        <v>375226</v>
      </c>
      <c r="J78" s="23">
        <v>340772</v>
      </c>
      <c r="K78" s="23">
        <v>342313</v>
      </c>
      <c r="L78" s="23">
        <v>330978</v>
      </c>
      <c r="M78" s="23">
        <v>364316</v>
      </c>
      <c r="N78" s="23">
        <v>435051</v>
      </c>
      <c r="O78" s="23">
        <v>353430</v>
      </c>
      <c r="P78" s="21"/>
      <c r="Q78" s="65"/>
      <c r="R78" s="65"/>
      <c r="S78" s="16"/>
    </row>
    <row r="79" spans="1:19" x14ac:dyDescent="0.25">
      <c r="A79" s="19"/>
      <c r="B79" s="371"/>
      <c r="C79" s="22" t="s">
        <v>522</v>
      </c>
      <c r="D79" s="23">
        <v>368036</v>
      </c>
      <c r="E79" s="23">
        <v>217066</v>
      </c>
      <c r="F79" s="23">
        <v>310142</v>
      </c>
      <c r="G79" s="23">
        <v>266525</v>
      </c>
      <c r="H79" s="23">
        <v>168050</v>
      </c>
      <c r="I79" s="23">
        <v>235257</v>
      </c>
      <c r="J79" s="23">
        <v>189908</v>
      </c>
      <c r="K79" s="23">
        <v>176194</v>
      </c>
      <c r="L79" s="23">
        <v>154147</v>
      </c>
      <c r="M79" s="23">
        <v>102913</v>
      </c>
      <c r="N79" s="23">
        <v>140580</v>
      </c>
      <c r="O79" s="23">
        <v>255506</v>
      </c>
      <c r="P79" s="21"/>
      <c r="Q79" s="65"/>
      <c r="R79" s="65"/>
      <c r="S79" s="16"/>
    </row>
    <row r="80" spans="1:19" x14ac:dyDescent="0.25">
      <c r="A80" s="19"/>
      <c r="B80" s="371"/>
      <c r="C80" s="22" t="s">
        <v>523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4"/>
      <c r="Q80" s="66"/>
      <c r="R80" s="66"/>
      <c r="S80" s="23"/>
    </row>
    <row r="81" spans="1:19" x14ac:dyDescent="0.25">
      <c r="A81" s="19"/>
      <c r="B81" s="371"/>
      <c r="C81" s="370" t="s">
        <v>470</v>
      </c>
      <c r="D81" s="16">
        <f t="shared" ref="D81:O81" si="35">SUM(D75:D80)</f>
        <v>1199942</v>
      </c>
      <c r="E81" s="16">
        <f t="shared" si="35"/>
        <v>890238</v>
      </c>
      <c r="F81" s="16">
        <f t="shared" si="35"/>
        <v>958794</v>
      </c>
      <c r="G81" s="16">
        <f t="shared" si="35"/>
        <v>908646</v>
      </c>
      <c r="H81" s="16">
        <f t="shared" si="35"/>
        <v>748474</v>
      </c>
      <c r="I81" s="16">
        <f t="shared" si="35"/>
        <v>897572</v>
      </c>
      <c r="J81" s="16">
        <f t="shared" si="35"/>
        <v>860750</v>
      </c>
      <c r="K81" s="16">
        <f t="shared" si="35"/>
        <v>848963</v>
      </c>
      <c r="L81" s="16">
        <f t="shared" si="35"/>
        <v>812935</v>
      </c>
      <c r="M81" s="16">
        <f t="shared" si="35"/>
        <v>839982</v>
      </c>
      <c r="N81" s="16">
        <f t="shared" si="35"/>
        <v>976944</v>
      </c>
      <c r="O81" s="16">
        <f t="shared" si="35"/>
        <v>965142</v>
      </c>
      <c r="P81" s="21">
        <f t="shared" ref="P81" si="36">SUM(D81:O81)</f>
        <v>10908382</v>
      </c>
      <c r="Q81" s="65">
        <f>SUM(E81:I81)</f>
        <v>4403724</v>
      </c>
      <c r="R81" s="65">
        <f>MAX(SUM(E81:I81)-AVERAGE(D81,J81:O81)*5,0)</f>
        <v>0</v>
      </c>
      <c r="S81" s="16"/>
    </row>
    <row r="82" spans="1:19" x14ac:dyDescent="0.25">
      <c r="A82" s="19"/>
      <c r="B82" s="371"/>
      <c r="C82" s="370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21"/>
      <c r="Q82" s="65"/>
      <c r="R82" s="65"/>
      <c r="S82" s="16"/>
    </row>
    <row r="83" spans="1:19" x14ac:dyDescent="0.25">
      <c r="A83" s="19"/>
      <c r="B83" s="371"/>
      <c r="C83" s="370" t="s">
        <v>473</v>
      </c>
      <c r="D83" s="23">
        <v>276323</v>
      </c>
      <c r="E83" s="23">
        <v>281278</v>
      </c>
      <c r="F83" s="23">
        <v>319867</v>
      </c>
      <c r="G83" s="23">
        <v>284628</v>
      </c>
      <c r="H83" s="23">
        <v>264283</v>
      </c>
      <c r="I83" s="23">
        <v>227606</v>
      </c>
      <c r="J83" s="23">
        <v>244695</v>
      </c>
      <c r="K83" s="23">
        <v>208807</v>
      </c>
      <c r="L83" s="23">
        <v>200568</v>
      </c>
      <c r="M83" s="23">
        <v>166545</v>
      </c>
      <c r="N83" s="23">
        <v>198265</v>
      </c>
      <c r="O83" s="23">
        <v>140290</v>
      </c>
      <c r="P83" s="21">
        <f t="shared" ref="P83" si="37">SUM(D83:O83)</f>
        <v>2813155</v>
      </c>
      <c r="Q83" s="65">
        <f>SUM(E83:I83)</f>
        <v>1377662</v>
      </c>
      <c r="R83" s="65">
        <f>MAX(SUM(E83:I83)-AVERAGE(D83,J83:O83)*5,0)</f>
        <v>352309.85714285704</v>
      </c>
      <c r="S83" s="16"/>
    </row>
    <row r="84" spans="1:19" x14ac:dyDescent="0.25">
      <c r="A84" s="19"/>
      <c r="B84" s="371"/>
      <c r="C84" s="370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1"/>
      <c r="Q84" s="16"/>
      <c r="R84" s="16"/>
      <c r="S84" s="16"/>
    </row>
    <row r="85" spans="1:19" ht="13.8" x14ac:dyDescent="0.25">
      <c r="A85" s="27"/>
      <c r="B85" s="371"/>
      <c r="C85" s="37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1"/>
      <c r="Q85" s="16"/>
      <c r="R85" s="16"/>
      <c r="S85" s="16"/>
    </row>
    <row r="86" spans="1:19" x14ac:dyDescent="0.25">
      <c r="A86" s="17"/>
      <c r="B86" s="19"/>
      <c r="C86" s="1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21"/>
      <c r="Q86" s="16"/>
      <c r="R86" s="16"/>
      <c r="S86" s="16"/>
    </row>
    <row r="87" spans="1:19" ht="15" x14ac:dyDescent="0.25">
      <c r="A87" s="389" t="s">
        <v>524</v>
      </c>
      <c r="B87" s="28"/>
      <c r="C87" s="29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21"/>
      <c r="Q87" s="16"/>
      <c r="R87" s="16"/>
      <c r="S87" s="16"/>
    </row>
    <row r="88" spans="1:19" x14ac:dyDescent="0.25">
      <c r="A88" s="19"/>
      <c r="B88" s="26"/>
      <c r="C88" s="1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21"/>
      <c r="Q88" s="16"/>
      <c r="R88" s="16"/>
      <c r="S88" s="16"/>
    </row>
    <row r="89" spans="1:19" ht="13.8" x14ac:dyDescent="0.25">
      <c r="A89" s="388"/>
      <c r="B89" s="19" t="s">
        <v>458</v>
      </c>
      <c r="C89" s="18" t="s">
        <v>525</v>
      </c>
      <c r="D89" s="16">
        <f t="shared" ref="D89:O89" si="38">+D6+D7</f>
        <v>3149885.5231499714</v>
      </c>
      <c r="E89" s="16">
        <f t="shared" si="38"/>
        <v>5897189.2954398105</v>
      </c>
      <c r="F89" s="16">
        <f t="shared" si="38"/>
        <v>8330794.2808513315</v>
      </c>
      <c r="G89" s="16">
        <f t="shared" si="38"/>
        <v>8236852.4007837139</v>
      </c>
      <c r="H89" s="16">
        <f t="shared" si="38"/>
        <v>6664517.5387081588</v>
      </c>
      <c r="I89" s="16">
        <f t="shared" si="38"/>
        <v>5844377.754424097</v>
      </c>
      <c r="J89" s="16">
        <f t="shared" si="38"/>
        <v>4160822.464526209</v>
      </c>
      <c r="K89" s="16">
        <f t="shared" si="38"/>
        <v>2483247.6586962934</v>
      </c>
      <c r="L89" s="16">
        <f t="shared" si="38"/>
        <v>1563420.249121659</v>
      </c>
      <c r="M89" s="16">
        <f t="shared" si="38"/>
        <v>1306968.7046716881</v>
      </c>
      <c r="N89" s="16">
        <f t="shared" si="38"/>
        <v>1301367.478001545</v>
      </c>
      <c r="O89" s="16">
        <f t="shared" si="38"/>
        <v>1429225.7705852308</v>
      </c>
      <c r="P89" s="21">
        <f t="shared" ref="P89:P92" si="39">SUM(D89:O89)</f>
        <v>50368669.118959703</v>
      </c>
      <c r="Q89" s="16"/>
      <c r="R89" s="16"/>
      <c r="S89" s="16"/>
    </row>
    <row r="90" spans="1:19" ht="13.8" x14ac:dyDescent="0.25">
      <c r="A90" s="27"/>
      <c r="B90" s="26"/>
      <c r="C90" s="18" t="s">
        <v>526</v>
      </c>
      <c r="D90" s="16">
        <f t="shared" ref="D90:O90" si="40">+D8+D14+D22+D10+D9</f>
        <v>1400900.3305666116</v>
      </c>
      <c r="E90" s="16">
        <f t="shared" si="40"/>
        <v>2432518.4810015731</v>
      </c>
      <c r="F90" s="16">
        <f t="shared" si="40"/>
        <v>3394120.3846926331</v>
      </c>
      <c r="G90" s="16">
        <f t="shared" si="40"/>
        <v>3359610.4446277833</v>
      </c>
      <c r="H90" s="16">
        <f t="shared" si="40"/>
        <v>2740686.2264221124</v>
      </c>
      <c r="I90" s="16">
        <f t="shared" si="40"/>
        <v>2432346.7919588783</v>
      </c>
      <c r="J90" s="16">
        <f t="shared" si="40"/>
        <v>1788300.7881103042</v>
      </c>
      <c r="K90" s="16">
        <f t="shared" si="40"/>
        <v>1188147.8664782404</v>
      </c>
      <c r="L90" s="16">
        <f t="shared" si="40"/>
        <v>870665.31384671596</v>
      </c>
      <c r="M90" s="16">
        <f t="shared" si="40"/>
        <v>755473.15806145535</v>
      </c>
      <c r="N90" s="16">
        <f t="shared" si="40"/>
        <v>743504.54960562871</v>
      </c>
      <c r="O90" s="16">
        <f t="shared" si="40"/>
        <v>763403.12437294482</v>
      </c>
      <c r="P90" s="21">
        <f t="shared" si="39"/>
        <v>21869677.459744882</v>
      </c>
      <c r="Q90" s="16"/>
      <c r="R90" s="16"/>
      <c r="S90" s="16"/>
    </row>
    <row r="91" spans="1:19" ht="13.8" x14ac:dyDescent="0.25">
      <c r="A91" s="27"/>
      <c r="B91" s="26"/>
      <c r="C91" s="18" t="s">
        <v>527</v>
      </c>
      <c r="D91" s="16">
        <f t="shared" ref="D91:O91" si="41">+D24+D28+D36</f>
        <v>211627.90000000002</v>
      </c>
      <c r="E91" s="16">
        <f t="shared" si="41"/>
        <v>254939.1</v>
      </c>
      <c r="F91" s="16">
        <f t="shared" si="41"/>
        <v>324188.79999999999</v>
      </c>
      <c r="G91" s="16">
        <f t="shared" si="41"/>
        <v>395738.5</v>
      </c>
      <c r="H91" s="16">
        <f t="shared" si="41"/>
        <v>323683.39999999997</v>
      </c>
      <c r="I91" s="16">
        <f t="shared" si="41"/>
        <v>332862.09999999998</v>
      </c>
      <c r="J91" s="16">
        <f t="shared" si="41"/>
        <v>292310.3</v>
      </c>
      <c r="K91" s="16">
        <f t="shared" si="41"/>
        <v>222622.19999999998</v>
      </c>
      <c r="L91" s="16">
        <f t="shared" si="41"/>
        <v>187636.8</v>
      </c>
      <c r="M91" s="16">
        <f t="shared" si="41"/>
        <v>181492.9</v>
      </c>
      <c r="N91" s="16">
        <f t="shared" si="41"/>
        <v>166439.79999999999</v>
      </c>
      <c r="O91" s="16">
        <f t="shared" si="41"/>
        <v>171360.3</v>
      </c>
      <c r="P91" s="21">
        <f t="shared" si="39"/>
        <v>3064902.0999999992</v>
      </c>
      <c r="Q91" s="16"/>
      <c r="R91" s="16"/>
      <c r="S91" s="16"/>
    </row>
    <row r="92" spans="1:19" ht="13.8" x14ac:dyDescent="0.25">
      <c r="A92" s="27"/>
      <c r="B92" s="19"/>
      <c r="C92" s="18" t="s">
        <v>528</v>
      </c>
      <c r="D92" s="20">
        <f t="shared" ref="D92:O92" si="42">+D40+D48</f>
        <v>104819</v>
      </c>
      <c r="E92" s="20">
        <f t="shared" si="42"/>
        <v>126269</v>
      </c>
      <c r="F92" s="20">
        <f t="shared" si="42"/>
        <v>147531</v>
      </c>
      <c r="G92" s="20">
        <f t="shared" si="42"/>
        <v>131183</v>
      </c>
      <c r="H92" s="20">
        <f t="shared" si="42"/>
        <v>130109</v>
      </c>
      <c r="I92" s="20">
        <f t="shared" si="42"/>
        <v>120165</v>
      </c>
      <c r="J92" s="20">
        <f t="shared" si="42"/>
        <v>107863</v>
      </c>
      <c r="K92" s="20">
        <f t="shared" si="42"/>
        <v>96456</v>
      </c>
      <c r="L92" s="20">
        <f t="shared" si="42"/>
        <v>94241</v>
      </c>
      <c r="M92" s="20">
        <f t="shared" si="42"/>
        <v>80971</v>
      </c>
      <c r="N92" s="20">
        <f t="shared" si="42"/>
        <v>86720</v>
      </c>
      <c r="O92" s="20">
        <f t="shared" si="42"/>
        <v>92871</v>
      </c>
      <c r="P92" s="24">
        <f t="shared" si="39"/>
        <v>1319198</v>
      </c>
      <c r="Q92" s="23"/>
      <c r="R92" s="23"/>
      <c r="S92" s="23"/>
    </row>
    <row r="93" spans="1:19" ht="13.8" x14ac:dyDescent="0.25">
      <c r="A93" s="27"/>
      <c r="B93" s="19"/>
      <c r="C93" s="18"/>
      <c r="D93" s="16">
        <f t="shared" ref="D93:F93" si="43">SUM(D89:D92)</f>
        <v>4867232.7537165834</v>
      </c>
      <c r="E93" s="16">
        <f t="shared" si="43"/>
        <v>8710915.8764413837</v>
      </c>
      <c r="F93" s="16">
        <f t="shared" si="43"/>
        <v>12196634.465543965</v>
      </c>
      <c r="G93" s="16">
        <f t="shared" ref="G93:P93" si="44">SUM(G89:G92)</f>
        <v>12123384.345411498</v>
      </c>
      <c r="H93" s="16">
        <f t="shared" si="44"/>
        <v>9858996.1651302706</v>
      </c>
      <c r="I93" s="16">
        <f t="shared" si="44"/>
        <v>8729751.6463829745</v>
      </c>
      <c r="J93" s="16">
        <f t="shared" si="44"/>
        <v>6349296.5526365126</v>
      </c>
      <c r="K93" s="16">
        <f t="shared" si="44"/>
        <v>3990473.7251745341</v>
      </c>
      <c r="L93" s="16">
        <f t="shared" si="44"/>
        <v>2715963.362968375</v>
      </c>
      <c r="M93" s="16">
        <f t="shared" si="44"/>
        <v>2324905.7627331433</v>
      </c>
      <c r="N93" s="16">
        <f t="shared" si="44"/>
        <v>2298031.8276071735</v>
      </c>
      <c r="O93" s="16">
        <f t="shared" si="44"/>
        <v>2456860.1949581755</v>
      </c>
      <c r="P93" s="21">
        <f t="shared" si="44"/>
        <v>76622446.678704575</v>
      </c>
      <c r="Q93" s="16"/>
      <c r="R93" s="16"/>
      <c r="S93" s="16"/>
    </row>
    <row r="94" spans="1:19" ht="13.8" x14ac:dyDescent="0.25">
      <c r="A94" s="27"/>
      <c r="B94" s="19"/>
      <c r="C94" s="18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21"/>
      <c r="Q94" s="16"/>
      <c r="R94" s="16"/>
      <c r="S94" s="16"/>
    </row>
    <row r="95" spans="1:19" ht="13.8" x14ac:dyDescent="0.25">
      <c r="A95" s="27"/>
      <c r="B95" s="371" t="s">
        <v>503</v>
      </c>
      <c r="C95" s="18" t="s">
        <v>526</v>
      </c>
      <c r="D95" s="16">
        <f t="shared" ref="D95:O95" si="45">D61+D53</f>
        <v>246316</v>
      </c>
      <c r="E95" s="16">
        <f t="shared" si="45"/>
        <v>293586</v>
      </c>
      <c r="F95" s="16">
        <f t="shared" si="45"/>
        <v>350849</v>
      </c>
      <c r="G95" s="16">
        <f t="shared" si="45"/>
        <v>305576</v>
      </c>
      <c r="H95" s="16">
        <f t="shared" si="45"/>
        <v>292835</v>
      </c>
      <c r="I95" s="16">
        <f t="shared" si="45"/>
        <v>292263</v>
      </c>
      <c r="J95" s="16">
        <f t="shared" si="45"/>
        <v>246495</v>
      </c>
      <c r="K95" s="16">
        <f t="shared" si="45"/>
        <v>207015</v>
      </c>
      <c r="L95" s="16">
        <f t="shared" si="45"/>
        <v>191414</v>
      </c>
      <c r="M95" s="16">
        <f t="shared" si="45"/>
        <v>182369</v>
      </c>
      <c r="N95" s="16">
        <f t="shared" si="45"/>
        <v>198943</v>
      </c>
      <c r="O95" s="16">
        <f t="shared" si="45"/>
        <v>213743</v>
      </c>
      <c r="P95" s="21">
        <f t="shared" ref="P95:P98" si="46">SUM(D95:O95)</f>
        <v>3021404</v>
      </c>
      <c r="Q95" s="16"/>
      <c r="R95" s="16"/>
      <c r="S95" s="16"/>
    </row>
    <row r="96" spans="1:19" ht="13.8" x14ac:dyDescent="0.25">
      <c r="A96" s="27"/>
      <c r="B96" s="371"/>
      <c r="C96" s="18" t="s">
        <v>527</v>
      </c>
      <c r="D96" s="16">
        <f t="shared" ref="D96:O96" si="47">+D65+D73</f>
        <v>320795</v>
      </c>
      <c r="E96" s="16">
        <f t="shared" si="47"/>
        <v>360029</v>
      </c>
      <c r="F96" s="16">
        <f t="shared" si="47"/>
        <v>437644</v>
      </c>
      <c r="G96" s="16">
        <f t="shared" si="47"/>
        <v>391778</v>
      </c>
      <c r="H96" s="16">
        <f t="shared" si="47"/>
        <v>385626</v>
      </c>
      <c r="I96" s="16">
        <f t="shared" si="47"/>
        <v>394120</v>
      </c>
      <c r="J96" s="16">
        <f t="shared" si="47"/>
        <v>349736</v>
      </c>
      <c r="K96" s="16">
        <f t="shared" si="47"/>
        <v>290575</v>
      </c>
      <c r="L96" s="16">
        <f t="shared" si="47"/>
        <v>283796</v>
      </c>
      <c r="M96" s="16">
        <f t="shared" si="47"/>
        <v>273838</v>
      </c>
      <c r="N96" s="16">
        <f t="shared" si="47"/>
        <v>272764</v>
      </c>
      <c r="O96" s="16">
        <f t="shared" si="47"/>
        <v>283615</v>
      </c>
      <c r="P96" s="21">
        <f t="shared" si="46"/>
        <v>4044316</v>
      </c>
      <c r="Q96" s="16"/>
      <c r="R96" s="16"/>
      <c r="S96" s="16"/>
    </row>
    <row r="97" spans="1:19" ht="13.8" x14ac:dyDescent="0.25">
      <c r="A97" s="27"/>
      <c r="B97" s="371"/>
      <c r="C97" s="18" t="s">
        <v>528</v>
      </c>
      <c r="D97" s="23">
        <f t="shared" ref="D97:O97" si="48">+D81</f>
        <v>1199942</v>
      </c>
      <c r="E97" s="23">
        <f t="shared" si="48"/>
        <v>890238</v>
      </c>
      <c r="F97" s="23">
        <f t="shared" si="48"/>
        <v>958794</v>
      </c>
      <c r="G97" s="23">
        <f t="shared" si="48"/>
        <v>908646</v>
      </c>
      <c r="H97" s="23">
        <f t="shared" si="48"/>
        <v>748474</v>
      </c>
      <c r="I97" s="23">
        <f t="shared" si="48"/>
        <v>897572</v>
      </c>
      <c r="J97" s="23">
        <f t="shared" si="48"/>
        <v>860750</v>
      </c>
      <c r="K97" s="23">
        <f t="shared" si="48"/>
        <v>848963</v>
      </c>
      <c r="L97" s="23">
        <f t="shared" si="48"/>
        <v>812935</v>
      </c>
      <c r="M97" s="23">
        <f t="shared" si="48"/>
        <v>839982</v>
      </c>
      <c r="N97" s="23">
        <f t="shared" si="48"/>
        <v>976944</v>
      </c>
      <c r="O97" s="23">
        <f t="shared" si="48"/>
        <v>965142</v>
      </c>
      <c r="P97" s="30">
        <f t="shared" si="46"/>
        <v>10908382</v>
      </c>
      <c r="Q97" s="16"/>
      <c r="R97" s="16"/>
      <c r="S97" s="16"/>
    </row>
    <row r="98" spans="1:19" ht="13.8" x14ac:dyDescent="0.25">
      <c r="A98" s="27"/>
      <c r="B98" s="371"/>
      <c r="C98" s="370" t="s">
        <v>473</v>
      </c>
      <c r="D98" s="20">
        <f t="shared" ref="D98:O98" si="49">+D83</f>
        <v>276323</v>
      </c>
      <c r="E98" s="20">
        <f t="shared" si="49"/>
        <v>281278</v>
      </c>
      <c r="F98" s="20">
        <f t="shared" si="49"/>
        <v>319867</v>
      </c>
      <c r="G98" s="20">
        <f t="shared" si="49"/>
        <v>284628</v>
      </c>
      <c r="H98" s="20">
        <f t="shared" si="49"/>
        <v>264283</v>
      </c>
      <c r="I98" s="20">
        <f t="shared" si="49"/>
        <v>227606</v>
      </c>
      <c r="J98" s="20">
        <f t="shared" si="49"/>
        <v>244695</v>
      </c>
      <c r="K98" s="20">
        <f t="shared" si="49"/>
        <v>208807</v>
      </c>
      <c r="L98" s="20">
        <f t="shared" si="49"/>
        <v>200568</v>
      </c>
      <c r="M98" s="20">
        <f t="shared" si="49"/>
        <v>166545</v>
      </c>
      <c r="N98" s="20">
        <f t="shared" si="49"/>
        <v>198265</v>
      </c>
      <c r="O98" s="20">
        <f t="shared" si="49"/>
        <v>140290</v>
      </c>
      <c r="P98" s="24">
        <f t="shared" si="46"/>
        <v>2813155</v>
      </c>
      <c r="Q98" s="16"/>
      <c r="R98" s="16"/>
      <c r="S98" s="16"/>
    </row>
    <row r="99" spans="1:19" ht="13.8" x14ac:dyDescent="0.25">
      <c r="A99" s="27"/>
      <c r="B99" s="371"/>
      <c r="C99" s="18"/>
      <c r="D99" s="16">
        <f t="shared" ref="D99:P99" si="50">SUM(D95:D98)</f>
        <v>2043376</v>
      </c>
      <c r="E99" s="16">
        <f t="shared" si="50"/>
        <v>1825131</v>
      </c>
      <c r="F99" s="16">
        <f t="shared" si="50"/>
        <v>2067154</v>
      </c>
      <c r="G99" s="16">
        <f t="shared" si="50"/>
        <v>1890628</v>
      </c>
      <c r="H99" s="16">
        <f t="shared" si="50"/>
        <v>1691218</v>
      </c>
      <c r="I99" s="16">
        <f t="shared" si="50"/>
        <v>1811561</v>
      </c>
      <c r="J99" s="16">
        <f t="shared" si="50"/>
        <v>1701676</v>
      </c>
      <c r="K99" s="16">
        <f t="shared" si="50"/>
        <v>1555360</v>
      </c>
      <c r="L99" s="16">
        <f t="shared" si="50"/>
        <v>1488713</v>
      </c>
      <c r="M99" s="16">
        <f t="shared" si="50"/>
        <v>1462734</v>
      </c>
      <c r="N99" s="16">
        <f t="shared" si="50"/>
        <v>1646916</v>
      </c>
      <c r="O99" s="16">
        <f t="shared" si="50"/>
        <v>1602790</v>
      </c>
      <c r="P99" s="21">
        <f t="shared" si="50"/>
        <v>20787257</v>
      </c>
      <c r="Q99" s="16"/>
      <c r="R99" s="16"/>
      <c r="S99" s="16"/>
    </row>
    <row r="100" spans="1:19" ht="13.8" x14ac:dyDescent="0.25">
      <c r="A100" s="27"/>
      <c r="B100" s="371"/>
      <c r="C100" s="18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4"/>
      <c r="Q100" s="23"/>
      <c r="R100" s="23"/>
      <c r="S100" s="23"/>
    </row>
    <row r="101" spans="1:19" ht="13.8" x14ac:dyDescent="0.25">
      <c r="A101" s="27"/>
      <c r="B101" s="371"/>
      <c r="C101" s="371" t="s">
        <v>529</v>
      </c>
      <c r="D101" s="16">
        <f t="shared" ref="D101:P101" si="51">+D99+D93</f>
        <v>6910608.7537165834</v>
      </c>
      <c r="E101" s="16">
        <f t="shared" si="51"/>
        <v>10536046.876441384</v>
      </c>
      <c r="F101" s="16">
        <f t="shared" si="51"/>
        <v>14263788.465543965</v>
      </c>
      <c r="G101" s="16">
        <f t="shared" si="51"/>
        <v>14014012.345411498</v>
      </c>
      <c r="H101" s="16">
        <f t="shared" si="51"/>
        <v>11550214.165130271</v>
      </c>
      <c r="I101" s="16">
        <f t="shared" si="51"/>
        <v>10541312.646382974</v>
      </c>
      <c r="J101" s="16">
        <f t="shared" si="51"/>
        <v>8050972.5526365126</v>
      </c>
      <c r="K101" s="16">
        <f t="shared" si="51"/>
        <v>5545833.7251745341</v>
      </c>
      <c r="L101" s="16">
        <f t="shared" si="51"/>
        <v>4204676.362968375</v>
      </c>
      <c r="M101" s="16">
        <f t="shared" si="51"/>
        <v>3787639.7627331433</v>
      </c>
      <c r="N101" s="16">
        <f t="shared" si="51"/>
        <v>3944947.8276071735</v>
      </c>
      <c r="O101" s="16">
        <f t="shared" si="51"/>
        <v>4059650.1949581755</v>
      </c>
      <c r="P101" s="21">
        <f t="shared" si="51"/>
        <v>97409703.678704575</v>
      </c>
      <c r="Q101" s="16"/>
      <c r="R101" s="16"/>
      <c r="S101" s="16"/>
    </row>
    <row r="102" spans="1:19" ht="13.8" x14ac:dyDescent="0.25">
      <c r="A102" s="27"/>
      <c r="B102" s="371"/>
      <c r="C102" s="18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1"/>
      <c r="Q102" s="16"/>
      <c r="R102" s="16"/>
      <c r="S102" s="16"/>
    </row>
    <row r="103" spans="1:19" s="372" customFormat="1" ht="13.8" x14ac:dyDescent="0.25">
      <c r="A103" s="385" t="s">
        <v>146</v>
      </c>
      <c r="B103" s="384" t="s">
        <v>2310</v>
      </c>
      <c r="D103" s="16">
        <v>41869.481266789408</v>
      </c>
      <c r="E103" s="16">
        <v>63835.015559509055</v>
      </c>
      <c r="F103" s="16">
        <v>86420.37846960318</v>
      </c>
      <c r="G103" s="16">
        <v>84907.053528851276</v>
      </c>
      <c r="H103" s="16">
        <v>69979.576741953817</v>
      </c>
      <c r="I103" s="16">
        <v>63866.91941397138</v>
      </c>
      <c r="J103" s="16">
        <v>48778.632459949389</v>
      </c>
      <c r="K103" s="16">
        <v>33600.684041046938</v>
      </c>
      <c r="L103" s="16">
        <v>25474.979771866943</v>
      </c>
      <c r="M103" s="16">
        <v>22948.269500253919</v>
      </c>
      <c r="N103" s="16">
        <v>23901.355879484385</v>
      </c>
      <c r="O103" s="16">
        <v>24596.306033980734</v>
      </c>
      <c r="P103" s="21">
        <f t="shared" ref="P103" si="52">SUM(D103:O103)</f>
        <v>590178.65266726038</v>
      </c>
      <c r="Q103" s="16"/>
      <c r="R103" s="16"/>
      <c r="S103" s="16"/>
    </row>
    <row r="104" spans="1:19" s="372" customFormat="1" ht="13.8" x14ac:dyDescent="0.25">
      <c r="A104" s="385"/>
      <c r="B104" s="384"/>
      <c r="C104" s="3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387"/>
      <c r="Q104" s="386"/>
      <c r="R104" s="386"/>
      <c r="S104" s="386"/>
    </row>
    <row r="105" spans="1:19" s="372" customFormat="1" ht="13.8" x14ac:dyDescent="0.25">
      <c r="A105" s="385" t="s">
        <v>146</v>
      </c>
      <c r="B105" s="384" t="s">
        <v>530</v>
      </c>
      <c r="C105" s="31"/>
      <c r="D105" s="16">
        <f t="shared" ref="D105:P105" si="53">SUM(D101:D104)</f>
        <v>6952478.2349833725</v>
      </c>
      <c r="E105" s="16">
        <f t="shared" si="53"/>
        <v>10599881.892000893</v>
      </c>
      <c r="F105" s="16">
        <f t="shared" si="53"/>
        <v>14350208.844013568</v>
      </c>
      <c r="G105" s="16">
        <f t="shared" si="53"/>
        <v>14098919.398940349</v>
      </c>
      <c r="H105" s="16">
        <f t="shared" si="53"/>
        <v>11620193.741872225</v>
      </c>
      <c r="I105" s="16">
        <f t="shared" si="53"/>
        <v>10605179.565796945</v>
      </c>
      <c r="J105" s="16">
        <f t="shared" si="53"/>
        <v>8099751.1850964623</v>
      </c>
      <c r="K105" s="16">
        <f t="shared" si="53"/>
        <v>5579434.4092155807</v>
      </c>
      <c r="L105" s="16">
        <f t="shared" si="53"/>
        <v>4230151.3427402424</v>
      </c>
      <c r="M105" s="16">
        <f t="shared" si="53"/>
        <v>3810588.032233397</v>
      </c>
      <c r="N105" s="16">
        <f t="shared" si="53"/>
        <v>3968849.1834866577</v>
      </c>
      <c r="O105" s="16">
        <f t="shared" si="53"/>
        <v>4084246.5009921561</v>
      </c>
      <c r="P105" s="16">
        <f t="shared" si="53"/>
        <v>97999882.331371829</v>
      </c>
      <c r="Q105" s="16"/>
      <c r="R105" s="16"/>
      <c r="S105" s="16"/>
    </row>
    <row r="106" spans="1:19" ht="13.8" x14ac:dyDescent="0.25">
      <c r="A106" s="33"/>
      <c r="B106" s="383"/>
      <c r="C106" s="34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Q106" s="382"/>
      <c r="R106" s="382"/>
      <c r="S106" s="382"/>
    </row>
    <row r="107" spans="1:19" x14ac:dyDescent="0.25">
      <c r="D107" s="372"/>
      <c r="E107" s="372"/>
      <c r="F107" s="372"/>
      <c r="G107" s="372"/>
      <c r="H107" s="372"/>
      <c r="I107" s="372"/>
      <c r="J107" s="372"/>
      <c r="K107" s="372"/>
      <c r="L107" s="372"/>
    </row>
    <row r="125" ht="10.5" customHeight="1" x14ac:dyDescent="0.25"/>
  </sheetData>
  <printOptions horizontalCentered="1"/>
  <pageMargins left="0.5" right="0.5" top="0.5" bottom="0.5" header="0.25" footer="0.25"/>
  <pageSetup scale="91" orientation="portrait" r:id="rId1"/>
  <headerFooter alignWithMargins="0">
    <oddFooter>&amp;C&amp;"Tahoma,Regular"&amp;8&amp;F &amp;D &amp;T&amp;R&amp;"Tahoma,Regular"&amp;8&amp;A</oddFooter>
  </headerFooter>
  <rowBreaks count="1" manualBreakCount="1">
    <brk id="8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6"/>
  <sheetViews>
    <sheetView zoomScale="85" zoomScaleNormal="85" workbookViewId="0">
      <selection activeCell="I5" sqref="I5"/>
    </sheetView>
  </sheetViews>
  <sheetFormatPr defaultColWidth="9.109375" defaultRowHeight="14.4" x14ac:dyDescent="0.3"/>
  <cols>
    <col min="1" max="1" width="4.109375" style="7" customWidth="1"/>
    <col min="2" max="2" width="37.44140625" style="7" customWidth="1"/>
    <col min="3" max="3" width="14" style="7" customWidth="1"/>
    <col min="4" max="4" width="4.88671875" style="7" customWidth="1"/>
    <col min="5" max="5" width="19.6640625" style="168" customWidth="1"/>
    <col min="6" max="6" width="14.109375" style="106" bestFit="1" customWidth="1"/>
    <col min="7" max="7" width="13.5546875" style="7" bestFit="1" customWidth="1"/>
    <col min="8" max="8" width="13.109375" style="7" bestFit="1" customWidth="1"/>
    <col min="9" max="9" width="11.33203125" style="7" customWidth="1"/>
    <col min="10" max="10" width="12.109375" style="7" bestFit="1" customWidth="1"/>
    <col min="11" max="11" width="12.33203125" style="7" bestFit="1" customWidth="1"/>
    <col min="12" max="16384" width="9.109375" style="7"/>
  </cols>
  <sheetData>
    <row r="1" spans="1:9" x14ac:dyDescent="0.3">
      <c r="B1" s="7" t="s">
        <v>0</v>
      </c>
    </row>
    <row r="2" spans="1:9" x14ac:dyDescent="0.3">
      <c r="B2" s="7" t="s">
        <v>2437</v>
      </c>
    </row>
    <row r="3" spans="1:9" x14ac:dyDescent="0.3">
      <c r="B3" s="7">
        <v>0</v>
      </c>
    </row>
    <row r="4" spans="1:9" x14ac:dyDescent="0.3">
      <c r="B4" s="7" t="s">
        <v>1</v>
      </c>
    </row>
    <row r="8" spans="1:9" ht="30.75" customHeight="1" x14ac:dyDescent="0.3">
      <c r="B8" s="7" t="s">
        <v>2</v>
      </c>
      <c r="C8" s="7" t="s">
        <v>3</v>
      </c>
      <c r="E8" s="168" t="s">
        <v>4</v>
      </c>
    </row>
    <row r="10" spans="1:9" x14ac:dyDescent="0.3">
      <c r="A10" s="7" t="s">
        <v>5</v>
      </c>
      <c r="B10" s="7" t="s">
        <v>6</v>
      </c>
    </row>
    <row r="12" spans="1:9" x14ac:dyDescent="0.3">
      <c r="B12" s="7" t="s">
        <v>7</v>
      </c>
      <c r="I12" s="7" t="s">
        <v>2297</v>
      </c>
    </row>
    <row r="13" spans="1:9" x14ac:dyDescent="0.3">
      <c r="B13" s="7" t="s">
        <v>8</v>
      </c>
      <c r="C13" s="7">
        <v>301</v>
      </c>
      <c r="E13" s="310">
        <f t="shared" ref="E13:E18" si="0">SUM(G13:I13)</f>
        <v>322</v>
      </c>
      <c r="G13" s="6">
        <f>SUMIF(Plant!$Q$128:$Q$245,C13,Plant!$S$128:$S$245)</f>
        <v>322</v>
      </c>
      <c r="H13" s="106"/>
      <c r="I13" s="6">
        <f>SUMIF('TY Capital Adds'!$N$6:$N$30,C13,'TY Capital Adds'!$K$6:$K$30)</f>
        <v>0</v>
      </c>
    </row>
    <row r="14" spans="1:9" x14ac:dyDescent="0.3">
      <c r="B14" s="7" t="s">
        <v>9</v>
      </c>
      <c r="C14" s="7">
        <v>302</v>
      </c>
      <c r="E14" s="310">
        <f t="shared" si="0"/>
        <v>125</v>
      </c>
      <c r="G14" s="6">
        <f>SUMIF(Plant!$Q$128:$Q$245,C14,Plant!$S$128:$S$245)</f>
        <v>125</v>
      </c>
      <c r="H14" s="106"/>
      <c r="I14" s="6">
        <f>SUMIF('TY Capital Adds'!$N$6:$N$30,C14,'TY Capital Adds'!$K$6:$K$30)</f>
        <v>0</v>
      </c>
    </row>
    <row r="15" spans="1:9" x14ac:dyDescent="0.3">
      <c r="B15" s="7" t="s">
        <v>1937</v>
      </c>
      <c r="C15" s="7">
        <v>303.10000000000002</v>
      </c>
      <c r="E15" s="310">
        <f t="shared" si="0"/>
        <v>8039934.5763855036</v>
      </c>
      <c r="G15" s="6">
        <f>SUMIF(Plant!$Q$128:$Q$245,C15,Plant!$S$128:$S$245)</f>
        <v>7630039.7733855033</v>
      </c>
      <c r="H15" s="106"/>
      <c r="I15" s="6">
        <f>SUMIF('TY Capital Adds'!$N$6:$N$30,C15,'TY Capital Adds'!$K$6:$K$30)</f>
        <v>409894.80300000019</v>
      </c>
    </row>
    <row r="16" spans="1:9" x14ac:dyDescent="0.3">
      <c r="B16" s="7" t="s">
        <v>1917</v>
      </c>
      <c r="C16" s="7">
        <v>303.2</v>
      </c>
      <c r="E16" s="310">
        <f t="shared" si="0"/>
        <v>3610055.5186680015</v>
      </c>
      <c r="G16" s="6">
        <f>SUMIF(Plant!$Q$128:$Q$245,C16,Plant!$S$128:$S$245)</f>
        <v>3610055.5186680015</v>
      </c>
      <c r="H16" s="106"/>
      <c r="I16" s="6">
        <f>SUMIF('TY Capital Adds'!$N$6:$N$30,C16,'TY Capital Adds'!$K$6:$K$30)</f>
        <v>0</v>
      </c>
    </row>
    <row r="17" spans="2:9" x14ac:dyDescent="0.3">
      <c r="B17" s="7" t="s">
        <v>2251</v>
      </c>
      <c r="C17" s="7">
        <v>303.3</v>
      </c>
      <c r="E17" s="310">
        <f t="shared" si="0"/>
        <v>462799.73160000012</v>
      </c>
      <c r="G17" s="6">
        <f>SUMIF(Plant!$Q$128:$Q$245,C17,Plant!$S$128:$S$245)</f>
        <v>462799.73160000012</v>
      </c>
      <c r="H17" s="106"/>
      <c r="I17" s="6">
        <f>SUMIF('TY Capital Adds'!$N$6:$N$30,C17,'TY Capital Adds'!$K$6:$K$30)</f>
        <v>0</v>
      </c>
    </row>
    <row r="18" spans="2:9" x14ac:dyDescent="0.3">
      <c r="B18" s="7" t="s">
        <v>1919</v>
      </c>
      <c r="C18" s="7">
        <v>303.39999999999998</v>
      </c>
      <c r="E18" s="310">
        <f t="shared" si="0"/>
        <v>76210.808580000012</v>
      </c>
      <c r="G18" s="6">
        <f>SUMIF(Plant!$Q$128:$Q$245,C18,Plant!$S$128:$S$245)</f>
        <v>76210.808580000012</v>
      </c>
      <c r="H18" s="106"/>
      <c r="I18" s="6">
        <f>SUMIF('TY Capital Adds'!$N$6:$N$30,C18,'TY Capital Adds'!$K$6:$K$30)</f>
        <v>0</v>
      </c>
    </row>
    <row r="19" spans="2:9" x14ac:dyDescent="0.3">
      <c r="B19" s="7" t="s">
        <v>10</v>
      </c>
      <c r="E19" s="624">
        <f>SUM(E13:E18)</f>
        <v>12189447.635233505</v>
      </c>
      <c r="G19" s="624">
        <f>SUM(G13:G18)</f>
        <v>11779552.832233505</v>
      </c>
      <c r="H19" s="625"/>
    </row>
    <row r="20" spans="2:9" x14ac:dyDescent="0.3">
      <c r="G20" s="168"/>
      <c r="H20" s="106"/>
    </row>
    <row r="21" spans="2:9" s="156" customFormat="1" x14ac:dyDescent="0.3">
      <c r="B21" s="7" t="s">
        <v>13</v>
      </c>
      <c r="E21" s="310"/>
      <c r="G21" s="310"/>
      <c r="H21" s="441"/>
    </row>
    <row r="22" spans="2:9" s="156" customFormat="1" x14ac:dyDescent="0.3">
      <c r="B22" s="7" t="s">
        <v>14</v>
      </c>
      <c r="C22" s="7">
        <v>350</v>
      </c>
      <c r="E22" s="310">
        <f t="shared" ref="E22:E29" si="1">SUM(G22:I22)</f>
        <v>22525.324547999986</v>
      </c>
      <c r="G22" s="6">
        <f>SUMIF(Plant!$Q$128:$Q$245,C22,Plant!$S$128:$S$245)</f>
        <v>22525.324547999986</v>
      </c>
      <c r="H22" s="441"/>
      <c r="I22" s="6">
        <f>SUMIF('TY Capital Adds'!$N$6:$N$30,C22,'TY Capital Adds'!$K$6:$K$30)</f>
        <v>0</v>
      </c>
    </row>
    <row r="23" spans="2:9" s="156" customFormat="1" x14ac:dyDescent="0.3">
      <c r="B23" s="7" t="s">
        <v>15</v>
      </c>
      <c r="C23" s="7">
        <v>351</v>
      </c>
      <c r="E23" s="310">
        <f t="shared" si="1"/>
        <v>802929.98725983314</v>
      </c>
      <c r="G23" s="6">
        <f>SUMIF(Plant!$Q$128:$Q$245,C23,Plant!$S$128:$S$245)</f>
        <v>802929.98725983314</v>
      </c>
      <c r="H23" s="441"/>
      <c r="I23" s="6">
        <f>SUMIF('TY Capital Adds'!$N$6:$N$30,C23,'TY Capital Adds'!$K$6:$K$30)</f>
        <v>0</v>
      </c>
    </row>
    <row r="24" spans="2:9" s="156" customFormat="1" x14ac:dyDescent="0.3">
      <c r="B24" s="7" t="s">
        <v>16</v>
      </c>
      <c r="C24" s="7">
        <v>352</v>
      </c>
      <c r="E24" s="310">
        <f t="shared" si="1"/>
        <v>4133258.3161220821</v>
      </c>
      <c r="G24" s="6">
        <f>SUMIF(Plant!$Q$128:$Q$245,C24,Plant!$S$128:$S$245)</f>
        <v>4133258.3161220821</v>
      </c>
      <c r="H24" s="441"/>
      <c r="I24" s="6">
        <f>SUMIF('TY Capital Adds'!$N$6:$N$30,C24,'TY Capital Adds'!$K$6:$K$30)</f>
        <v>0</v>
      </c>
    </row>
    <row r="25" spans="2:9" s="156" customFormat="1" x14ac:dyDescent="0.3">
      <c r="B25" s="7" t="s">
        <v>17</v>
      </c>
      <c r="C25" s="7">
        <v>353</v>
      </c>
      <c r="E25" s="310">
        <f t="shared" si="1"/>
        <v>684332.47050399985</v>
      </c>
      <c r="G25" s="6">
        <f>SUMIF(Plant!$Q$128:$Q$245,C25,Plant!$S$128:$S$245)</f>
        <v>684332.47050399985</v>
      </c>
      <c r="H25" s="441"/>
      <c r="I25" s="6">
        <f>SUMIF('TY Capital Adds'!$N$6:$N$30,C25,'TY Capital Adds'!$K$6:$K$30)</f>
        <v>0</v>
      </c>
    </row>
    <row r="26" spans="2:9" s="156" customFormat="1" x14ac:dyDescent="0.3">
      <c r="B26" s="7" t="s">
        <v>18</v>
      </c>
      <c r="C26" s="7">
        <v>354</v>
      </c>
      <c r="E26" s="310">
        <f t="shared" si="1"/>
        <v>3266933.3359766654</v>
      </c>
      <c r="G26" s="6">
        <f>SUMIF(Plant!$Q$128:$Q$245,C26,Plant!$S$128:$S$245)</f>
        <v>3266933.3359766654</v>
      </c>
      <c r="H26" s="441"/>
      <c r="I26" s="6">
        <f>SUMIF('TY Capital Adds'!$N$6:$N$30,C26,'TY Capital Adds'!$K$6:$K$30)</f>
        <v>0</v>
      </c>
    </row>
    <row r="27" spans="2:9" s="156" customFormat="1" x14ac:dyDescent="0.3">
      <c r="B27" s="7" t="s">
        <v>19</v>
      </c>
      <c r="C27" s="7">
        <v>355</v>
      </c>
      <c r="E27" s="310">
        <f t="shared" si="1"/>
        <v>771909.72840558318</v>
      </c>
      <c r="G27" s="6">
        <f>SUMIF(Plant!$Q$128:$Q$245,C27,Plant!$S$128:$S$245)</f>
        <v>771909.72840558318</v>
      </c>
      <c r="H27" s="441"/>
      <c r="I27" s="6">
        <f>SUMIF('TY Capital Adds'!$N$6:$N$30,C27,'TY Capital Adds'!$K$6:$K$30)</f>
        <v>0</v>
      </c>
    </row>
    <row r="28" spans="2:9" s="156" customFormat="1" x14ac:dyDescent="0.3">
      <c r="B28" s="7" t="s">
        <v>1935</v>
      </c>
      <c r="C28" s="7">
        <v>356</v>
      </c>
      <c r="E28" s="310">
        <f t="shared" si="1"/>
        <v>32994.554532666647</v>
      </c>
      <c r="G28" s="6">
        <f>SUMIF(Plant!$Q$128:$Q$245,C28,Plant!$S$128:$S$245)</f>
        <v>32994.554532666647</v>
      </c>
      <c r="H28" s="441"/>
      <c r="I28" s="6">
        <f>SUMIF('TY Capital Adds'!$N$6:$N$30,C28,'TY Capital Adds'!$K$6:$K$30)</f>
        <v>0</v>
      </c>
    </row>
    <row r="29" spans="2:9" s="156" customFormat="1" x14ac:dyDescent="0.3">
      <c r="B29" s="7" t="s">
        <v>12</v>
      </c>
      <c r="C29" s="7">
        <v>357</v>
      </c>
      <c r="E29" s="310">
        <f t="shared" si="1"/>
        <v>169969.0910692499</v>
      </c>
      <c r="G29" s="6">
        <f>SUMIF(Plant!$Q$128:$Q$245,C29,Plant!$S$128:$S$245)</f>
        <v>169969.0910692499</v>
      </c>
      <c r="H29" s="441"/>
      <c r="I29" s="6">
        <f>SUMIF('TY Capital Adds'!$N$6:$N$30,C29,'TY Capital Adds'!$K$6:$K$30)</f>
        <v>0</v>
      </c>
    </row>
    <row r="30" spans="2:9" s="156" customFormat="1" x14ac:dyDescent="0.3">
      <c r="B30" s="7" t="s">
        <v>20</v>
      </c>
      <c r="E30" s="626">
        <f>SUM(E22:E29)</f>
        <v>9884852.8084180783</v>
      </c>
      <c r="G30" s="626">
        <f>SUM(G22:G29)</f>
        <v>9884852.8084180783</v>
      </c>
      <c r="H30" s="625">
        <f>'AMA Rate Base'!Q54</f>
        <v>0</v>
      </c>
    </row>
    <row r="31" spans="2:9" x14ac:dyDescent="0.3">
      <c r="G31" s="168"/>
      <c r="H31" s="441"/>
    </row>
    <row r="32" spans="2:9" x14ac:dyDescent="0.3">
      <c r="B32" s="7" t="s">
        <v>1926</v>
      </c>
      <c r="G32" s="168"/>
      <c r="H32" s="441"/>
    </row>
    <row r="33" spans="2:10" x14ac:dyDescent="0.3">
      <c r="B33" s="7" t="s">
        <v>14</v>
      </c>
      <c r="C33" s="7">
        <v>360</v>
      </c>
      <c r="E33" s="310">
        <f t="shared" ref="E33:E41" si="2">SUM(G33:I33)</f>
        <v>75735.699545999974</v>
      </c>
      <c r="G33" s="6">
        <f>SUMIF(Plant!$Q$128:$Q$245,C33,Plant!$S$128:$S$245)</f>
        <v>75735.699545999974</v>
      </c>
      <c r="H33" s="441"/>
      <c r="I33" s="6">
        <f>SUMIF('TY Capital Adds'!$N$6:$N$30,C33,'TY Capital Adds'!$K$6:$K$30)</f>
        <v>0</v>
      </c>
    </row>
    <row r="34" spans="2:10" x14ac:dyDescent="0.3">
      <c r="B34" s="7" t="s">
        <v>15</v>
      </c>
      <c r="C34" s="7">
        <v>361</v>
      </c>
      <c r="E34" s="310">
        <f t="shared" si="2"/>
        <v>1983612.1938856861</v>
      </c>
      <c r="G34" s="6">
        <f>SUMIF(Plant!$Q$128:$Q$245,C34,Plant!$S$128:$S$245)</f>
        <v>1606049.4452871659</v>
      </c>
      <c r="H34" s="441"/>
      <c r="I34" s="6">
        <f>SUMIF('TY Capital Adds'!$N$6:$N$30,C34,'TY Capital Adds'!$K$6:$K$30)</f>
        <v>377562.74859852024</v>
      </c>
    </row>
    <row r="35" spans="2:10" x14ac:dyDescent="0.3">
      <c r="B35" s="7" t="s">
        <v>1927</v>
      </c>
      <c r="C35" s="7">
        <v>362</v>
      </c>
      <c r="E35" s="310">
        <f t="shared" si="2"/>
        <v>1217451.7793432497</v>
      </c>
      <c r="G35" s="6">
        <f>SUMIF(Plant!$Q$128:$Q$245,C35,Plant!$S$128:$S$245)</f>
        <v>1087632.5608992497</v>
      </c>
      <c r="H35" s="106"/>
      <c r="I35" s="6">
        <f>SUMIF('TY Capital Adds'!$N$6:$N$30,C35,'TY Capital Adds'!$K$6:$K$30)</f>
        <v>129819.21844399995</v>
      </c>
    </row>
    <row r="36" spans="2:10" x14ac:dyDescent="0.3">
      <c r="B36" s="7" t="s">
        <v>1928</v>
      </c>
      <c r="C36" s="7">
        <v>363.1</v>
      </c>
      <c r="E36" s="310">
        <f t="shared" si="2"/>
        <v>1892172.4947702053</v>
      </c>
      <c r="G36" s="6">
        <f>SUMIF(Plant!$Q$128:$Q$245,C36,Plant!$S$128:$S$245)</f>
        <v>1465676.0261869994</v>
      </c>
      <c r="H36" s="106"/>
      <c r="I36" s="6">
        <f>SUMIF('TY Capital Adds'!$N$6:$N$30,C36,'TY Capital Adds'!$K$6:$K$30)</f>
        <v>426496.46858320589</v>
      </c>
    </row>
    <row r="37" spans="2:10" x14ac:dyDescent="0.3">
      <c r="B37" s="7" t="s">
        <v>1929</v>
      </c>
      <c r="C37" s="7">
        <v>363.2</v>
      </c>
      <c r="E37" s="310">
        <f t="shared" si="2"/>
        <v>1316842.58788102</v>
      </c>
      <c r="G37" s="6">
        <f>SUMIF(Plant!$Q$128:$Q$245,C37,Plant!$S$128:$S$245)</f>
        <v>939279.83928249986</v>
      </c>
      <c r="H37" s="106"/>
      <c r="I37" s="6">
        <f>SUMIF('TY Capital Adds'!$N$6:$N$30,C37,'TY Capital Adds'!$K$6:$K$30)</f>
        <v>377562.74859852024</v>
      </c>
    </row>
    <row r="38" spans="2:10" x14ac:dyDescent="0.3">
      <c r="B38" s="7" t="s">
        <v>1931</v>
      </c>
      <c r="C38" s="7">
        <v>363.3</v>
      </c>
      <c r="E38" s="310">
        <f t="shared" si="2"/>
        <v>474805.46588066674</v>
      </c>
      <c r="G38" s="6">
        <f>SUMIF(Plant!$Q$128:$Q$245,C38,Plant!$S$128:$S$245)</f>
        <v>474805.46588066674</v>
      </c>
      <c r="H38" s="106"/>
      <c r="I38" s="6">
        <f>SUMIF('TY Capital Adds'!$N$6:$N$30,C38,'TY Capital Adds'!$K$6:$K$30)</f>
        <v>0</v>
      </c>
    </row>
    <row r="39" spans="2:10" x14ac:dyDescent="0.3">
      <c r="B39" s="7" t="s">
        <v>1930</v>
      </c>
      <c r="C39" s="7">
        <v>363.4</v>
      </c>
      <c r="E39" s="310">
        <f t="shared" si="2"/>
        <v>1297132.3863853326</v>
      </c>
      <c r="G39" s="6">
        <f>SUMIF(Plant!$Q$128:$Q$245,C39,Plant!$S$128:$S$245)</f>
        <v>1297132.3863853326</v>
      </c>
      <c r="H39" s="106"/>
      <c r="I39" s="6">
        <f>SUMIF('TY Capital Adds'!$N$6:$N$30,C39,'TY Capital Adds'!$K$6:$K$30)</f>
        <v>0</v>
      </c>
    </row>
    <row r="40" spans="2:10" x14ac:dyDescent="0.3">
      <c r="B40" s="7" t="s">
        <v>1932</v>
      </c>
      <c r="C40" s="7">
        <v>363.5</v>
      </c>
      <c r="E40" s="310">
        <f t="shared" si="2"/>
        <v>342050.22442899999</v>
      </c>
      <c r="G40" s="6">
        <f>SUMIF(Plant!$Q$128:$Q$245,C40,Plant!$S$128:$S$245)</f>
        <v>342050.22442899999</v>
      </c>
      <c r="H40" s="106"/>
      <c r="I40" s="6">
        <f>SUMIF('TY Capital Adds'!$N$6:$N$30,C40,'TY Capital Adds'!$K$6:$K$30)</f>
        <v>0</v>
      </c>
    </row>
    <row r="41" spans="2:10" x14ac:dyDescent="0.3">
      <c r="B41" s="7" t="s">
        <v>1933</v>
      </c>
      <c r="C41" s="7">
        <v>363.6</v>
      </c>
      <c r="E41" s="310">
        <f t="shared" si="2"/>
        <v>82894.92329999998</v>
      </c>
      <c r="G41" s="6">
        <f>SUMIF(Plant!$Q$128:$Q$245,C41,Plant!$S$128:$S$245)</f>
        <v>82894.92329999998</v>
      </c>
      <c r="H41" s="106"/>
      <c r="I41" s="6">
        <f>SUMIF('TY Capital Adds'!$N$6:$N$30,C41,'TY Capital Adds'!$K$6:$K$30)</f>
        <v>0</v>
      </c>
    </row>
    <row r="42" spans="2:10" x14ac:dyDescent="0.3">
      <c r="B42" s="7" t="s">
        <v>1936</v>
      </c>
      <c r="E42" s="624">
        <f>SUM(E33:E41)</f>
        <v>8682697.7554211617</v>
      </c>
      <c r="G42" s="624">
        <f>SUM(G33:G41)</f>
        <v>7371256.5711969147</v>
      </c>
      <c r="H42" s="625"/>
      <c r="I42" s="152">
        <f>G30+G42+G48-G33+G22</f>
        <v>30033846.966370992</v>
      </c>
      <c r="J42" s="627"/>
    </row>
    <row r="43" spans="2:10" x14ac:dyDescent="0.3">
      <c r="G43" s="168"/>
      <c r="H43" s="106"/>
    </row>
    <row r="44" spans="2:10" x14ac:dyDescent="0.3">
      <c r="B44" s="7" t="s">
        <v>21</v>
      </c>
      <c r="G44" s="168"/>
      <c r="H44" s="106"/>
    </row>
    <row r="45" spans="2:10" x14ac:dyDescent="0.3">
      <c r="B45" s="7" t="s">
        <v>11</v>
      </c>
      <c r="C45" s="7">
        <v>365</v>
      </c>
      <c r="E45" s="310">
        <f t="shared" ref="E45:E50" si="3">SUM(G45:I45)</f>
        <v>0</v>
      </c>
      <c r="G45" s="6">
        <f>SUMIF(Plant!$Q$128:$Q$245,C45,Plant!$S$128:$S$245)</f>
        <v>0</v>
      </c>
      <c r="H45" s="106"/>
      <c r="I45" s="6">
        <f>SUMIF('TY Capital Adds'!$N$6:$N$30,C45,'TY Capital Adds'!$K$6:$K$30)</f>
        <v>0</v>
      </c>
    </row>
    <row r="46" spans="2:10" x14ac:dyDescent="0.3">
      <c r="B46" s="7" t="s">
        <v>22</v>
      </c>
      <c r="C46" s="7">
        <v>366</v>
      </c>
      <c r="E46" s="310">
        <f t="shared" si="3"/>
        <v>0</v>
      </c>
      <c r="G46" s="6">
        <f>SUMIF(Plant!$Q$128:$Q$245,C46,Plant!$S$128:$S$245)</f>
        <v>0</v>
      </c>
      <c r="H46" s="106"/>
      <c r="I46" s="6">
        <f>SUMIF('TY Capital Adds'!$N$6:$N$30,C46,'TY Capital Adds'!$K$6:$K$30)</f>
        <v>0</v>
      </c>
    </row>
    <row r="47" spans="2:10" x14ac:dyDescent="0.3">
      <c r="B47" s="7" t="s">
        <v>2391</v>
      </c>
      <c r="C47" s="7">
        <v>367</v>
      </c>
      <c r="E47" s="310">
        <f t="shared" si="3"/>
        <v>6844638.0828333329</v>
      </c>
      <c r="G47" s="6">
        <f>SUMIF(Plant!$Q$128:$Q$245,C47,Plant!$S$128:$S$245)</f>
        <v>1114905.5783333329</v>
      </c>
      <c r="H47" s="106"/>
      <c r="I47" s="6">
        <f>SUMIF('TY Capital Adds'!$N$6:$N$30,C47,'TY Capital Adds'!$K$6:$K$30)</f>
        <v>5729732.5044999998</v>
      </c>
    </row>
    <row r="48" spans="2:10" x14ac:dyDescent="0.3">
      <c r="B48" s="7" t="s">
        <v>1934</v>
      </c>
      <c r="C48" s="7">
        <v>367.2</v>
      </c>
      <c r="E48" s="310">
        <f t="shared" si="3"/>
        <v>12830947.961753998</v>
      </c>
      <c r="G48" s="6">
        <f>SUMIF(Plant!$Q$128:$Q$245,C48,Plant!$S$128:$S$245)</f>
        <v>12830947.961753998</v>
      </c>
      <c r="H48" s="106"/>
      <c r="I48" s="6">
        <f>SUMIF('TY Capital Adds'!$N$6:$N$30,C48,'TY Capital Adds'!$K$6:$K$30)</f>
        <v>0</v>
      </c>
    </row>
    <row r="49" spans="2:9" x14ac:dyDescent="0.3">
      <c r="B49" s="7" t="s">
        <v>24</v>
      </c>
      <c r="C49" s="7">
        <v>368</v>
      </c>
      <c r="E49" s="310">
        <f t="shared" si="3"/>
        <v>0</v>
      </c>
      <c r="G49" s="6">
        <f>SUMIF(Plant!$Q$128:$Q$245,C49,Plant!$S$128:$S$245)</f>
        <v>0</v>
      </c>
      <c r="H49" s="106"/>
      <c r="I49" s="6">
        <f>SUMIF('TY Capital Adds'!$N$6:$N$30,C49,'TY Capital Adds'!$K$6:$K$30)</f>
        <v>0</v>
      </c>
    </row>
    <row r="50" spans="2:9" x14ac:dyDescent="0.3">
      <c r="B50" s="7" t="s">
        <v>25</v>
      </c>
      <c r="C50" s="7">
        <v>369</v>
      </c>
      <c r="E50" s="310">
        <f t="shared" si="3"/>
        <v>0</v>
      </c>
      <c r="G50" s="6">
        <f>SUMIF(Plant!$Q$128:$Q$245,C50,Plant!$S$128:$S$245)</f>
        <v>0</v>
      </c>
      <c r="H50" s="106"/>
      <c r="I50" s="6">
        <f>SUMIF('TY Capital Adds'!$N$6:$N$30,C50,'TY Capital Adds'!$K$6:$K$30)</f>
        <v>0</v>
      </c>
    </row>
    <row r="51" spans="2:9" x14ac:dyDescent="0.3">
      <c r="B51" s="7" t="s">
        <v>26</v>
      </c>
      <c r="E51" s="624">
        <f>SUM(E45:E50)</f>
        <v>19675586.044587329</v>
      </c>
      <c r="G51" s="624">
        <f>SUM(G45:G50)</f>
        <v>13945853.540087331</v>
      </c>
      <c r="H51" s="625"/>
      <c r="I51" s="152">
        <f>G51-G48</f>
        <v>1114905.5783333331</v>
      </c>
    </row>
    <row r="52" spans="2:9" x14ac:dyDescent="0.3">
      <c r="G52" s="168"/>
      <c r="H52" s="106"/>
    </row>
    <row r="53" spans="2:9" x14ac:dyDescent="0.3">
      <c r="B53" s="7" t="s">
        <v>27</v>
      </c>
      <c r="G53" s="168"/>
      <c r="H53" s="106"/>
    </row>
    <row r="54" spans="2:9" x14ac:dyDescent="0.3">
      <c r="B54" s="7" t="s">
        <v>28</v>
      </c>
      <c r="C54" s="7">
        <v>374.1</v>
      </c>
      <c r="E54" s="310">
        <f t="shared" ref="E54:E67" si="4">SUM(G54:I54)</f>
        <v>10389</v>
      </c>
      <c r="G54" s="6">
        <f>SUMIF(Plant!$Q$128:$Q$245,C54,Plant!$S$128:$S$245)</f>
        <v>10389</v>
      </c>
      <c r="H54" s="106"/>
      <c r="I54" s="6">
        <f>SUMIF('TY Capital Adds'!$N$6:$N$30,C54,'TY Capital Adds'!$K$6:$K$30)</f>
        <v>0</v>
      </c>
    </row>
    <row r="55" spans="2:9" x14ac:dyDescent="0.3">
      <c r="B55" s="7" t="s">
        <v>29</v>
      </c>
      <c r="C55" s="7">
        <v>374.2</v>
      </c>
      <c r="E55" s="310">
        <f t="shared" si="4"/>
        <v>27679</v>
      </c>
      <c r="G55" s="6">
        <f>SUMIF(Plant!$Q$128:$Q$245,C55,Plant!$S$128:$S$245)</f>
        <v>27679</v>
      </c>
      <c r="H55" s="106"/>
      <c r="I55" s="6">
        <f>SUMIF('TY Capital Adds'!$N$6:$N$30,C55,'TY Capital Adds'!$K$6:$K$30)</f>
        <v>0</v>
      </c>
    </row>
    <row r="56" spans="2:9" x14ac:dyDescent="0.3">
      <c r="B56" s="7" t="s">
        <v>15</v>
      </c>
      <c r="C56" s="7">
        <v>375</v>
      </c>
      <c r="E56" s="310">
        <f t="shared" si="4"/>
        <v>1366085.7975000001</v>
      </c>
      <c r="G56" s="6">
        <f>SUMIF(Plant!$Q$128:$Q$245,C56,Plant!$S$128:$S$245)</f>
        <v>1366085.7975000001</v>
      </c>
      <c r="H56" s="106"/>
      <c r="I56" s="6">
        <f>SUMIF('TY Capital Adds'!$N$6:$N$30,C56,'TY Capital Adds'!$K$6:$K$30)</f>
        <v>0</v>
      </c>
    </row>
    <row r="57" spans="2:9" x14ac:dyDescent="0.3">
      <c r="B57" s="7" t="s">
        <v>30</v>
      </c>
      <c r="C57" s="7">
        <v>376.11</v>
      </c>
      <c r="E57" s="310">
        <f t="shared" si="4"/>
        <v>81868168.374426156</v>
      </c>
      <c r="G57" s="6">
        <f>SUMIF(Plant!$Q$128:$Q$245,C57,Plant!$S$128:$S$245)</f>
        <v>81333340.452500015</v>
      </c>
      <c r="H57" s="106"/>
      <c r="I57" s="6">
        <f>SUMIF('TY Capital Adds'!$N$6:$N$30,C57,'TY Capital Adds'!$K$6:$K$30)</f>
        <v>534827.92192613741</v>
      </c>
    </row>
    <row r="58" spans="2:9" x14ac:dyDescent="0.3">
      <c r="B58" s="7" t="s">
        <v>31</v>
      </c>
      <c r="C58" s="7">
        <v>376.12</v>
      </c>
      <c r="E58" s="310">
        <f t="shared" si="4"/>
        <v>88784103.806583315</v>
      </c>
      <c r="G58" s="6">
        <f>SUMIF(Plant!$Q$128:$Q$245,C58,Plant!$S$128:$S$245)</f>
        <v>88110017.629583314</v>
      </c>
      <c r="H58" s="106"/>
      <c r="I58" s="6">
        <f>SUMIF('TY Capital Adds'!$N$6:$N$30,C58,'TY Capital Adds'!$K$6:$K$30)</f>
        <v>674086.17700000014</v>
      </c>
    </row>
    <row r="59" spans="2:9" x14ac:dyDescent="0.3">
      <c r="B59" s="7" t="s">
        <v>32</v>
      </c>
      <c r="C59" s="7">
        <v>378</v>
      </c>
      <c r="E59" s="310">
        <f t="shared" si="4"/>
        <v>2679542.058333334</v>
      </c>
      <c r="G59" s="6">
        <f>SUMIF(Plant!$Q$128:$Q$245,C59,Plant!$S$128:$S$245)</f>
        <v>2679542.058333334</v>
      </c>
      <c r="H59" s="106"/>
      <c r="I59" s="6">
        <f>SUMIF('TY Capital Adds'!$N$6:$N$30,C59,'TY Capital Adds'!$K$6:$K$30)</f>
        <v>0</v>
      </c>
    </row>
    <row r="60" spans="2:9" x14ac:dyDescent="0.3">
      <c r="B60" s="7" t="s">
        <v>33</v>
      </c>
      <c r="C60" s="7">
        <v>379</v>
      </c>
      <c r="E60" s="310">
        <f t="shared" si="4"/>
        <v>1271772.8966666667</v>
      </c>
      <c r="G60" s="6">
        <f>SUMIF(Plant!$Q$128:$Q$245,C60,Plant!$S$128:$S$245)</f>
        <v>1271772.8966666667</v>
      </c>
      <c r="H60" s="106"/>
      <c r="I60" s="6">
        <f>SUMIF('TY Capital Adds'!$N$6:$N$30,C60,'TY Capital Adds'!$K$6:$K$30)</f>
        <v>0</v>
      </c>
    </row>
    <row r="61" spans="2:9" x14ac:dyDescent="0.3">
      <c r="B61" s="7" t="s">
        <v>34</v>
      </c>
      <c r="C61" s="7">
        <v>380</v>
      </c>
      <c r="E61" s="310">
        <f t="shared" si="4"/>
        <v>71685985.731249988</v>
      </c>
      <c r="G61" s="6">
        <f>SUMIF(Plant!$Q$128:$Q$245,C61,Plant!$S$128:$S$245)</f>
        <v>71685985.731249988</v>
      </c>
      <c r="H61" s="106"/>
      <c r="I61" s="6">
        <f>SUMIF('TY Capital Adds'!$N$6:$N$30,C61,'TY Capital Adds'!$K$6:$K$30)</f>
        <v>0</v>
      </c>
    </row>
    <row r="62" spans="2:9" x14ac:dyDescent="0.3">
      <c r="B62" s="7" t="s">
        <v>35</v>
      </c>
      <c r="C62" s="7">
        <v>381</v>
      </c>
      <c r="E62" s="310">
        <f t="shared" si="4"/>
        <v>10827886.51791667</v>
      </c>
      <c r="G62" s="6">
        <f>SUMIF(Plant!$Q$128:$Q$245,C62,Plant!$S$128:$S$245)</f>
        <v>10827886.51791667</v>
      </c>
      <c r="H62" s="106"/>
      <c r="I62" s="6">
        <f>SUMIF('TY Capital Adds'!$N$6:$N$30,C62,'TY Capital Adds'!$K$6:$K$30)</f>
        <v>0</v>
      </c>
    </row>
    <row r="63" spans="2:9" x14ac:dyDescent="0.3">
      <c r="B63" s="7" t="s">
        <v>36</v>
      </c>
      <c r="C63" s="7">
        <v>381.2</v>
      </c>
      <c r="E63" s="310">
        <f t="shared" si="4"/>
        <v>6833754.7970833331</v>
      </c>
      <c r="G63" s="6">
        <f>SUMIF(Plant!$Q$128:$Q$245,C63,Plant!$S$128:$S$245)</f>
        <v>6833754.7970833331</v>
      </c>
      <c r="H63" s="106"/>
      <c r="I63" s="6">
        <f>SUMIF('TY Capital Adds'!$N$6:$N$30,C63,'TY Capital Adds'!$K$6:$K$30)</f>
        <v>0</v>
      </c>
    </row>
    <row r="64" spans="2:9" x14ac:dyDescent="0.3">
      <c r="B64" s="7" t="s">
        <v>37</v>
      </c>
      <c r="C64" s="7">
        <v>382</v>
      </c>
      <c r="E64" s="310">
        <f t="shared" si="4"/>
        <v>6222505.9162500007</v>
      </c>
      <c r="G64" s="6">
        <f>SUMIF(Plant!$Q$128:$Q$245,C64,Plant!$S$128:$S$245)</f>
        <v>6222505.9162500007</v>
      </c>
      <c r="H64" s="106"/>
      <c r="I64" s="6">
        <f>SUMIF('TY Capital Adds'!$N$6:$N$30,C64,'TY Capital Adds'!$K$6:$K$30)</f>
        <v>0</v>
      </c>
    </row>
    <row r="65" spans="2:9" x14ac:dyDescent="0.3">
      <c r="B65" s="7" t="s">
        <v>38</v>
      </c>
      <c r="C65" s="7">
        <v>382.2</v>
      </c>
      <c r="E65" s="310">
        <f t="shared" si="4"/>
        <v>931965.74083333369</v>
      </c>
      <c r="G65" s="6">
        <f>SUMIF(Plant!$Q$128:$Q$245,C65,Plant!$S$128:$S$245)</f>
        <v>931965.74083333369</v>
      </c>
      <c r="H65" s="106"/>
      <c r="I65" s="6">
        <f>SUMIF('TY Capital Adds'!$N$6:$N$30,C65,'TY Capital Adds'!$K$6:$K$30)</f>
        <v>0</v>
      </c>
    </row>
    <row r="66" spans="2:9" x14ac:dyDescent="0.3">
      <c r="B66" s="7" t="s">
        <v>39</v>
      </c>
      <c r="C66" s="7">
        <v>383</v>
      </c>
      <c r="E66" s="310">
        <f t="shared" si="4"/>
        <v>98726.867500000008</v>
      </c>
      <c r="G66" s="6">
        <f>SUMIF(Plant!$Q$128:$Q$245,C66,Plant!$S$128:$S$245)</f>
        <v>98726.867500000008</v>
      </c>
      <c r="H66" s="106"/>
      <c r="I66" s="6">
        <f>SUMIF('TY Capital Adds'!$N$6:$N$30,C66,'TY Capital Adds'!$K$6:$K$30)</f>
        <v>0</v>
      </c>
    </row>
    <row r="67" spans="2:9" x14ac:dyDescent="0.3">
      <c r="B67" s="7" t="s">
        <v>40</v>
      </c>
      <c r="C67" s="7">
        <v>387.2</v>
      </c>
      <c r="E67" s="310">
        <f t="shared" si="4"/>
        <v>26630</v>
      </c>
      <c r="G67" s="6">
        <f>SUMIF(Plant!$Q$128:$Q$245,C67,Plant!$S$128:$S$245)</f>
        <v>26630</v>
      </c>
      <c r="H67" s="106"/>
      <c r="I67" s="6">
        <f>SUMIF('TY Capital Adds'!$N$6:$N$30,C67,'TY Capital Adds'!$K$6:$K$30)</f>
        <v>0</v>
      </c>
    </row>
    <row r="68" spans="2:9" x14ac:dyDescent="0.3">
      <c r="B68" s="7" t="s">
        <v>41</v>
      </c>
      <c r="E68" s="624">
        <f>SUM(E54:E67)</f>
        <v>272635196.50434285</v>
      </c>
      <c r="G68" s="624">
        <f>SUM(G54:G67)</f>
        <v>271426282.40541667</v>
      </c>
      <c r="H68" s="625"/>
    </row>
    <row r="69" spans="2:9" x14ac:dyDescent="0.3">
      <c r="G69" s="168"/>
      <c r="H69" s="106"/>
    </row>
    <row r="70" spans="2:9" x14ac:dyDescent="0.3">
      <c r="B70" s="7" t="s">
        <v>42</v>
      </c>
      <c r="G70" s="168"/>
      <c r="H70" s="106"/>
    </row>
    <row r="71" spans="2:9" x14ac:dyDescent="0.3">
      <c r="B71" s="7" t="s">
        <v>28</v>
      </c>
      <c r="C71" s="7">
        <v>389</v>
      </c>
      <c r="E71" s="310">
        <f>SUM(G71:I71)</f>
        <v>1971164.4959887213</v>
      </c>
      <c r="G71" s="6">
        <f>SUMIF(Plant!$Q$128:$Q$245,C71,Plant!$S$128:$S$245)</f>
        <v>1971164.4959887213</v>
      </c>
      <c r="H71" s="106"/>
      <c r="I71" s="6">
        <f>SUMIF('TY Capital Adds'!$N$6:$N$30,C71,'TY Capital Adds'!$K$6:$K$30)</f>
        <v>0</v>
      </c>
    </row>
    <row r="72" spans="2:9" x14ac:dyDescent="0.3">
      <c r="B72" s="7" t="s">
        <v>15</v>
      </c>
      <c r="C72" s="7">
        <v>390</v>
      </c>
      <c r="E72" s="310">
        <f t="shared" ref="E72:E84" si="5">SUM(G72:I72)</f>
        <v>5928240.9626931502</v>
      </c>
      <c r="G72" s="6">
        <f>SUMIF(Plant!$Q$128:$Q$245,C72,Plant!$S$128:$S$245)</f>
        <v>5493291.2845561504</v>
      </c>
      <c r="H72" s="106"/>
      <c r="I72" s="6">
        <f>SUMIF('TY Capital Adds'!$N$6:$N$30,C72,'TY Capital Adds'!$K$6:$K$30)</f>
        <v>434949.67813699995</v>
      </c>
    </row>
    <row r="73" spans="2:9" x14ac:dyDescent="0.3">
      <c r="B73" s="7" t="s">
        <v>422</v>
      </c>
      <c r="C73" s="7">
        <v>390.1</v>
      </c>
      <c r="E73" s="310">
        <f t="shared" si="5"/>
        <v>2160089.6756152906</v>
      </c>
      <c r="G73" s="6">
        <f>SUMIF(Plant!$Q$128:$Q$245,C73,Plant!$S$128:$S$245)</f>
        <v>2160089.6756152906</v>
      </c>
      <c r="H73" s="106"/>
      <c r="I73" s="6">
        <f>SUMIF('TY Capital Adds'!$N$6:$N$30,C73,'TY Capital Adds'!$K$6:$K$30)</f>
        <v>0</v>
      </c>
    </row>
    <row r="74" spans="2:9" x14ac:dyDescent="0.3">
      <c r="B74" s="7" t="s">
        <v>43</v>
      </c>
      <c r="C74" s="7">
        <v>391.1</v>
      </c>
      <c r="E74" s="310">
        <f t="shared" si="5"/>
        <v>1282339.785248667</v>
      </c>
      <c r="G74" s="6">
        <f>SUMIF(Plant!$Q$128:$Q$245,C74,Plant!$S$128:$S$245)</f>
        <v>1282339.785248667</v>
      </c>
      <c r="H74" s="106"/>
      <c r="I74" s="6">
        <f>SUMIF('TY Capital Adds'!$N$6:$N$30,C74,'TY Capital Adds'!$K$6:$K$30)</f>
        <v>0</v>
      </c>
    </row>
    <row r="75" spans="2:9" x14ac:dyDescent="0.3">
      <c r="B75" s="7" t="s">
        <v>1921</v>
      </c>
      <c r="C75" s="7">
        <v>391.2</v>
      </c>
      <c r="E75" s="310">
        <f t="shared" si="5"/>
        <v>3303368.0402250849</v>
      </c>
      <c r="G75" s="6">
        <f>SUMIF(Plant!$Q$128:$Q$245,C75,Plant!$S$128:$S$245)</f>
        <v>3166736.4392250846</v>
      </c>
      <c r="H75" s="106"/>
      <c r="I75" s="6">
        <f>SUMIF('TY Capital Adds'!$N$6:$N$30,C75,'TY Capital Adds'!$K$6:$K$30)</f>
        <v>136631.60100000005</v>
      </c>
    </row>
    <row r="76" spans="2:9" x14ac:dyDescent="0.3">
      <c r="B76" s="7" t="s">
        <v>44</v>
      </c>
      <c r="C76" s="7">
        <v>392</v>
      </c>
      <c r="E76" s="310">
        <f t="shared" si="5"/>
        <v>4794966.0063208742</v>
      </c>
      <c r="G76" s="6">
        <f>SUMIF(Plant!$Q$128:$Q$245,C76,Plant!$S$128:$S$245)</f>
        <v>4794966.0063208742</v>
      </c>
      <c r="H76" s="106"/>
      <c r="I76" s="6">
        <f>SUMIF('TY Capital Adds'!$N$6:$N$30,C76,'TY Capital Adds'!$K$6:$K$30)</f>
        <v>0</v>
      </c>
    </row>
    <row r="77" spans="2:9" x14ac:dyDescent="0.3">
      <c r="B77" s="7" t="s">
        <v>1925</v>
      </c>
      <c r="C77" s="7">
        <v>393</v>
      </c>
      <c r="E77" s="310">
        <f t="shared" si="5"/>
        <v>13385.412599999998</v>
      </c>
      <c r="G77" s="6">
        <f>SUMIF(Plant!$Q$128:$Q$245,C77,Plant!$S$128:$S$245)</f>
        <v>13385.412599999998</v>
      </c>
      <c r="H77" s="106"/>
      <c r="I77" s="6">
        <f>SUMIF('TY Capital Adds'!$N$6:$N$30,C77,'TY Capital Adds'!$K$6:$K$30)</f>
        <v>0</v>
      </c>
    </row>
    <row r="78" spans="2:9" x14ac:dyDescent="0.3">
      <c r="B78" s="7" t="s">
        <v>45</v>
      </c>
      <c r="C78" s="7">
        <v>394</v>
      </c>
      <c r="E78" s="310">
        <f t="shared" si="5"/>
        <v>1362359.4938093738</v>
      </c>
      <c r="G78" s="6">
        <f>SUMIF(Plant!$Q$128:$Q$245,C78,Plant!$S$128:$S$245)</f>
        <v>1362359.4938093738</v>
      </c>
      <c r="H78" s="106"/>
      <c r="I78" s="6">
        <f>SUMIF('TY Capital Adds'!$N$6:$N$30,C78,'TY Capital Adds'!$K$6:$K$30)</f>
        <v>0</v>
      </c>
    </row>
    <row r="79" spans="2:9" x14ac:dyDescent="0.3">
      <c r="B79" s="7" t="s">
        <v>1924</v>
      </c>
      <c r="C79" s="7">
        <v>395</v>
      </c>
      <c r="E79" s="310">
        <f t="shared" si="5"/>
        <v>7655.6452999999983</v>
      </c>
      <c r="G79" s="6">
        <f>SUMIF(Plant!$Q$128:$Q$245,C79,Plant!$S$128:$S$245)</f>
        <v>7655.6452999999983</v>
      </c>
      <c r="H79" s="106"/>
      <c r="I79" s="6">
        <f>SUMIF('TY Capital Adds'!$N$6:$N$30,C79,'TY Capital Adds'!$K$6:$K$30)</f>
        <v>0</v>
      </c>
    </row>
    <row r="80" spans="2:9" x14ac:dyDescent="0.3">
      <c r="B80" s="7" t="s">
        <v>46</v>
      </c>
      <c r="C80" s="7">
        <v>396</v>
      </c>
      <c r="E80" s="310">
        <f t="shared" si="5"/>
        <v>1173342.5692468749</v>
      </c>
      <c r="G80" s="6">
        <f>SUMIF(Plant!$Q$128:$Q$245,C80,Plant!$S$128:$S$245)</f>
        <v>1173342.5692468749</v>
      </c>
      <c r="H80" s="106"/>
      <c r="I80" s="6">
        <f>SUMIF('TY Capital Adds'!$N$6:$N$30,C80,'TY Capital Adds'!$K$6:$K$30)</f>
        <v>0</v>
      </c>
    </row>
    <row r="81" spans="1:11" x14ac:dyDescent="0.3">
      <c r="B81" s="7" t="s">
        <v>1923</v>
      </c>
      <c r="C81" s="7">
        <v>397</v>
      </c>
      <c r="E81" s="310">
        <f t="shared" si="5"/>
        <v>1589885.2735169327</v>
      </c>
      <c r="G81" s="6">
        <f>SUMIF(Plant!$Q$128:$Q$245,C81,Plant!$S$128:$S$245)</f>
        <v>631841.14576291642</v>
      </c>
      <c r="H81" s="106"/>
      <c r="I81" s="6">
        <f>SUMIF('TY Capital Adds'!$N$6:$N$30,C81,'TY Capital Adds'!$K$6:$K$30)</f>
        <v>958044.12775401631</v>
      </c>
    </row>
    <row r="82" spans="1:11" x14ac:dyDescent="0.3">
      <c r="B82" s="7" t="s">
        <v>2346</v>
      </c>
      <c r="C82" s="7">
        <v>397.3</v>
      </c>
      <c r="E82" s="310">
        <f t="shared" ref="E82" si="6">SUM(G82:I82)</f>
        <v>530434.19054083328</v>
      </c>
      <c r="G82" s="6">
        <f>SUMIF(Plant!$Q$128:$Q$245,C82,Plant!$S$128:$S$245)</f>
        <v>530434.19054083328</v>
      </c>
      <c r="H82" s="106"/>
      <c r="I82" s="6">
        <f>SUMIF('TY Capital Adds'!$N$6:$N$30,C82,'TY Capital Adds'!$K$6:$K$30)</f>
        <v>0</v>
      </c>
    </row>
    <row r="83" spans="1:11" x14ac:dyDescent="0.3">
      <c r="B83" s="7" t="s">
        <v>1920</v>
      </c>
      <c r="C83" s="7">
        <v>398</v>
      </c>
      <c r="E83" s="310">
        <f t="shared" si="5"/>
        <v>21051.679375</v>
      </c>
      <c r="G83" s="6">
        <f>SUMIF(Plant!$Q$128:$Q$245,C83,Plant!$S$128:$S$245)</f>
        <v>21051.679375</v>
      </c>
      <c r="H83" s="106"/>
      <c r="I83" s="6">
        <f>SUMIF('TY Capital Adds'!$N$6:$N$30,C83,'TY Capital Adds'!$K$6:$K$30)</f>
        <v>0</v>
      </c>
    </row>
    <row r="84" spans="1:11" x14ac:dyDescent="0.3">
      <c r="B84" s="7" t="s">
        <v>420</v>
      </c>
      <c r="E84" s="310">
        <f t="shared" si="5"/>
        <v>0</v>
      </c>
      <c r="G84" s="6">
        <f>SUMIF(Plant!$Q$128:$Q$245,C84,Plant!$S$128:$S$245)</f>
        <v>0</v>
      </c>
      <c r="H84" s="628"/>
      <c r="I84" s="6">
        <f>SUMIF('TY Capital Adds'!$N$6:$N$30,C84,'TY Capital Adds'!$K$6:$K$30)</f>
        <v>0</v>
      </c>
    </row>
    <row r="85" spans="1:11" x14ac:dyDescent="0.3">
      <c r="B85" s="7" t="s">
        <v>47</v>
      </c>
      <c r="E85" s="624">
        <f>SUM(E71:E84)</f>
        <v>24138283.230480801</v>
      </c>
      <c r="G85" s="624">
        <f>SUM(G71:G84)</f>
        <v>22608657.823589783</v>
      </c>
      <c r="H85" s="625"/>
      <c r="I85" s="152">
        <f>SUM(I13:I84)</f>
        <v>41338360.542245731</v>
      </c>
      <c r="J85" s="625"/>
      <c r="K85" s="627"/>
    </row>
    <row r="86" spans="1:11" x14ac:dyDescent="0.3">
      <c r="G86" s="168"/>
      <c r="H86" s="106"/>
    </row>
    <row r="87" spans="1:11" x14ac:dyDescent="0.3">
      <c r="B87" s="7" t="s">
        <v>48</v>
      </c>
      <c r="E87" s="168">
        <f>SUM(E85,E68,E51,E42,E30,E19)</f>
        <v>347206063.97848374</v>
      </c>
      <c r="G87" s="168">
        <f>SUM(G85,G68,G51,G42,G30,G19)</f>
        <v>337016455.98094231</v>
      </c>
      <c r="H87" s="625"/>
    </row>
    <row r="88" spans="1:11" x14ac:dyDescent="0.3">
      <c r="E88" s="106"/>
    </row>
    <row r="89" spans="1:11" x14ac:dyDescent="0.3">
      <c r="A89" s="7" t="s">
        <v>49</v>
      </c>
      <c r="B89" s="7" t="s">
        <v>50</v>
      </c>
      <c r="E89" s="106"/>
    </row>
    <row r="90" spans="1:11" x14ac:dyDescent="0.3">
      <c r="E90" s="106"/>
    </row>
    <row r="91" spans="1:11" x14ac:dyDescent="0.3">
      <c r="B91" s="7" t="s">
        <v>7</v>
      </c>
    </row>
    <row r="92" spans="1:11" x14ac:dyDescent="0.3">
      <c r="B92" s="7" t="s">
        <v>8</v>
      </c>
      <c r="C92" s="7">
        <v>301</v>
      </c>
      <c r="E92" s="6">
        <f>-SUMIF(Reserve!$Q$128:$Q$245,C92,Reserve!$S$128:$S$245)</f>
        <v>0</v>
      </c>
    </row>
    <row r="93" spans="1:11" x14ac:dyDescent="0.3">
      <c r="B93" s="7" t="s">
        <v>9</v>
      </c>
      <c r="C93" s="7">
        <v>302</v>
      </c>
      <c r="E93" s="6">
        <f>-SUMIF(Reserve!$Q$128:$Q$245,C93,Reserve!$S$128:$S$245)</f>
        <v>0</v>
      </c>
    </row>
    <row r="94" spans="1:11" x14ac:dyDescent="0.3">
      <c r="B94" s="7" t="s">
        <v>1937</v>
      </c>
      <c r="C94" s="7">
        <v>303.10000000000002</v>
      </c>
      <c r="E94" s="6">
        <f>-SUMIF(Reserve!$Q$128:$Q$245,C94,Reserve!$S$128:$S$245)</f>
        <v>-2991202.9204125009</v>
      </c>
    </row>
    <row r="95" spans="1:11" x14ac:dyDescent="0.3">
      <c r="B95" s="7" t="s">
        <v>1917</v>
      </c>
      <c r="C95" s="7">
        <v>303.2</v>
      </c>
      <c r="E95" s="6">
        <f>-SUMIF(Reserve!$Q$128:$Q$245,C95,Reserve!$S$128:$S$245)</f>
        <v>-3610055.5186680015</v>
      </c>
    </row>
    <row r="96" spans="1:11" x14ac:dyDescent="0.3">
      <c r="B96" s="7" t="s">
        <v>1918</v>
      </c>
      <c r="C96" s="7">
        <v>303.3</v>
      </c>
      <c r="E96" s="6">
        <f>-SUMIF(Reserve!$Q$128:$Q$245,C96,Reserve!$S$128:$S$245)</f>
        <v>-462799.73160000012</v>
      </c>
    </row>
    <row r="97" spans="2:6" x14ac:dyDescent="0.3">
      <c r="B97" s="7" t="s">
        <v>1919</v>
      </c>
      <c r="C97" s="7">
        <v>303.39999999999998</v>
      </c>
      <c r="E97" s="6">
        <f>-SUMIF(Reserve!$Q$128:$Q$245,C97,Reserve!$S$128:$S$245)</f>
        <v>-76210.805232000013</v>
      </c>
    </row>
    <row r="98" spans="2:6" x14ac:dyDescent="0.3">
      <c r="B98" s="7" t="s">
        <v>10</v>
      </c>
      <c r="E98" s="624">
        <f>SUM(E92:E97)</f>
        <v>-7140268.975912503</v>
      </c>
      <c r="F98" s="625"/>
    </row>
    <row r="100" spans="2:6" x14ac:dyDescent="0.3">
      <c r="B100" s="7" t="s">
        <v>13</v>
      </c>
      <c r="C100" s="156"/>
    </row>
    <row r="101" spans="2:6" x14ac:dyDescent="0.3">
      <c r="B101" s="7" t="s">
        <v>14</v>
      </c>
      <c r="C101" s="7">
        <v>350</v>
      </c>
      <c r="E101" s="6">
        <f>-SUMIF(Reserve!$Q$128:$Q$245,C101,Reserve!$S$128:$S$245)</f>
        <v>-3036.2780255833322</v>
      </c>
    </row>
    <row r="102" spans="2:6" x14ac:dyDescent="0.3">
      <c r="B102" s="7" t="s">
        <v>15</v>
      </c>
      <c r="C102" s="7">
        <v>351</v>
      </c>
      <c r="E102" s="6">
        <f>-SUMIF(Reserve!$Q$128:$Q$245,C102,Reserve!$S$128:$S$245)</f>
        <v>-294086.26834308321</v>
      </c>
    </row>
    <row r="103" spans="2:6" x14ac:dyDescent="0.3">
      <c r="B103" s="7" t="s">
        <v>16</v>
      </c>
      <c r="C103" s="7">
        <v>352</v>
      </c>
      <c r="E103" s="6">
        <f>-SUMIF(Reserve!$Q$128:$Q$245,C103,Reserve!$S$128:$S$245)</f>
        <v>-2047558.0293224156</v>
      </c>
    </row>
    <row r="104" spans="2:6" x14ac:dyDescent="0.3">
      <c r="B104" s="7" t="s">
        <v>17</v>
      </c>
      <c r="C104" s="7">
        <v>353</v>
      </c>
      <c r="E104" s="6">
        <f>-SUMIF(Reserve!$Q$128:$Q$245,C104,Reserve!$S$128:$S$245)</f>
        <v>-334464.53165149986</v>
      </c>
    </row>
    <row r="105" spans="2:6" x14ac:dyDescent="0.3">
      <c r="B105" s="7" t="s">
        <v>18</v>
      </c>
      <c r="C105" s="7">
        <v>354</v>
      </c>
      <c r="E105" s="6">
        <f>-SUMIF(Reserve!$Q$128:$Q$245,C105,Reserve!$S$128:$S$245)</f>
        <v>-1973763.6034328328</v>
      </c>
    </row>
    <row r="106" spans="2:6" x14ac:dyDescent="0.3">
      <c r="B106" s="7" t="s">
        <v>19</v>
      </c>
      <c r="C106" s="7">
        <v>355</v>
      </c>
      <c r="E106" s="6">
        <f>-SUMIF(Reserve!$Q$128:$Q$245,C106,Reserve!$S$128:$S$245)</f>
        <v>-481810.49210183311</v>
      </c>
    </row>
    <row r="107" spans="2:6" x14ac:dyDescent="0.3">
      <c r="B107" s="7" t="s">
        <v>1935</v>
      </c>
      <c r="C107" s="7">
        <v>356</v>
      </c>
      <c r="E107" s="6">
        <f>-SUMIF(Reserve!$Q$128:$Q$245,C107,Reserve!$S$128:$S$245)</f>
        <v>-24420.288033999983</v>
      </c>
    </row>
    <row r="108" spans="2:6" x14ac:dyDescent="0.3">
      <c r="B108" s="7" t="s">
        <v>12</v>
      </c>
      <c r="C108" s="7">
        <v>357</v>
      </c>
      <c r="E108" s="6">
        <f>-SUMIF(Reserve!$Q$128:$Q$245,C108,Reserve!$S$128:$S$245)</f>
        <v>-90275.030504666633</v>
      </c>
    </row>
    <row r="109" spans="2:6" x14ac:dyDescent="0.3">
      <c r="B109" s="7" t="s">
        <v>20</v>
      </c>
      <c r="C109" s="156"/>
      <c r="E109" s="624">
        <f>SUM(E101:E108)</f>
        <v>-5249414.5214159144</v>
      </c>
      <c r="F109" s="625"/>
    </row>
    <row r="110" spans="2:6" x14ac:dyDescent="0.3">
      <c r="F110" s="629"/>
    </row>
    <row r="111" spans="2:6" x14ac:dyDescent="0.3">
      <c r="B111" s="7" t="s">
        <v>1926</v>
      </c>
    </row>
    <row r="112" spans="2:6" x14ac:dyDescent="0.3">
      <c r="B112" s="7" t="s">
        <v>14</v>
      </c>
      <c r="C112" s="7">
        <v>360</v>
      </c>
      <c r="E112" s="6">
        <f>-SUMIF(Reserve!$Q$128:$Q$245,C112,Reserve!$S$128:$S$245)</f>
        <v>0</v>
      </c>
    </row>
    <row r="113" spans="2:7" x14ac:dyDescent="0.3">
      <c r="B113" s="7" t="s">
        <v>15</v>
      </c>
      <c r="C113" s="7">
        <v>361</v>
      </c>
      <c r="E113" s="6">
        <f>-SUMIF(Reserve!$Q$128:$Q$245,C113,Reserve!$S$128:$S$245)</f>
        <v>-519537.0276149165</v>
      </c>
    </row>
    <row r="114" spans="2:7" x14ac:dyDescent="0.3">
      <c r="B114" s="7" t="s">
        <v>1927</v>
      </c>
      <c r="C114" s="7">
        <v>362</v>
      </c>
      <c r="E114" s="6">
        <f>-SUMIF(Reserve!$Q$128:$Q$245,C114,Reserve!$S$128:$S$245)</f>
        <v>-849000.67785566614</v>
      </c>
    </row>
    <row r="115" spans="2:7" x14ac:dyDescent="0.3">
      <c r="B115" s="7" t="s">
        <v>1928</v>
      </c>
      <c r="C115" s="7">
        <v>363.1</v>
      </c>
      <c r="E115" s="6">
        <f>-SUMIF(Reserve!$Q$128:$Q$245,C115,Reserve!$S$128:$S$245)</f>
        <v>-1019008.5875494996</v>
      </c>
    </row>
    <row r="116" spans="2:7" x14ac:dyDescent="0.3">
      <c r="B116" s="7" t="s">
        <v>1929</v>
      </c>
      <c r="C116" s="7">
        <v>363.2</v>
      </c>
      <c r="E116" s="6">
        <f>-SUMIF(Reserve!$Q$128:$Q$245,C116,Reserve!$S$128:$S$245)</f>
        <v>-339211.35019091656</v>
      </c>
    </row>
    <row r="117" spans="2:7" x14ac:dyDescent="0.3">
      <c r="B117" s="7" t="s">
        <v>1931</v>
      </c>
      <c r="C117" s="7">
        <v>363.3</v>
      </c>
      <c r="E117" s="6">
        <f>-SUMIF(Reserve!$Q$128:$Q$245,C117,Reserve!$S$128:$S$245)</f>
        <v>-84579.496060083286</v>
      </c>
    </row>
    <row r="118" spans="2:7" x14ac:dyDescent="0.3">
      <c r="B118" s="7" t="s">
        <v>1930</v>
      </c>
      <c r="C118" s="7">
        <v>363.4</v>
      </c>
      <c r="E118" s="6">
        <f>-SUMIF(Reserve!$Q$128:$Q$245,C118,Reserve!$S$128:$S$245)</f>
        <v>-85571.700443083304</v>
      </c>
    </row>
    <row r="119" spans="2:7" x14ac:dyDescent="0.3">
      <c r="B119" s="7" t="s">
        <v>1932</v>
      </c>
      <c r="C119" s="7">
        <v>363.5</v>
      </c>
      <c r="E119" s="6">
        <f>-SUMIF(Reserve!$Q$128:$Q$245,C119,Reserve!$S$128:$S$245)</f>
        <v>-156962.15049291664</v>
      </c>
    </row>
    <row r="120" spans="2:7" x14ac:dyDescent="0.3">
      <c r="B120" s="7" t="s">
        <v>1933</v>
      </c>
      <c r="C120" s="7">
        <v>363.6</v>
      </c>
      <c r="E120" s="6">
        <f>-SUMIF(Reserve!$Q$128:$Q$245,C120,Reserve!$S$128:$S$245)</f>
        <v>-82894.92329999998</v>
      </c>
    </row>
    <row r="121" spans="2:7" x14ac:dyDescent="0.3">
      <c r="B121" s="7" t="s">
        <v>1936</v>
      </c>
      <c r="E121" s="624">
        <f>SUM(E112:E120)</f>
        <v>-3136765.913507082</v>
      </c>
      <c r="F121" s="625"/>
      <c r="G121" s="152"/>
    </row>
    <row r="123" spans="2:7" x14ac:dyDescent="0.3">
      <c r="B123" s="7" t="s">
        <v>21</v>
      </c>
    </row>
    <row r="124" spans="2:7" x14ac:dyDescent="0.3">
      <c r="B124" s="7" t="s">
        <v>11</v>
      </c>
      <c r="C124" s="7">
        <v>365</v>
      </c>
      <c r="E124" s="6">
        <f>-SUMIF(Reserve!$Q$128:$Q$245,C124,Reserve!$S$128:$S$245)</f>
        <v>0</v>
      </c>
    </row>
    <row r="125" spans="2:7" x14ac:dyDescent="0.3">
      <c r="B125" s="7" t="s">
        <v>22</v>
      </c>
      <c r="C125" s="7">
        <v>366</v>
      </c>
      <c r="E125" s="6">
        <f>-SUMIF(Reserve!$Q$128:$Q$245,C125,Reserve!$S$128:$S$245)</f>
        <v>0</v>
      </c>
    </row>
    <row r="126" spans="2:7" x14ac:dyDescent="0.3">
      <c r="B126" s="7" t="s">
        <v>23</v>
      </c>
      <c r="C126" s="7">
        <v>367</v>
      </c>
      <c r="E126" s="6">
        <f>-SUMIF(Reserve!$Q$128:$Q$245,C126,Reserve!$S$128:$S$245)</f>
        <v>-153770.33333333334</v>
      </c>
    </row>
    <row r="127" spans="2:7" x14ac:dyDescent="0.3">
      <c r="B127" s="7" t="s">
        <v>1934</v>
      </c>
      <c r="C127" s="7">
        <v>367.2</v>
      </c>
      <c r="E127" s="6">
        <f>-SUMIF(Reserve!$Q$128:$Q$245,C127,Reserve!$S$128:$S$245)</f>
        <v>-5085590.8526329147</v>
      </c>
    </row>
    <row r="128" spans="2:7" x14ac:dyDescent="0.3">
      <c r="B128" s="7" t="s">
        <v>24</v>
      </c>
      <c r="C128" s="7">
        <v>368</v>
      </c>
      <c r="E128" s="6">
        <f>-SUMIF(Reserve!$Q$128:$Q$245,C128,Reserve!$S$128:$S$245)</f>
        <v>0</v>
      </c>
    </row>
    <row r="129" spans="2:7" x14ac:dyDescent="0.3">
      <c r="B129" s="7" t="s">
        <v>25</v>
      </c>
      <c r="C129" s="7">
        <v>369</v>
      </c>
      <c r="E129" s="6">
        <f>-SUMIF(Reserve!$Q$128:$Q$245,C129,Reserve!$S$128:$S$245)</f>
        <v>0</v>
      </c>
    </row>
    <row r="130" spans="2:7" x14ac:dyDescent="0.3">
      <c r="B130" s="7" t="s">
        <v>26</v>
      </c>
      <c r="E130" s="624">
        <f>SUM(E124:E129)</f>
        <v>-5239361.1859662477</v>
      </c>
      <c r="F130" s="625"/>
      <c r="G130" s="152"/>
    </row>
    <row r="132" spans="2:7" x14ac:dyDescent="0.3">
      <c r="B132" s="7" t="s">
        <v>27</v>
      </c>
    </row>
    <row r="133" spans="2:7" x14ac:dyDescent="0.3">
      <c r="B133" s="7" t="s">
        <v>28</v>
      </c>
      <c r="C133" s="7">
        <v>374.1</v>
      </c>
      <c r="E133" s="6">
        <f>-SUMIF(Reserve!$Q$128:$Q$245,C133,Reserve!$S$128:$S$245)</f>
        <v>0</v>
      </c>
    </row>
    <row r="134" spans="2:7" x14ac:dyDescent="0.3">
      <c r="B134" s="7" t="s">
        <v>29</v>
      </c>
      <c r="C134" s="7">
        <v>374.2</v>
      </c>
      <c r="E134" s="6">
        <f>-SUMIF(Reserve!$Q$128:$Q$245,C134,Reserve!$S$128:$S$245)</f>
        <v>-23078.337500000005</v>
      </c>
    </row>
    <row r="135" spans="2:7" x14ac:dyDescent="0.3">
      <c r="B135" s="7" t="s">
        <v>15</v>
      </c>
      <c r="C135" s="7">
        <v>375</v>
      </c>
      <c r="E135" s="6">
        <f>-SUMIF(Reserve!$Q$128:$Q$245,C135,Reserve!$S$128:$S$245)</f>
        <v>-38404.740833333337</v>
      </c>
    </row>
    <row r="136" spans="2:7" x14ac:dyDescent="0.3">
      <c r="B136" s="7" t="s">
        <v>30</v>
      </c>
      <c r="C136" s="7">
        <v>376.11</v>
      </c>
      <c r="E136" s="6">
        <f>-SUMIF(Reserve!$Q$128:$Q$245,C136,Reserve!$S$128:$S$245)</f>
        <v>-38152921.765416667</v>
      </c>
    </row>
    <row r="137" spans="2:7" x14ac:dyDescent="0.3">
      <c r="B137" s="7" t="s">
        <v>31</v>
      </c>
      <c r="C137" s="7">
        <v>376.12</v>
      </c>
      <c r="E137" s="6">
        <f>-SUMIF(Reserve!$Q$128:$Q$245,C137,Reserve!$S$128:$S$245)</f>
        <v>-27819316.791250002</v>
      </c>
    </row>
    <row r="138" spans="2:7" x14ac:dyDescent="0.3">
      <c r="B138" s="7" t="s">
        <v>32</v>
      </c>
      <c r="C138" s="7">
        <v>378</v>
      </c>
      <c r="E138" s="6">
        <f>-SUMIF(Reserve!$Q$128:$Q$245,C138,Reserve!$S$128:$S$245)</f>
        <v>-895709.76458333328</v>
      </c>
    </row>
    <row r="139" spans="2:7" x14ac:dyDescent="0.3">
      <c r="B139" s="7" t="s">
        <v>33</v>
      </c>
      <c r="C139" s="7">
        <v>379</v>
      </c>
      <c r="E139" s="6">
        <f>-SUMIF(Reserve!$Q$128:$Q$245,C139,Reserve!$S$128:$S$245)</f>
        <v>-760462.89749999996</v>
      </c>
    </row>
    <row r="140" spans="2:7" x14ac:dyDescent="0.3">
      <c r="B140" s="7" t="s">
        <v>34</v>
      </c>
      <c r="C140" s="7">
        <v>380</v>
      </c>
      <c r="E140" s="6">
        <f>-SUMIF(Reserve!$Q$128:$Q$245,C140,Reserve!$S$128:$S$245)</f>
        <v>-33607644.754583329</v>
      </c>
    </row>
    <row r="141" spans="2:7" x14ac:dyDescent="0.3">
      <c r="B141" s="7" t="s">
        <v>35</v>
      </c>
      <c r="C141" s="7">
        <v>381</v>
      </c>
      <c r="E141" s="6">
        <f>-SUMIF(Reserve!$Q$128:$Q$245,C141,Reserve!$S$128:$S$245)</f>
        <v>-2761938.5666666669</v>
      </c>
    </row>
    <row r="142" spans="2:7" x14ac:dyDescent="0.3">
      <c r="B142" s="7" t="s">
        <v>36</v>
      </c>
      <c r="C142" s="7">
        <v>381.2</v>
      </c>
      <c r="E142" s="6">
        <f>-SUMIF(Reserve!$Q$128:$Q$245,C142,Reserve!$S$128:$S$245)</f>
        <v>-4370382.1754166661</v>
      </c>
    </row>
    <row r="143" spans="2:7" x14ac:dyDescent="0.3">
      <c r="B143" s="7" t="s">
        <v>37</v>
      </c>
      <c r="C143" s="7">
        <v>382</v>
      </c>
      <c r="E143" s="6">
        <f>-SUMIF(Reserve!$Q$128:$Q$245,C143,Reserve!$S$128:$S$245)</f>
        <v>-1273615.4654166668</v>
      </c>
    </row>
    <row r="144" spans="2:7" x14ac:dyDescent="0.3">
      <c r="B144" s="7" t="s">
        <v>38</v>
      </c>
      <c r="C144" s="7">
        <v>382.2</v>
      </c>
      <c r="E144" s="6">
        <f>-SUMIF(Reserve!$Q$128:$Q$245,C144,Reserve!$S$128:$S$245)</f>
        <v>-680212.05208333337</v>
      </c>
    </row>
    <row r="145" spans="2:7" x14ac:dyDescent="0.3">
      <c r="B145" s="7" t="s">
        <v>39</v>
      </c>
      <c r="C145" s="7">
        <v>383</v>
      </c>
      <c r="E145" s="6">
        <f>-SUMIF(Reserve!$Q$128:$Q$245,C145,Reserve!$S$128:$S$245)</f>
        <v>-10369.821666666665</v>
      </c>
    </row>
    <row r="146" spans="2:7" x14ac:dyDescent="0.3">
      <c r="B146" s="7" t="s">
        <v>40</v>
      </c>
      <c r="C146" s="7">
        <v>387.2</v>
      </c>
      <c r="E146" s="6">
        <f>-SUMIF(Reserve!$Q$128:$Q$245,C146,Reserve!$S$128:$S$245)</f>
        <v>-26630</v>
      </c>
    </row>
    <row r="147" spans="2:7" x14ac:dyDescent="0.3">
      <c r="B147" s="7" t="s">
        <v>41</v>
      </c>
      <c r="E147" s="624">
        <f>SUM(E133:E146)</f>
        <v>-110420687.13291666</v>
      </c>
      <c r="F147" s="625"/>
      <c r="G147" s="627"/>
    </row>
    <row r="149" spans="2:7" x14ac:dyDescent="0.3">
      <c r="B149" s="7" t="s">
        <v>42</v>
      </c>
    </row>
    <row r="150" spans="2:7" x14ac:dyDescent="0.3">
      <c r="B150" s="7" t="s">
        <v>28</v>
      </c>
      <c r="C150" s="7">
        <v>389</v>
      </c>
      <c r="E150" s="6">
        <f>-SUMIF(Reserve!$Q$128:$Q$245,C150,Reserve!$S$128:$S$245)</f>
        <v>-80061.125888335082</v>
      </c>
    </row>
    <row r="151" spans="2:7" x14ac:dyDescent="0.3">
      <c r="B151" s="7" t="s">
        <v>15</v>
      </c>
      <c r="C151" s="7">
        <v>390</v>
      </c>
      <c r="E151" s="6">
        <f>-SUMIF(Reserve!$Q$128:$Q$245,C151,Reserve!$S$128:$S$245)</f>
        <v>-995214.4580157249</v>
      </c>
    </row>
    <row r="152" spans="2:7" x14ac:dyDescent="0.3">
      <c r="B152" s="7" t="s">
        <v>422</v>
      </c>
      <c r="C152" s="7">
        <v>390.1</v>
      </c>
      <c r="E152" s="6">
        <f>-SUMIF(Reserve!$Q$128:$Q$245,C152,Reserve!$S$128:$S$245)</f>
        <v>-506965.11969266657</v>
      </c>
    </row>
    <row r="153" spans="2:7" x14ac:dyDescent="0.3">
      <c r="B153" s="7" t="s">
        <v>43</v>
      </c>
      <c r="C153" s="7">
        <v>391.1</v>
      </c>
      <c r="E153" s="6">
        <f>-SUMIF(Reserve!$Q$128:$Q$245,C153,Reserve!$S$128:$S$245)</f>
        <v>-946076.73224095802</v>
      </c>
    </row>
    <row r="154" spans="2:7" x14ac:dyDescent="0.3">
      <c r="B154" s="7" t="s">
        <v>1921</v>
      </c>
      <c r="C154" s="7">
        <v>391.2</v>
      </c>
      <c r="E154" s="6">
        <f>-SUMIF(Reserve!$Q$128:$Q$245,C154,Reserve!$S$128:$S$245)</f>
        <v>-1969056.3494068747</v>
      </c>
    </row>
    <row r="155" spans="2:7" x14ac:dyDescent="0.3">
      <c r="B155" s="7" t="s">
        <v>44</v>
      </c>
      <c r="C155" s="7">
        <v>392</v>
      </c>
      <c r="E155" s="6">
        <f>-SUMIF(Reserve!$Q$128:$Q$245,C155,Reserve!$S$128:$S$245)</f>
        <v>-1129774.4733157912</v>
      </c>
    </row>
    <row r="156" spans="2:7" x14ac:dyDescent="0.3">
      <c r="B156" s="7" t="s">
        <v>1925</v>
      </c>
      <c r="C156" s="7">
        <v>393</v>
      </c>
      <c r="E156" s="6">
        <f>-SUMIF(Reserve!$Q$128:$Q$245,C156,Reserve!$S$128:$S$245)</f>
        <v>-13385.412599999998</v>
      </c>
    </row>
    <row r="157" spans="2:7" x14ac:dyDescent="0.3">
      <c r="B157" s="7" t="s">
        <v>45</v>
      </c>
      <c r="C157" s="7">
        <v>394</v>
      </c>
      <c r="E157" s="6">
        <f>-SUMIF(Reserve!$Q$128:$Q$245,C157,Reserve!$S$128:$S$245)</f>
        <v>-495765.25283204147</v>
      </c>
    </row>
    <row r="158" spans="2:7" x14ac:dyDescent="0.3">
      <c r="B158" s="7" t="s">
        <v>1924</v>
      </c>
      <c r="C158" s="7">
        <v>395</v>
      </c>
      <c r="E158" s="6">
        <f>-SUMIF(Reserve!$Q$128:$Q$245,C158,Reserve!$S$128:$S$245)</f>
        <v>-7655.6452999999983</v>
      </c>
    </row>
    <row r="159" spans="2:7" x14ac:dyDescent="0.3">
      <c r="B159" s="7" t="s">
        <v>46</v>
      </c>
      <c r="C159" s="7">
        <v>396</v>
      </c>
      <c r="E159" s="6">
        <f>-SUMIF(Reserve!$Q$128:$Q$245,C159,Reserve!$S$128:$S$245)</f>
        <v>-310407.16759616666</v>
      </c>
    </row>
    <row r="160" spans="2:7" x14ac:dyDescent="0.3">
      <c r="B160" s="7" t="s">
        <v>1923</v>
      </c>
      <c r="C160" s="7">
        <v>397</v>
      </c>
      <c r="E160" s="6">
        <f>-SUMIF(Reserve!$Q$128:$Q$245,C160,Reserve!$S$128:$S$245)</f>
        <v>-390114.40955104155</v>
      </c>
    </row>
    <row r="161" spans="1:9" x14ac:dyDescent="0.3">
      <c r="B161" s="7" t="s">
        <v>2346</v>
      </c>
      <c r="C161" s="7">
        <v>397.3</v>
      </c>
      <c r="E161" s="6">
        <f>-SUMIF(Reserve!$Q$128:$Q$245,C161,Reserve!$S$128:$S$245)</f>
        <v>-336173.51275904157</v>
      </c>
    </row>
    <row r="162" spans="1:9" x14ac:dyDescent="0.3">
      <c r="B162" s="7" t="s">
        <v>1920</v>
      </c>
      <c r="C162" s="7">
        <v>398</v>
      </c>
      <c r="E162" s="6">
        <f>-SUMIF(Reserve!$Q$128:$Q$245,C162,Reserve!$S$128:$S$245)</f>
        <v>-20093.864232458331</v>
      </c>
    </row>
    <row r="163" spans="1:9" x14ac:dyDescent="0.3">
      <c r="B163" s="7" t="s">
        <v>420</v>
      </c>
      <c r="E163" s="6">
        <f>-Reserve!S246</f>
        <v>1486146.4940625003</v>
      </c>
    </row>
    <row r="164" spans="1:9" x14ac:dyDescent="0.3">
      <c r="B164" s="7" t="s">
        <v>47</v>
      </c>
      <c r="E164" s="624">
        <f>SUM(E150:E163)</f>
        <v>-5714597.0293686008</v>
      </c>
    </row>
    <row r="165" spans="1:9" x14ac:dyDescent="0.3">
      <c r="C165" s="630"/>
    </row>
    <row r="166" spans="1:9" x14ac:dyDescent="0.3">
      <c r="B166" s="7" t="s">
        <v>51</v>
      </c>
      <c r="C166" s="630"/>
      <c r="E166" s="168">
        <f>SUM(E164,E147,E130,E121,E109,E98)</f>
        <v>-136901094.75908703</v>
      </c>
    </row>
    <row r="168" spans="1:9" x14ac:dyDescent="0.3">
      <c r="A168" s="7" t="s">
        <v>52</v>
      </c>
      <c r="B168" s="7" t="s">
        <v>53</v>
      </c>
    </row>
    <row r="169" spans="1:9" x14ac:dyDescent="0.3">
      <c r="B169" s="7" t="s">
        <v>257</v>
      </c>
      <c r="E169" s="6">
        <f>'AMA Rate Base'!Q79</f>
        <v>1832015.4183329996</v>
      </c>
    </row>
    <row r="170" spans="1:9" x14ac:dyDescent="0.3">
      <c r="B170" s="7" t="s">
        <v>258</v>
      </c>
      <c r="E170" s="6">
        <f>'AMA Rate Base'!Q80</f>
        <v>-718437.47624999995</v>
      </c>
    </row>
    <row r="171" spans="1:9" s="630" customFormat="1" x14ac:dyDescent="0.3">
      <c r="B171" s="7" t="s">
        <v>259</v>
      </c>
      <c r="E171" s="6">
        <f>'AMA Rate Base'!Q81</f>
        <v>23592.837889208338</v>
      </c>
      <c r="F171" s="631"/>
    </row>
    <row r="172" spans="1:9" x14ac:dyDescent="0.3">
      <c r="B172" s="7" t="s">
        <v>291</v>
      </c>
      <c r="E172" s="310">
        <f>SUM(G172:I172)</f>
        <v>-37774389.593410142</v>
      </c>
      <c r="G172" s="6">
        <f>'AMA Rate Base'!Q84</f>
        <v>-38938709.843373641</v>
      </c>
      <c r="H172" s="6">
        <f>SUM('AMA Rate Base'!Q89:Q90)</f>
        <v>614954.24996349961</v>
      </c>
      <c r="I172" s="6">
        <f>'Adjust Issues'!R45</f>
        <v>549366</v>
      </c>
    </row>
    <row r="173" spans="1:9" x14ac:dyDescent="0.3">
      <c r="B173" s="7" t="s">
        <v>2250</v>
      </c>
      <c r="E173" s="6">
        <f>'Adjust Issues'!H37</f>
        <v>12717540.060742617</v>
      </c>
    </row>
    <row r="174" spans="1:9" x14ac:dyDescent="0.3">
      <c r="B174" s="7" t="s">
        <v>247</v>
      </c>
      <c r="E174" s="6">
        <f>'Adjust Issues'!M37-E173</f>
        <v>93652.950378146023</v>
      </c>
    </row>
    <row r="175" spans="1:9" x14ac:dyDescent="0.3">
      <c r="B175" s="7" t="s">
        <v>54</v>
      </c>
      <c r="E175" s="624">
        <f>SUM(E169:E174)</f>
        <v>-23826025.802317169</v>
      </c>
    </row>
    <row r="177" spans="1:7" x14ac:dyDescent="0.3">
      <c r="B177" s="7" t="s">
        <v>55</v>
      </c>
      <c r="E177" s="168">
        <f>E175+E166+E87</f>
        <v>186478943.41707954</v>
      </c>
      <c r="F177" s="632"/>
      <c r="G177" s="633"/>
    </row>
    <row r="179" spans="1:7" x14ac:dyDescent="0.3">
      <c r="A179" s="7" t="s">
        <v>56</v>
      </c>
      <c r="B179" s="7" t="s">
        <v>57</v>
      </c>
    </row>
    <row r="181" spans="1:7" x14ac:dyDescent="0.3">
      <c r="B181" s="7" t="s">
        <v>150</v>
      </c>
    </row>
    <row r="182" spans="1:7" x14ac:dyDescent="0.3">
      <c r="B182" s="7" t="s">
        <v>63</v>
      </c>
      <c r="C182" s="7">
        <v>816</v>
      </c>
      <c r="E182" s="310">
        <f>SUM(G182:I182)</f>
        <v>30402.824749999985</v>
      </c>
      <c r="G182" s="6">
        <f>SUMIF('O&amp;M'!$C$10:$C$106,C182,'O&amp;M'!$F$10:$F$106)</f>
        <v>30402.824749999985</v>
      </c>
    </row>
    <row r="183" spans="1:7" x14ac:dyDescent="0.3">
      <c r="B183" s="7" t="s">
        <v>64</v>
      </c>
      <c r="C183" s="7">
        <v>818</v>
      </c>
      <c r="E183" s="310">
        <f>SUM(G183:I183)</f>
        <v>7614.6932139999972</v>
      </c>
      <c r="G183" s="6">
        <f>SUMIF('O&amp;M'!$C$10:$C$106,C183,'O&amp;M'!$F$10:$F$106)</f>
        <v>7614.6932139999972</v>
      </c>
    </row>
    <row r="184" spans="1:7" x14ac:dyDescent="0.3">
      <c r="B184" s="7" t="s">
        <v>65</v>
      </c>
      <c r="C184" s="7">
        <v>820</v>
      </c>
      <c r="E184" s="310">
        <f>SUM(G184:I184)-E185</f>
        <v>269604.1091935999</v>
      </c>
      <c r="G184" s="6">
        <f>SUMIF('O&amp;M'!$C$10:$C$106,C184,'O&amp;M'!$F$10:$F$106)</f>
        <v>272282.4249655999</v>
      </c>
    </row>
    <row r="185" spans="1:7" x14ac:dyDescent="0.3">
      <c r="B185" s="106" t="str">
        <f>B184&amp;" - Direct"</f>
        <v>Meas/Reg Station Expenses - Direct</v>
      </c>
      <c r="C185" s="634" t="str">
        <f>C184&amp;"-D"</f>
        <v>820-D</v>
      </c>
      <c r="E185" s="6">
        <f>'Direct Assign'!C34</f>
        <v>2678.3157720000004</v>
      </c>
      <c r="G185" s="6"/>
    </row>
    <row r="186" spans="1:7" x14ac:dyDescent="0.3">
      <c r="B186" s="7" t="s">
        <v>158</v>
      </c>
      <c r="C186" s="7">
        <v>821</v>
      </c>
      <c r="E186" s="310">
        <f>SUM(G186:I186)</f>
        <v>2137.958881999999</v>
      </c>
      <c r="G186" s="6">
        <f>SUMIF('O&amp;M'!$C$10:$C$106,C186,'O&amp;M'!$F$10:$F$106)</f>
        <v>2137.958881999999</v>
      </c>
    </row>
    <row r="187" spans="1:7" x14ac:dyDescent="0.3">
      <c r="B187" s="635" t="s">
        <v>59</v>
      </c>
      <c r="E187" s="624">
        <f>SUM(E182:E186)</f>
        <v>312437.90181159991</v>
      </c>
      <c r="G187" s="624">
        <f>SUM(G182:G186)</f>
        <v>312437.90181159991</v>
      </c>
    </row>
    <row r="188" spans="1:7" x14ac:dyDescent="0.3">
      <c r="B188" s="7" t="s">
        <v>68</v>
      </c>
      <c r="C188" s="7">
        <v>832</v>
      </c>
      <c r="E188" s="310">
        <f>SUM(G188:I188)</f>
        <v>24740.601959999989</v>
      </c>
      <c r="G188" s="6">
        <f>SUMIF('O&amp;M'!$C$10:$C$106,C188,'O&amp;M'!$F$10:$F$106)</f>
        <v>24740.601959999989</v>
      </c>
    </row>
    <row r="189" spans="1:7" x14ac:dyDescent="0.3">
      <c r="B189" s="7" t="s">
        <v>69</v>
      </c>
      <c r="C189" s="7">
        <v>834</v>
      </c>
      <c r="E189" s="310">
        <f t="shared" ref="E189" si="7">SUM(G189:I189)</f>
        <v>24220.194857999988</v>
      </c>
      <c r="G189" s="6">
        <f>SUMIF('O&amp;M'!$C$10:$C$106,C189,'O&amp;M'!$F$10:$F$106)</f>
        <v>24220.194857999988</v>
      </c>
    </row>
    <row r="190" spans="1:7" x14ac:dyDescent="0.3">
      <c r="B190" s="635" t="s">
        <v>60</v>
      </c>
      <c r="E190" s="624">
        <f>SUM(E188:E189)</f>
        <v>48960.796817999973</v>
      </c>
      <c r="G190" s="624">
        <f>SUM(G188:G189)</f>
        <v>48960.796817999973</v>
      </c>
    </row>
    <row r="191" spans="1:7" x14ac:dyDescent="0.3">
      <c r="B191" s="635" t="s">
        <v>61</v>
      </c>
      <c r="E191" s="624">
        <f>SUM(E190,E187)</f>
        <v>361398.69862959988</v>
      </c>
      <c r="G191" s="624">
        <f>SUM(G190,G187)</f>
        <v>361398.69862959988</v>
      </c>
    </row>
    <row r="192" spans="1:7" x14ac:dyDescent="0.3">
      <c r="G192" s="168"/>
    </row>
    <row r="193" spans="2:7" x14ac:dyDescent="0.3">
      <c r="B193" s="7" t="s">
        <v>163</v>
      </c>
      <c r="G193" s="168"/>
    </row>
    <row r="194" spans="2:7" s="630" customFormat="1" x14ac:dyDescent="0.3">
      <c r="B194" s="7" t="s">
        <v>165</v>
      </c>
      <c r="C194" s="7">
        <v>840</v>
      </c>
      <c r="E194" s="310">
        <f>SUM(G194:I194)-E195</f>
        <v>11251.776499999996</v>
      </c>
      <c r="F194" s="631"/>
      <c r="G194" s="6">
        <f>SUMIF('O&amp;M'!$C$10:$C$106,C194,'O&amp;M'!$F$10:$F$106)</f>
        <v>17928.332105999994</v>
      </c>
    </row>
    <row r="195" spans="2:7" s="630" customFormat="1" x14ac:dyDescent="0.3">
      <c r="B195" s="106" t="str">
        <f>B194&amp;" - Direct"</f>
        <v>Supervision and Engineering - Direct</v>
      </c>
      <c r="C195" s="634" t="str">
        <f>C194&amp;"-D"</f>
        <v>840-D</v>
      </c>
      <c r="E195" s="6">
        <f>'Direct Assign'!C35</f>
        <v>6676.5556059999981</v>
      </c>
      <c r="F195" s="631"/>
      <c r="G195" s="6"/>
    </row>
    <row r="196" spans="2:7" s="630" customFormat="1" x14ac:dyDescent="0.3">
      <c r="B196" s="7" t="s">
        <v>165</v>
      </c>
      <c r="C196" s="306">
        <v>844</v>
      </c>
      <c r="E196" s="310">
        <f>SUM(G196:I196)-E197</f>
        <v>190477.82090399993</v>
      </c>
      <c r="F196" s="631"/>
      <c r="G196" s="6">
        <f>SUMIF('O&amp;M'!$C$10:$C$106,C196,'O&amp;M'!$F$10:$F$106)</f>
        <v>197154.38797199994</v>
      </c>
    </row>
    <row r="197" spans="2:7" s="630" customFormat="1" x14ac:dyDescent="0.3">
      <c r="B197" s="106" t="str">
        <f>B196&amp;" - Direct"</f>
        <v>Supervision and Engineering - Direct</v>
      </c>
      <c r="C197" s="634" t="str">
        <f>C196&amp;"-D"</f>
        <v>844-D</v>
      </c>
      <c r="E197" s="6">
        <f>'Direct Assign'!C36</f>
        <v>6676.5670679999994</v>
      </c>
      <c r="F197" s="631"/>
      <c r="G197" s="6"/>
    </row>
    <row r="198" spans="2:7" s="630" customFormat="1" x14ac:dyDescent="0.3">
      <c r="B198" s="7" t="s">
        <v>170</v>
      </c>
      <c r="C198" s="306">
        <v>845</v>
      </c>
      <c r="E198" s="310">
        <f t="shared" ref="E198" si="8">SUM(G198:I198)</f>
        <v>-10478.562483999998</v>
      </c>
      <c r="F198" s="631"/>
      <c r="G198" s="6">
        <f>SUMIF('O&amp;M'!$C$10:$C$106,C198,'O&amp;M'!$F$10:$F$106)</f>
        <v>-10478.562483999998</v>
      </c>
    </row>
    <row r="199" spans="2:7" x14ac:dyDescent="0.3">
      <c r="B199" s="635" t="s">
        <v>67</v>
      </c>
      <c r="E199" s="624">
        <f>SUM(E194:E198)</f>
        <v>204604.15759399993</v>
      </c>
      <c r="G199" s="624">
        <f>SUM(G194:G198)</f>
        <v>204604.15759399993</v>
      </c>
    </row>
    <row r="200" spans="2:7" x14ac:dyDescent="0.3">
      <c r="B200" s="635"/>
      <c r="E200" s="461"/>
      <c r="G200" s="461"/>
    </row>
    <row r="201" spans="2:7" x14ac:dyDescent="0.3">
      <c r="B201" s="7" t="s">
        <v>165</v>
      </c>
      <c r="C201" s="7">
        <v>847</v>
      </c>
      <c r="E201" s="310">
        <f>SUM(G201:I201)</f>
        <v>116477.30768999996</v>
      </c>
      <c r="G201" s="6">
        <f>SUMIF('O&amp;M'!$C$10:$C$106,C201,'O&amp;M'!$F$10:$F$106)</f>
        <v>116477.30768999996</v>
      </c>
    </row>
    <row r="202" spans="2:7" x14ac:dyDescent="0.3">
      <c r="B202" s="635" t="s">
        <v>70</v>
      </c>
      <c r="E202" s="624">
        <f>SUM(E201:E201)</f>
        <v>116477.30768999996</v>
      </c>
      <c r="G202" s="624">
        <f>SUM(G201:G201)</f>
        <v>116477.30768999996</v>
      </c>
    </row>
    <row r="203" spans="2:7" x14ac:dyDescent="0.3">
      <c r="B203" s="635" t="s">
        <v>71</v>
      </c>
      <c r="E203" s="624">
        <f>SUM(E202,E199)</f>
        <v>321081.46528399992</v>
      </c>
      <c r="G203" s="624">
        <f>SUM(G202,G199)</f>
        <v>321081.46528399992</v>
      </c>
    </row>
    <row r="204" spans="2:7" x14ac:dyDescent="0.3">
      <c r="G204" s="168"/>
    </row>
    <row r="205" spans="2:7" x14ac:dyDescent="0.3">
      <c r="B205" s="7" t="s">
        <v>72</v>
      </c>
      <c r="G205" s="168"/>
    </row>
    <row r="206" spans="2:7" x14ac:dyDescent="0.3">
      <c r="B206" s="7" t="s">
        <v>73</v>
      </c>
      <c r="C206" s="7">
        <v>856</v>
      </c>
      <c r="E206" s="310">
        <f>SUM(G206:I206)</f>
        <v>136387.00635411995</v>
      </c>
      <c r="G206" s="6">
        <f>SUMIF('O&amp;M'!$C$10:$C$106,C206,'O&amp;M'!$F$10:$F$106)</f>
        <v>136387.00635411995</v>
      </c>
    </row>
    <row r="207" spans="2:7" x14ac:dyDescent="0.3">
      <c r="B207" s="635" t="s">
        <v>67</v>
      </c>
      <c r="E207" s="624">
        <f>SUM(E206:E206)</f>
        <v>136387.00635411995</v>
      </c>
      <c r="G207" s="624">
        <f>SUM(G206:G206)</f>
        <v>136387.00635411995</v>
      </c>
    </row>
    <row r="208" spans="2:7" x14ac:dyDescent="0.3">
      <c r="B208" s="7" t="s">
        <v>74</v>
      </c>
      <c r="C208" s="7">
        <v>863</v>
      </c>
      <c r="E208" s="310">
        <f>SUM(G208:I208)</f>
        <v>18635.184115999997</v>
      </c>
      <c r="G208" s="6">
        <f>SUMIF('O&amp;M'!$C$10:$C$106,C208,'O&amp;M'!$F$10:$F$106)</f>
        <v>18635.184115999997</v>
      </c>
    </row>
    <row r="209" spans="2:7" x14ac:dyDescent="0.3">
      <c r="B209" s="635" t="s">
        <v>75</v>
      </c>
      <c r="E209" s="624">
        <f>SUM(E208:E208)</f>
        <v>18635.184115999997</v>
      </c>
      <c r="G209" s="624">
        <f>SUM(G208:G208)</f>
        <v>18635.184115999997</v>
      </c>
    </row>
    <row r="210" spans="2:7" x14ac:dyDescent="0.3">
      <c r="B210" s="635" t="s">
        <v>76</v>
      </c>
      <c r="E210" s="624">
        <f>SUM(E209,E207)</f>
        <v>155022.19047011994</v>
      </c>
      <c r="G210" s="624">
        <f>SUM(G209,G207)</f>
        <v>155022.19047011994</v>
      </c>
    </row>
    <row r="211" spans="2:7" x14ac:dyDescent="0.3">
      <c r="G211" s="168"/>
    </row>
    <row r="212" spans="2:7" x14ac:dyDescent="0.3">
      <c r="B212" s="7" t="s">
        <v>77</v>
      </c>
      <c r="G212" s="168"/>
    </row>
    <row r="213" spans="2:7" x14ac:dyDescent="0.3">
      <c r="B213" s="7" t="s">
        <v>78</v>
      </c>
      <c r="C213" s="7">
        <v>870</v>
      </c>
      <c r="E213" s="310">
        <f>SUM(G213:I213)-E214</f>
        <v>104346.25913600001</v>
      </c>
      <c r="G213" s="6">
        <f>SUMIF('O&amp;M'!$C$10:$C$106,C213,'O&amp;M'!$F$10:$F$106)</f>
        <v>302733.33109600004</v>
      </c>
    </row>
    <row r="214" spans="2:7" x14ac:dyDescent="0.3">
      <c r="B214" s="106" t="str">
        <f>B213&amp;" - Direct"</f>
        <v>Operation Supervision &amp; Engineering - Direct</v>
      </c>
      <c r="C214" s="634" t="str">
        <f>C213&amp;"-D"</f>
        <v>870-D</v>
      </c>
      <c r="E214" s="6">
        <f>'Direct Assign'!C37</f>
        <v>198387.07196000003</v>
      </c>
      <c r="G214" s="6"/>
    </row>
    <row r="215" spans="2:7" x14ac:dyDescent="0.3">
      <c r="B215" s="7" t="s">
        <v>79</v>
      </c>
      <c r="C215" s="7">
        <v>871</v>
      </c>
      <c r="E215" s="310">
        <f t="shared" ref="E215:E222" si="9">SUM(G215:I215)</f>
        <v>0</v>
      </c>
      <c r="G215" s="6">
        <f>SUMIF('O&amp;M'!$C$10:$C$106,C215,'O&amp;M'!$F$10:$F$106)</f>
        <v>0</v>
      </c>
    </row>
    <row r="216" spans="2:7" x14ac:dyDescent="0.3">
      <c r="B216" s="7" t="s">
        <v>80</v>
      </c>
      <c r="C216" s="7">
        <v>874</v>
      </c>
      <c r="E216" s="310">
        <f t="shared" si="9"/>
        <v>1505786.4810249701</v>
      </c>
      <c r="G216" s="6">
        <f>SUMIF('O&amp;M'!$C$10:$C$106,C216,'O&amp;M'!$F$10:$F$106)</f>
        <v>1505786.4810249701</v>
      </c>
    </row>
    <row r="217" spans="2:7" x14ac:dyDescent="0.3">
      <c r="B217" s="7" t="s">
        <v>81</v>
      </c>
      <c r="C217" s="7">
        <v>875</v>
      </c>
      <c r="E217" s="310">
        <f t="shared" si="9"/>
        <v>20985.3571763617</v>
      </c>
      <c r="G217" s="6">
        <f>SUMIF('O&amp;M'!$C$10:$C$106,C217,'O&amp;M'!$F$10:$F$106)</f>
        <v>20985.3571763617</v>
      </c>
    </row>
    <row r="218" spans="2:7" x14ac:dyDescent="0.3">
      <c r="B218" s="7" t="s">
        <v>82</v>
      </c>
      <c r="C218" s="7">
        <v>877</v>
      </c>
      <c r="E218" s="310">
        <f t="shared" si="9"/>
        <v>43948.897824</v>
      </c>
      <c r="G218" s="6">
        <f>SUMIF('O&amp;M'!$C$10:$C$106,C218,'O&amp;M'!$F$10:$F$106)</f>
        <v>43948.897824</v>
      </c>
    </row>
    <row r="219" spans="2:7" x14ac:dyDescent="0.3">
      <c r="B219" s="7" t="s">
        <v>83</v>
      </c>
      <c r="C219" s="7">
        <v>878</v>
      </c>
      <c r="E219" s="310">
        <f t="shared" si="9"/>
        <v>670318.2904106502</v>
      </c>
      <c r="G219" s="6">
        <f>SUMIF('O&amp;M'!$C$10:$C$106,C219,'O&amp;M'!$F$10:$F$106)</f>
        <v>670318.2904106502</v>
      </c>
    </row>
    <row r="220" spans="2:7" x14ac:dyDescent="0.3">
      <c r="B220" s="7" t="s">
        <v>84</v>
      </c>
      <c r="C220" s="7">
        <v>879</v>
      </c>
      <c r="E220" s="310">
        <f t="shared" si="9"/>
        <v>1229187.7961862104</v>
      </c>
      <c r="G220" s="6">
        <f>SUMIF('O&amp;M'!$C$10:$C$106,C220,'O&amp;M'!$F$10:$F$106)</f>
        <v>1229187.7961862104</v>
      </c>
    </row>
    <row r="221" spans="2:7" x14ac:dyDescent="0.3">
      <c r="B221" s="7" t="s">
        <v>66</v>
      </c>
      <c r="C221" s="7">
        <v>880</v>
      </c>
      <c r="E221" s="310">
        <f t="shared" si="9"/>
        <v>182680.69190023001</v>
      </c>
      <c r="G221" s="6">
        <f>SUMIF('O&amp;M'!$C$10:$C$106,C221,'O&amp;M'!$F$10:$F$106)</f>
        <v>182680.69190023001</v>
      </c>
    </row>
    <row r="222" spans="2:7" x14ac:dyDescent="0.3">
      <c r="B222" s="7" t="s">
        <v>58</v>
      </c>
      <c r="C222" s="7">
        <v>881</v>
      </c>
      <c r="E222" s="310">
        <f t="shared" si="9"/>
        <v>31096.358330999989</v>
      </c>
      <c r="G222" s="6">
        <f>SUMIF('O&amp;M'!$C$10:$C$106,C222,'O&amp;M'!$F$10:$F$106)</f>
        <v>31096.358330999989</v>
      </c>
    </row>
    <row r="223" spans="2:7" x14ac:dyDescent="0.3">
      <c r="B223" s="635" t="s">
        <v>85</v>
      </c>
      <c r="E223" s="624">
        <f>SUM(E213:E222)</f>
        <v>3986737.2039494221</v>
      </c>
      <c r="G223" s="624">
        <f>SUM(G213:G222)</f>
        <v>3986737.2039494221</v>
      </c>
    </row>
    <row r="224" spans="2:7" x14ac:dyDescent="0.3">
      <c r="B224" s="7" t="s">
        <v>165</v>
      </c>
      <c r="C224" s="7">
        <v>885</v>
      </c>
      <c r="E224" s="310">
        <f t="shared" ref="E224:E230" si="10">SUM(G224:I224)</f>
        <v>345666.10514636</v>
      </c>
      <c r="G224" s="6">
        <f>SUMIF('O&amp;M'!$C$10:$C$106,C224,'O&amp;M'!$F$10:$F$106)</f>
        <v>345666.10514636</v>
      </c>
    </row>
    <row r="225" spans="1:7" x14ac:dyDescent="0.3">
      <c r="B225" s="7" t="s">
        <v>74</v>
      </c>
      <c r="C225" s="7">
        <v>887</v>
      </c>
      <c r="E225" s="310">
        <f t="shared" si="10"/>
        <v>167430.60777713003</v>
      </c>
      <c r="G225" s="6">
        <f>SUMIF('O&amp;M'!$C$10:$C$106,C225,'O&amp;M'!$F$10:$F$106)</f>
        <v>167430.60777713003</v>
      </c>
    </row>
    <row r="226" spans="1:7" x14ac:dyDescent="0.3">
      <c r="B226" s="7" t="s">
        <v>86</v>
      </c>
      <c r="C226" s="7">
        <v>889</v>
      </c>
      <c r="E226" s="310">
        <f t="shared" si="10"/>
        <v>136348.00809895742</v>
      </c>
      <c r="G226" s="6">
        <f>SUMIF('O&amp;M'!$C$10:$C$106,C226,'O&amp;M'!$F$10:$F$106)</f>
        <v>136348.00809895742</v>
      </c>
    </row>
    <row r="227" spans="1:7" x14ac:dyDescent="0.3">
      <c r="B227" s="7" t="s">
        <v>242</v>
      </c>
      <c r="C227" s="7">
        <v>891</v>
      </c>
      <c r="E227" s="310">
        <f t="shared" si="10"/>
        <v>14444.307356999998</v>
      </c>
      <c r="G227" s="6">
        <f>SUMIF('O&amp;M'!$C$10:$C$106,C227,'O&amp;M'!$F$10:$F$106)</f>
        <v>14444.307356999998</v>
      </c>
    </row>
    <row r="228" spans="1:7" x14ac:dyDescent="0.3">
      <c r="B228" s="7" t="s">
        <v>87</v>
      </c>
      <c r="C228" s="7">
        <v>892</v>
      </c>
      <c r="E228" s="310">
        <f t="shared" si="10"/>
        <v>51255.474151049995</v>
      </c>
      <c r="G228" s="6">
        <f>SUMIF('O&amp;M'!$C$10:$C$106,C228,'O&amp;M'!$F$10:$F$106)</f>
        <v>51255.474151049995</v>
      </c>
    </row>
    <row r="229" spans="1:7" x14ac:dyDescent="0.3">
      <c r="B229" s="7" t="s">
        <v>88</v>
      </c>
      <c r="C229" s="7">
        <v>893</v>
      </c>
      <c r="E229" s="310">
        <f t="shared" si="10"/>
        <v>282483.51459533011</v>
      </c>
      <c r="G229" s="6">
        <f>SUMIF('O&amp;M'!$C$10:$C$106,C229,'O&amp;M'!$F$10:$F$106)</f>
        <v>282483.51459533011</v>
      </c>
    </row>
    <row r="230" spans="1:7" x14ac:dyDescent="0.3">
      <c r="B230" s="7" t="s">
        <v>89</v>
      </c>
      <c r="C230" s="7">
        <v>894</v>
      </c>
      <c r="E230" s="310">
        <f t="shared" si="10"/>
        <v>2285.6702649999993</v>
      </c>
      <c r="G230" s="6">
        <f>SUMIF('O&amp;M'!$C$10:$C$106,C230,'O&amp;M'!$F$10:$F$106)</f>
        <v>2285.6702649999993</v>
      </c>
    </row>
    <row r="231" spans="1:7" x14ac:dyDescent="0.3">
      <c r="B231" s="635" t="s">
        <v>70</v>
      </c>
      <c r="E231" s="624">
        <f>SUM(E224:E230)</f>
        <v>999913.68739082746</v>
      </c>
      <c r="G231" s="624">
        <f>SUM(G224:G230)</f>
        <v>999913.68739082746</v>
      </c>
    </row>
    <row r="232" spans="1:7" x14ac:dyDescent="0.3">
      <c r="B232" s="635" t="s">
        <v>90</v>
      </c>
      <c r="E232" s="624">
        <f>SUM(E231,E223)</f>
        <v>4986650.8913402492</v>
      </c>
      <c r="G232" s="624">
        <f>SUM(G231,G223)</f>
        <v>4986650.8913402492</v>
      </c>
    </row>
    <row r="233" spans="1:7" x14ac:dyDescent="0.3">
      <c r="G233" s="168"/>
    </row>
    <row r="234" spans="1:7" x14ac:dyDescent="0.3">
      <c r="B234" s="7" t="s">
        <v>57</v>
      </c>
      <c r="E234" s="168">
        <f>SUM(E232,E210,E203,E191)</f>
        <v>5824153.2457239693</v>
      </c>
      <c r="G234" s="168">
        <f>SUM(G232,G210,G203,G191)</f>
        <v>5824153.2457239693</v>
      </c>
    </row>
    <row r="235" spans="1:7" x14ac:dyDescent="0.3">
      <c r="G235" s="168"/>
    </row>
    <row r="236" spans="1:7" x14ac:dyDescent="0.3">
      <c r="A236" s="7" t="s">
        <v>91</v>
      </c>
      <c r="B236" s="7" t="s">
        <v>92</v>
      </c>
      <c r="G236" s="168"/>
    </row>
    <row r="237" spans="1:7" x14ac:dyDescent="0.3">
      <c r="G237" s="168"/>
    </row>
    <row r="238" spans="1:7" x14ac:dyDescent="0.3">
      <c r="B238" s="7" t="s">
        <v>93</v>
      </c>
      <c r="G238" s="168"/>
    </row>
    <row r="239" spans="1:7" x14ac:dyDescent="0.3">
      <c r="B239" s="7" t="s">
        <v>94</v>
      </c>
      <c r="C239" s="7">
        <v>901</v>
      </c>
      <c r="E239" s="310">
        <f t="shared" ref="E239:E243" si="11">SUM(G239:I239)</f>
        <v>191745.08802000008</v>
      </c>
      <c r="G239" s="6">
        <f>SUMIF('O&amp;M'!$C$10:$C$106,C239,'O&amp;M'!$F$10:$F$106)</f>
        <v>191745.08802000008</v>
      </c>
    </row>
    <row r="240" spans="1:7" x14ac:dyDescent="0.3">
      <c r="B240" s="7" t="s">
        <v>95</v>
      </c>
      <c r="C240" s="7">
        <v>902</v>
      </c>
      <c r="E240" s="310">
        <f t="shared" si="11"/>
        <v>99320.238044460028</v>
      </c>
      <c r="G240" s="6">
        <f>SUMIF('O&amp;M'!$C$10:$C$106,C240,'O&amp;M'!$F$10:$F$106)</f>
        <v>99320.238044460028</v>
      </c>
    </row>
    <row r="241" spans="2:9" x14ac:dyDescent="0.3">
      <c r="B241" s="7" t="s">
        <v>96</v>
      </c>
      <c r="C241" s="7">
        <v>903</v>
      </c>
      <c r="E241" s="310">
        <f>SUM(G241:I241)-E242</f>
        <v>1992548.0215212405</v>
      </c>
      <c r="G241" s="6">
        <f>SUMIF('O&amp;M'!$C$10:$C$106,C241,'O&amp;M'!$F$10:$F$106)</f>
        <v>2023143.7413922404</v>
      </c>
    </row>
    <row r="242" spans="2:9" x14ac:dyDescent="0.3">
      <c r="B242" s="106" t="str">
        <f>B241&amp;" - Direct"</f>
        <v>Customer Records &amp; Collection Expense - Direct</v>
      </c>
      <c r="C242" s="634" t="str">
        <f>C241&amp;"-D"</f>
        <v>903-D</v>
      </c>
      <c r="E242" s="6">
        <f>'Direct Assign'!C38</f>
        <v>30595.719870999994</v>
      </c>
      <c r="G242" s="6"/>
    </row>
    <row r="243" spans="2:9" x14ac:dyDescent="0.3">
      <c r="B243" s="7" t="s">
        <v>97</v>
      </c>
      <c r="C243" s="7">
        <v>904</v>
      </c>
      <c r="E243" s="310">
        <f t="shared" si="11"/>
        <v>75642.340682468639</v>
      </c>
      <c r="G243" s="6">
        <f>SUMIF('O&amp;M'!$C$10:$C$106,C243,'O&amp;M'!$F$10:$F$106)</f>
        <v>58165.898717000018</v>
      </c>
      <c r="I243" s="300">
        <f>'Adjust Issues'!M21</f>
        <v>17476.441965468621</v>
      </c>
    </row>
    <row r="244" spans="2:9" x14ac:dyDescent="0.3">
      <c r="B244" s="7" t="s">
        <v>98</v>
      </c>
      <c r="E244" s="624">
        <f>SUM(E239:E243)</f>
        <v>2389851.4081391692</v>
      </c>
      <c r="G244" s="624">
        <f>SUM(G239:G243)</f>
        <v>2372374.9661737005</v>
      </c>
    </row>
    <row r="245" spans="2:9" x14ac:dyDescent="0.3">
      <c r="G245" s="168"/>
    </row>
    <row r="246" spans="2:9" x14ac:dyDescent="0.3">
      <c r="B246" s="7" t="s">
        <v>99</v>
      </c>
      <c r="G246" s="168"/>
    </row>
    <row r="247" spans="2:9" x14ac:dyDescent="0.3">
      <c r="B247" s="7" t="s">
        <v>94</v>
      </c>
      <c r="C247" s="7">
        <v>907</v>
      </c>
      <c r="E247" s="310">
        <f t="shared" ref="E247:E251" si="12">SUM(G247:I247)</f>
        <v>303.95415400000007</v>
      </c>
      <c r="G247" s="6">
        <f>SUMIF('O&amp;M'!$C$10:$C$106,C247,'O&amp;M'!$F$10:$F$106)</f>
        <v>303.95415400000007</v>
      </c>
    </row>
    <row r="248" spans="2:9" x14ac:dyDescent="0.3">
      <c r="B248" s="7" t="s">
        <v>100</v>
      </c>
      <c r="C248" s="7">
        <v>908</v>
      </c>
      <c r="E248" s="310">
        <f>SUM(G248:I248)-E249</f>
        <v>272111.25597500004</v>
      </c>
      <c r="G248" s="6">
        <f>SUMIF('O&amp;M'!$C$10:$C$106,C248,'O&amp;M'!$F$10:$F$106)</f>
        <v>278562.35634000006</v>
      </c>
    </row>
    <row r="249" spans="2:9" x14ac:dyDescent="0.3">
      <c r="B249" s="106" t="str">
        <f>B248&amp;" - Direct"</f>
        <v>Customer Assistance Expenses - Direct</v>
      </c>
      <c r="C249" s="634" t="str">
        <f>C248&amp;"-D"</f>
        <v>908-D</v>
      </c>
      <c r="E249" s="6">
        <f>'Direct Assign'!C39</f>
        <v>6451.1003649999984</v>
      </c>
      <c r="G249" s="6"/>
    </row>
    <row r="250" spans="2:9" x14ac:dyDescent="0.3">
      <c r="B250" s="7" t="s">
        <v>101</v>
      </c>
      <c r="C250" s="7">
        <v>909</v>
      </c>
      <c r="E250" s="310">
        <f t="shared" si="12"/>
        <v>339346.87416000012</v>
      </c>
      <c r="G250" s="6">
        <f>SUMIF('O&amp;M'!$C$10:$C$106,C250,'O&amp;M'!$F$10:$F$106)</f>
        <v>339346.87416000012</v>
      </c>
    </row>
    <row r="251" spans="2:9" x14ac:dyDescent="0.3">
      <c r="B251" s="7" t="s">
        <v>102</v>
      </c>
      <c r="C251" s="7">
        <v>910</v>
      </c>
      <c r="E251" s="310">
        <f t="shared" si="12"/>
        <v>27866.793651000007</v>
      </c>
      <c r="G251" s="6">
        <f>SUMIF('O&amp;M'!$C$10:$C$106,C251,'O&amp;M'!$F$10:$F$106)</f>
        <v>27866.793651000007</v>
      </c>
    </row>
    <row r="252" spans="2:9" x14ac:dyDescent="0.3">
      <c r="B252" s="7" t="s">
        <v>103</v>
      </c>
      <c r="E252" s="624">
        <f>SUM(E247:E251)</f>
        <v>646079.97830500023</v>
      </c>
      <c r="F252" s="629"/>
      <c r="G252" s="624">
        <f>SUM(G247:G251)</f>
        <v>646079.97830500023</v>
      </c>
    </row>
    <row r="253" spans="2:9" x14ac:dyDescent="0.3">
      <c r="G253" s="168"/>
    </row>
    <row r="254" spans="2:9" x14ac:dyDescent="0.3">
      <c r="B254" s="7" t="s">
        <v>104</v>
      </c>
      <c r="G254" s="168"/>
    </row>
    <row r="255" spans="2:9" x14ac:dyDescent="0.3">
      <c r="B255" s="7" t="s">
        <v>94</v>
      </c>
      <c r="C255" s="7">
        <v>911</v>
      </c>
      <c r="E255" s="310">
        <f t="shared" ref="E255:E258" si="13">SUM(G255:I255)</f>
        <v>18157.886928000004</v>
      </c>
      <c r="G255" s="6">
        <f>SUMIF('O&amp;M'!$C$10:$C$106,C255,'O&amp;M'!$F$10:$F$106)</f>
        <v>18157.886928000004</v>
      </c>
    </row>
    <row r="256" spans="2:9" x14ac:dyDescent="0.3">
      <c r="B256" s="7" t="s">
        <v>105</v>
      </c>
      <c r="C256" s="7">
        <v>912</v>
      </c>
      <c r="E256" s="310">
        <f t="shared" si="13"/>
        <v>119650.496470313</v>
      </c>
      <c r="G256" s="6">
        <f>SUMIF('O&amp;M'!$C$10:$C$106,C256,'O&amp;M'!$F$10:$F$106)</f>
        <v>407173.96651060018</v>
      </c>
      <c r="I256" s="300">
        <f>'Adjust Issues'!I22</f>
        <v>-287523.47004028718</v>
      </c>
    </row>
    <row r="257" spans="1:9" x14ac:dyDescent="0.3">
      <c r="B257" s="7" t="s">
        <v>106</v>
      </c>
      <c r="C257" s="7">
        <v>913</v>
      </c>
      <c r="E257" s="310">
        <f t="shared" si="13"/>
        <v>50451.423276000016</v>
      </c>
      <c r="G257" s="6">
        <f>SUMIF('O&amp;M'!$C$10:$C$106,C257,'O&amp;M'!$F$10:$F$106)</f>
        <v>50451.423276000016</v>
      </c>
    </row>
    <row r="258" spans="1:9" x14ac:dyDescent="0.3">
      <c r="B258" s="7" t="s">
        <v>107</v>
      </c>
      <c r="C258" s="7">
        <v>916</v>
      </c>
      <c r="E258" s="310">
        <f t="shared" si="13"/>
        <v>0</v>
      </c>
      <c r="G258" s="6">
        <f>SUMIF('O&amp;M'!$C$10:$C$106,C258,'O&amp;M'!$F$10:$F$106)</f>
        <v>0</v>
      </c>
    </row>
    <row r="259" spans="1:9" x14ac:dyDescent="0.3">
      <c r="B259" s="7" t="s">
        <v>108</v>
      </c>
      <c r="E259" s="624">
        <f>SUM(E255:E258)</f>
        <v>188259.806674313</v>
      </c>
      <c r="F259" s="629"/>
      <c r="G259" s="624">
        <f>SUM(G255:G258)</f>
        <v>475783.27671460022</v>
      </c>
    </row>
    <row r="260" spans="1:9" x14ac:dyDescent="0.3">
      <c r="G260" s="168"/>
    </row>
    <row r="261" spans="1:9" x14ac:dyDescent="0.3">
      <c r="B261" s="7" t="s">
        <v>109</v>
      </c>
      <c r="E261" s="168">
        <f>SUM(E259,E252,E244)</f>
        <v>3224191.1931184824</v>
      </c>
      <c r="G261" s="168">
        <f>SUM(G259,G252,G244)</f>
        <v>3494238.221193301</v>
      </c>
    </row>
    <row r="262" spans="1:9" x14ac:dyDescent="0.3">
      <c r="G262" s="168"/>
    </row>
    <row r="263" spans="1:9" x14ac:dyDescent="0.3">
      <c r="A263" s="7" t="s">
        <v>110</v>
      </c>
      <c r="B263" s="7" t="s">
        <v>111</v>
      </c>
      <c r="G263" s="168"/>
    </row>
    <row r="264" spans="1:9" x14ac:dyDescent="0.3">
      <c r="G264" s="168"/>
    </row>
    <row r="265" spans="1:9" x14ac:dyDescent="0.3">
      <c r="B265" s="7" t="s">
        <v>112</v>
      </c>
      <c r="C265" s="7">
        <v>921</v>
      </c>
      <c r="E265" s="310">
        <f>SUM(G265:I265)-E266</f>
        <v>7746816.3217512667</v>
      </c>
      <c r="G265" s="6">
        <f>SUMIF('O&amp;M'!$C$10:$C$106,C265,'O&amp;M'!$F$10:$F$106)</f>
        <v>7368438.3797128005</v>
      </c>
      <c r="I265" s="300">
        <f>'Adjust Issues'!V22-I268-I270-I256</f>
        <v>497687.01681046642</v>
      </c>
    </row>
    <row r="266" spans="1:9" x14ac:dyDescent="0.3">
      <c r="B266" s="106" t="str">
        <f>B265&amp;" - Direct"</f>
        <v>Office Supplies &amp; Expenses - Direct</v>
      </c>
      <c r="C266" s="634" t="str">
        <f>C265&amp;"-D"</f>
        <v>921-D</v>
      </c>
      <c r="E266" s="6">
        <f>'Direct Assign'!C40</f>
        <v>119309.07477199996</v>
      </c>
      <c r="G266" s="6"/>
      <c r="I266" s="300"/>
    </row>
    <row r="267" spans="1:9" x14ac:dyDescent="0.3">
      <c r="B267" s="7" t="s">
        <v>113</v>
      </c>
      <c r="C267" s="7">
        <v>922</v>
      </c>
      <c r="E267" s="310">
        <f t="shared" ref="E267:E273" si="14">SUM(G267:I267)</f>
        <v>-2526442.0295369998</v>
      </c>
      <c r="G267" s="6">
        <f>SUMIF('O&amp;M'!$C$10:$C$106,C267,'O&amp;M'!$F$10:$F$106)</f>
        <v>-2526442.0295369998</v>
      </c>
    </row>
    <row r="268" spans="1:9" x14ac:dyDescent="0.3">
      <c r="B268" s="7" t="s">
        <v>114</v>
      </c>
      <c r="C268" s="7">
        <v>924</v>
      </c>
      <c r="E268" s="310">
        <f t="shared" si="14"/>
        <v>392078.43214499991</v>
      </c>
      <c r="G268" s="6">
        <f>SUMIF('O&amp;M'!$C$10:$C$106,C268,'O&amp;M'!$F$10:$F$106)</f>
        <v>356755.60443999991</v>
      </c>
      <c r="I268" s="300">
        <f>'Adjust Issues'!J22</f>
        <v>35322.827704999996</v>
      </c>
    </row>
    <row r="269" spans="1:9" x14ac:dyDescent="0.3">
      <c r="B269" s="7" t="s">
        <v>115</v>
      </c>
      <c r="C269" s="7">
        <v>925</v>
      </c>
      <c r="E269" s="310">
        <f t="shared" si="14"/>
        <v>30014.123111999994</v>
      </c>
      <c r="G269" s="6">
        <f>SUMIF('O&amp;M'!$C$10:$C$106,C269,'O&amp;M'!$F$10:$F$106)</f>
        <v>30014.123111999994</v>
      </c>
      <c r="I269" s="636"/>
    </row>
    <row r="270" spans="1:9" x14ac:dyDescent="0.3">
      <c r="B270" s="7" t="s">
        <v>116</v>
      </c>
      <c r="C270" s="7">
        <v>926</v>
      </c>
      <c r="E270" s="310">
        <f t="shared" si="14"/>
        <v>1999761.5965622817</v>
      </c>
      <c r="G270" s="6">
        <f>SUMIF('O&amp;M'!$C$10:$C$106,C270,'O&amp;M'!$F$10:$F$106)</f>
        <v>1826245.6182438</v>
      </c>
      <c r="I270" s="300">
        <f>'Adjust Issues'!L22+'Adjust Issues'!O22</f>
        <v>173515.97831848162</v>
      </c>
    </row>
    <row r="271" spans="1:9" x14ac:dyDescent="0.3">
      <c r="B271" s="7" t="s">
        <v>117</v>
      </c>
      <c r="C271" s="7">
        <v>930</v>
      </c>
      <c r="E271" s="310">
        <f t="shared" si="14"/>
        <v>361744.78533199994</v>
      </c>
      <c r="G271" s="6">
        <f>SUMIF('O&amp;M'!$C$10:$C$106,C271,'O&amp;M'!$F$10:$F$106)</f>
        <v>361744.78533199994</v>
      </c>
    </row>
    <row r="272" spans="1:9" x14ac:dyDescent="0.3">
      <c r="B272" s="7" t="s">
        <v>58</v>
      </c>
      <c r="C272" s="7">
        <v>931</v>
      </c>
      <c r="E272" s="310">
        <f t="shared" si="14"/>
        <v>529184.17018899985</v>
      </c>
      <c r="G272" s="6">
        <f>SUMIF('O&amp;M'!$C$10:$C$106,C272,'O&amp;M'!$F$10:$F$106)</f>
        <v>529184.17018899985</v>
      </c>
    </row>
    <row r="273" spans="1:10" x14ac:dyDescent="0.3">
      <c r="B273" s="7" t="s">
        <v>118</v>
      </c>
      <c r="C273" s="7">
        <v>935</v>
      </c>
      <c r="E273" s="310">
        <f t="shared" si="14"/>
        <v>433138.43705399992</v>
      </c>
      <c r="G273" s="6">
        <f>SUMIF('O&amp;M'!$C$10:$C$106,C273,'O&amp;M'!$F$10:$F$106)</f>
        <v>433138.43705399992</v>
      </c>
    </row>
    <row r="274" spans="1:10" x14ac:dyDescent="0.3">
      <c r="B274" s="7" t="s">
        <v>119</v>
      </c>
      <c r="E274" s="624">
        <f>SUM(E265:E273)</f>
        <v>9085604.9113805499</v>
      </c>
      <c r="G274" s="624">
        <f>SUM(G265:G273)</f>
        <v>8379079.0885466002</v>
      </c>
      <c r="H274" s="629"/>
      <c r="I274" s="624">
        <f>SUM(I255:I273)</f>
        <v>419002.35279366083</v>
      </c>
      <c r="J274" s="636"/>
    </row>
    <row r="276" spans="1:10" x14ac:dyDescent="0.3">
      <c r="B276" s="7" t="s">
        <v>111</v>
      </c>
      <c r="E276" s="168">
        <f>SUM(E274)</f>
        <v>9085604.9113805499</v>
      </c>
    </row>
    <row r="277" spans="1:10" x14ac:dyDescent="0.3">
      <c r="E277" s="168">
        <f>SUM(E276,E261,E234)</f>
        <v>18133949.350223001</v>
      </c>
      <c r="F277" s="629"/>
      <c r="G277" s="637"/>
    </row>
    <row r="278" spans="1:10" x14ac:dyDescent="0.3">
      <c r="A278" s="7" t="s">
        <v>120</v>
      </c>
      <c r="B278" s="7" t="s">
        <v>121</v>
      </c>
    </row>
    <row r="280" spans="1:10" x14ac:dyDescent="0.3">
      <c r="B280" s="7" t="s">
        <v>7</v>
      </c>
      <c r="I280" s="7" t="s">
        <v>2297</v>
      </c>
    </row>
    <row r="281" spans="1:10" x14ac:dyDescent="0.3">
      <c r="B281" s="7" t="s">
        <v>8</v>
      </c>
      <c r="C281" s="7">
        <v>301</v>
      </c>
      <c r="E281" s="310">
        <f t="shared" ref="E281:E286" si="15">SUM(G281:I281)</f>
        <v>0</v>
      </c>
      <c r="G281" s="6">
        <f>SUMIF('Depr_New Rates'!$F$257:$F$377,C281,'Depr_New Rates'!$G$257:$G$377)</f>
        <v>0</v>
      </c>
      <c r="I281" s="6">
        <f>SUMIF('TY Capital Adds'!$N$6:$N$30,C281,'TY Capital Adds'!$M$6:$M$30)</f>
        <v>0</v>
      </c>
    </row>
    <row r="282" spans="1:10" x14ac:dyDescent="0.3">
      <c r="B282" s="7" t="s">
        <v>9</v>
      </c>
      <c r="C282" s="7">
        <v>302</v>
      </c>
      <c r="E282" s="310">
        <f t="shared" si="15"/>
        <v>0</v>
      </c>
      <c r="G282" s="6">
        <f>SUMIF('Depr_New Rates'!$F$257:$F$377,C282,'Depr_New Rates'!$G$257:$G$377)</f>
        <v>0</v>
      </c>
      <c r="I282" s="6">
        <f>SUMIF('TY Capital Adds'!$N$6:$N$30,C282,'TY Capital Adds'!$M$6:$M$30)</f>
        <v>0</v>
      </c>
    </row>
    <row r="283" spans="1:10" x14ac:dyDescent="0.3">
      <c r="B283" s="7" t="s">
        <v>1937</v>
      </c>
      <c r="C283" s="7">
        <v>303.10000000000002</v>
      </c>
      <c r="E283" s="310">
        <f t="shared" si="15"/>
        <v>545107.56427893706</v>
      </c>
      <c r="G283" s="6">
        <f>SUMIF('Depr_New Rates'!$F$257:$F$377,C283,'Depr_New Rates'!$G$257:$G$377)</f>
        <v>517316.69663553708</v>
      </c>
      <c r="I283" s="6">
        <f>SUMIF('TY Capital Adds'!$N$6:$N$30,C283,'TY Capital Adds'!$M$6:$M$30)</f>
        <v>27790.867643400012</v>
      </c>
    </row>
    <row r="284" spans="1:10" x14ac:dyDescent="0.3">
      <c r="B284" s="7" t="s">
        <v>1917</v>
      </c>
      <c r="C284" s="7">
        <v>303.2</v>
      </c>
      <c r="E284" s="310">
        <f t="shared" si="15"/>
        <v>0</v>
      </c>
      <c r="G284" s="6">
        <f>SUMIF('Depr_New Rates'!$F$257:$F$377,C284,'Depr_New Rates'!$G$257:$G$377)</f>
        <v>0</v>
      </c>
      <c r="I284" s="6">
        <f>SUMIF('TY Capital Adds'!$N$6:$N$30,C284,'TY Capital Adds'!$M$6:$M$30)</f>
        <v>0</v>
      </c>
    </row>
    <row r="285" spans="1:10" x14ac:dyDescent="0.3">
      <c r="B285" s="7" t="s">
        <v>1918</v>
      </c>
      <c r="C285" s="7">
        <v>303.3</v>
      </c>
      <c r="E285" s="310">
        <f t="shared" si="15"/>
        <v>0</v>
      </c>
      <c r="G285" s="6">
        <f>SUMIF('Depr_New Rates'!$F$257:$F$377,C285,'Depr_New Rates'!$G$257:$G$377)</f>
        <v>0</v>
      </c>
      <c r="I285" s="6">
        <f>SUMIF('TY Capital Adds'!$N$6:$N$30,C285,'TY Capital Adds'!$M$6:$M$30)</f>
        <v>0</v>
      </c>
    </row>
    <row r="286" spans="1:10" x14ac:dyDescent="0.3">
      <c r="B286" s="7" t="s">
        <v>1919</v>
      </c>
      <c r="C286" s="7">
        <v>303.39999999999998</v>
      </c>
      <c r="E286" s="310">
        <f t="shared" si="15"/>
        <v>0</v>
      </c>
      <c r="G286" s="6">
        <f>SUMIF('Depr_New Rates'!$F$257:$F$377,C286,'Depr_New Rates'!$G$257:$G$377)</f>
        <v>0</v>
      </c>
      <c r="I286" s="6">
        <f>SUMIF('TY Capital Adds'!$N$6:$N$30,C286,'TY Capital Adds'!$M$6:$M$30)</f>
        <v>0</v>
      </c>
    </row>
    <row r="287" spans="1:10" x14ac:dyDescent="0.3">
      <c r="B287" s="7" t="s">
        <v>10</v>
      </c>
      <c r="E287" s="624">
        <f>SUM(E281:E286)</f>
        <v>545107.56427893706</v>
      </c>
      <c r="G287" s="624">
        <f>SUM(G281:G286)</f>
        <v>517316.69663553708</v>
      </c>
    </row>
    <row r="288" spans="1:10" x14ac:dyDescent="0.3">
      <c r="G288" s="168"/>
    </row>
    <row r="289" spans="1:9" x14ac:dyDescent="0.3">
      <c r="A289" s="156"/>
      <c r="B289" s="7" t="s">
        <v>13</v>
      </c>
      <c r="C289" s="156"/>
      <c r="G289" s="168"/>
    </row>
    <row r="290" spans="1:9" x14ac:dyDescent="0.3">
      <c r="A290" s="156"/>
      <c r="B290" s="7" t="s">
        <v>14</v>
      </c>
      <c r="C290" s="7">
        <v>350</v>
      </c>
      <c r="E290" s="310">
        <f t="shared" ref="E290:E297" si="16">SUM(G290:I290)</f>
        <v>163.34773809639989</v>
      </c>
      <c r="G290" s="6">
        <f>SUMIF('Depr_New Rates'!$F$257:$F$377,C290,'Depr_New Rates'!$G$257:$G$377)</f>
        <v>163.34773809639989</v>
      </c>
      <c r="I290" s="6">
        <f>SUMIF('TY Capital Adds'!$N$6:$N$30,C290,'TY Capital Adds'!$M$6:$M$30)</f>
        <v>0</v>
      </c>
    </row>
    <row r="291" spans="1:9" x14ac:dyDescent="0.3">
      <c r="A291" s="156"/>
      <c r="B291" s="7" t="s">
        <v>15</v>
      </c>
      <c r="C291" s="7">
        <v>351</v>
      </c>
      <c r="E291" s="310">
        <f t="shared" si="16"/>
        <v>12043.949808897498</v>
      </c>
      <c r="G291" s="6">
        <f>SUMIF('Depr_New Rates'!$F$257:$F$377,C291,'Depr_New Rates'!$G$257:$G$377)</f>
        <v>12043.949808897498</v>
      </c>
      <c r="I291" s="6">
        <f>SUMIF('TY Capital Adds'!$N$6:$N$30,C291,'TY Capital Adds'!$M$6:$M$30)</f>
        <v>0</v>
      </c>
    </row>
    <row r="292" spans="1:9" x14ac:dyDescent="0.3">
      <c r="A292" s="156"/>
      <c r="B292" s="7" t="s">
        <v>16</v>
      </c>
      <c r="C292" s="7">
        <v>352</v>
      </c>
      <c r="E292" s="310">
        <f t="shared" si="16"/>
        <v>64909.277671276228</v>
      </c>
      <c r="G292" s="6">
        <f>SUMIF('Depr_New Rates'!$F$257:$F$377,C292,'Depr_New Rates'!$G$257:$G$377)</f>
        <v>64909.277671276228</v>
      </c>
      <c r="I292" s="6">
        <f>SUMIF('TY Capital Adds'!$N$6:$N$30,C292,'TY Capital Adds'!$M$6:$M$30)</f>
        <v>0</v>
      </c>
    </row>
    <row r="293" spans="1:9" x14ac:dyDescent="0.3">
      <c r="A293" s="156"/>
      <c r="B293" s="7" t="s">
        <v>17</v>
      </c>
      <c r="C293" s="7">
        <v>353</v>
      </c>
      <c r="E293" s="310">
        <f t="shared" si="16"/>
        <v>14097.248892382397</v>
      </c>
      <c r="G293" s="6">
        <f>SUMIF('Depr_New Rates'!$F$257:$F$377,C293,'Depr_New Rates'!$G$257:$G$377)</f>
        <v>14097.248892382397</v>
      </c>
      <c r="I293" s="6">
        <f>SUMIF('TY Capital Adds'!$N$6:$N$30,C293,'TY Capital Adds'!$M$6:$M$30)</f>
        <v>0</v>
      </c>
    </row>
    <row r="294" spans="1:9" x14ac:dyDescent="0.3">
      <c r="A294" s="156"/>
      <c r="B294" s="7" t="s">
        <v>18</v>
      </c>
      <c r="C294" s="7">
        <v>354</v>
      </c>
      <c r="E294" s="310">
        <f t="shared" si="16"/>
        <v>57876.252291413388</v>
      </c>
      <c r="G294" s="6">
        <f>SUMIF('Depr_New Rates'!$F$257:$F$377,C294,'Depr_New Rates'!$G$257:$G$377)</f>
        <v>57876.252291413388</v>
      </c>
      <c r="I294" s="6">
        <f>SUMIF('TY Capital Adds'!$N$6:$N$30,C294,'TY Capital Adds'!$M$6:$M$30)</f>
        <v>0</v>
      </c>
    </row>
    <row r="295" spans="1:9" x14ac:dyDescent="0.3">
      <c r="A295" s="156"/>
      <c r="B295" s="7" t="s">
        <v>19</v>
      </c>
      <c r="C295" s="7">
        <v>355</v>
      </c>
      <c r="E295" s="310">
        <f t="shared" si="16"/>
        <v>17522.350834806741</v>
      </c>
      <c r="G295" s="6">
        <f>SUMIF('Depr_New Rates'!$F$257:$F$377,C295,'Depr_New Rates'!$G$257:$G$377)</f>
        <v>17522.350834806741</v>
      </c>
      <c r="I295" s="6">
        <f>SUMIF('TY Capital Adds'!$N$6:$N$30,C295,'TY Capital Adds'!$M$6:$M$30)</f>
        <v>0</v>
      </c>
    </row>
    <row r="296" spans="1:9" x14ac:dyDescent="0.3">
      <c r="A296" s="156"/>
      <c r="B296" s="7" t="s">
        <v>1935</v>
      </c>
      <c r="C296" s="7">
        <v>356</v>
      </c>
      <c r="E296" s="310">
        <f t="shared" si="16"/>
        <v>452.02539709753313</v>
      </c>
      <c r="G296" s="6">
        <f>SUMIF('Depr_New Rates'!$F$257:$F$377,C296,'Depr_New Rates'!$G$257:$G$377)</f>
        <v>452.02539709753313</v>
      </c>
      <c r="I296" s="6">
        <f>SUMIF('TY Capital Adds'!$N$6:$N$30,C296,'TY Capital Adds'!$M$6:$M$30)</f>
        <v>0</v>
      </c>
    </row>
    <row r="297" spans="1:9" x14ac:dyDescent="0.3">
      <c r="A297" s="156"/>
      <c r="B297" s="7" t="s">
        <v>12</v>
      </c>
      <c r="C297" s="7">
        <v>357</v>
      </c>
      <c r="E297" s="310">
        <f t="shared" si="16"/>
        <v>3688.3292762027231</v>
      </c>
      <c r="G297" s="6">
        <f>SUMIF('Depr_New Rates'!$F$257:$F$377,C297,'Depr_New Rates'!$G$257:$G$377)</f>
        <v>3688.3292762027231</v>
      </c>
      <c r="I297" s="6">
        <f>SUMIF('TY Capital Adds'!$N$6:$N$30,C297,'TY Capital Adds'!$M$6:$M$30)</f>
        <v>0</v>
      </c>
    </row>
    <row r="298" spans="1:9" x14ac:dyDescent="0.3">
      <c r="A298" s="156"/>
      <c r="B298" s="7" t="s">
        <v>20</v>
      </c>
      <c r="C298" s="156"/>
      <c r="E298" s="624">
        <f>SUM(E290:E297)</f>
        <v>170752.78191017293</v>
      </c>
      <c r="G298" s="624">
        <f>SUM(G290:G297)</f>
        <v>170752.78191017293</v>
      </c>
    </row>
    <row r="299" spans="1:9" x14ac:dyDescent="0.3">
      <c r="G299" s="168"/>
    </row>
    <row r="300" spans="1:9" x14ac:dyDescent="0.3">
      <c r="B300" s="7" t="s">
        <v>1926</v>
      </c>
      <c r="G300" s="168"/>
    </row>
    <row r="301" spans="1:9" x14ac:dyDescent="0.3">
      <c r="B301" s="7" t="s">
        <v>14</v>
      </c>
      <c r="C301" s="7">
        <v>360</v>
      </c>
      <c r="E301" s="310">
        <f t="shared" ref="E301:E309" si="17">SUM(G301:I301)</f>
        <v>0</v>
      </c>
      <c r="G301" s="6">
        <f>SUMIF('Depr_New Rates'!$F$257:$F$377,C301,'Depr_New Rates'!$G$257:$G$377)</f>
        <v>0</v>
      </c>
      <c r="I301" s="6">
        <f>SUMIF('TY Capital Adds'!$N$6:$N$30,C301,'TY Capital Adds'!$M$6:$M$30)</f>
        <v>0</v>
      </c>
    </row>
    <row r="302" spans="1:9" x14ac:dyDescent="0.3">
      <c r="B302" s="7" t="s">
        <v>15</v>
      </c>
      <c r="C302" s="7">
        <v>361</v>
      </c>
      <c r="E302" s="310">
        <f t="shared" si="17"/>
        <v>82143.828769127969</v>
      </c>
      <c r="G302" s="6">
        <f>SUMIF('Depr_New Rates'!$F$257:$F$377,C302,'Depr_New Rates'!$G$257:$G$377)</f>
        <v>66496.385534409637</v>
      </c>
      <c r="I302" s="6">
        <f>SUMIF('TY Capital Adds'!$N$6:$N$30,C302,'TY Capital Adds'!$M$6:$M$30)</f>
        <v>15647.443234718326</v>
      </c>
    </row>
    <row r="303" spans="1:9" x14ac:dyDescent="0.3">
      <c r="B303" s="7" t="s">
        <v>1927</v>
      </c>
      <c r="C303" s="7">
        <v>362</v>
      </c>
      <c r="E303" s="310">
        <f t="shared" si="17"/>
        <v>30484.208327486689</v>
      </c>
      <c r="G303" s="6">
        <f>SUMIF('Depr_New Rates'!$F$257:$F$377,C303,'Depr_New Rates'!$G$257:$G$377)</f>
        <v>27134.87249163149</v>
      </c>
      <c r="I303" s="6">
        <f>SUMIF('TY Capital Adds'!$N$6:$N$30,C303,'TY Capital Adds'!$M$6:$M$30)</f>
        <v>3349.3358358551986</v>
      </c>
    </row>
    <row r="304" spans="1:9" x14ac:dyDescent="0.3">
      <c r="B304" s="7" t="s">
        <v>1928</v>
      </c>
      <c r="C304" s="7">
        <v>363.1</v>
      </c>
      <c r="E304" s="310">
        <f t="shared" si="17"/>
        <v>17624.656231511028</v>
      </c>
      <c r="G304" s="6">
        <f>SUMIF('Depr_New Rates'!$F$257:$F$377,C304,'Depr_New Rates'!$G$257:$G$377)</f>
        <v>12037.552493071031</v>
      </c>
      <c r="I304" s="6">
        <f>SUMIF('TY Capital Adds'!$N$6:$N$30,C304,'TY Capital Adds'!$M$6:$M$30)</f>
        <v>5587.103738439997</v>
      </c>
    </row>
    <row r="305" spans="2:9" x14ac:dyDescent="0.3">
      <c r="B305" s="7" t="s">
        <v>1929</v>
      </c>
      <c r="C305" s="7">
        <v>363.2</v>
      </c>
      <c r="E305" s="310">
        <f t="shared" si="17"/>
        <v>24416.857710347569</v>
      </c>
      <c r="G305" s="6">
        <f>SUMIF('Depr_New Rates'!$F$257:$F$377,C305,'Depr_New Rates'!$G$257:$G$377)</f>
        <v>16151.432301886096</v>
      </c>
      <c r="I305" s="6">
        <f>SUMIF('TY Capital Adds'!$N$6:$N$30,C305,'TY Capital Adds'!$M$6:$M$30)</f>
        <v>8265.4254084614749</v>
      </c>
    </row>
    <row r="306" spans="2:9" x14ac:dyDescent="0.3">
      <c r="B306" s="7" t="s">
        <v>1931</v>
      </c>
      <c r="C306" s="7">
        <v>363.3</v>
      </c>
      <c r="E306" s="310">
        <f t="shared" si="17"/>
        <v>34561.415478051742</v>
      </c>
      <c r="G306" s="6">
        <f>SUMIF('Depr_New Rates'!$F$257:$F$377,C306,'Depr_New Rates'!$G$257:$G$377)</f>
        <v>34561.415478051742</v>
      </c>
      <c r="I306" s="6">
        <f>SUMIF('TY Capital Adds'!$N$6:$N$30,C306,'TY Capital Adds'!$M$6:$M$30)</f>
        <v>0</v>
      </c>
    </row>
    <row r="307" spans="2:9" x14ac:dyDescent="0.3">
      <c r="B307" s="7" t="s">
        <v>1930</v>
      </c>
      <c r="C307" s="7">
        <v>363.4</v>
      </c>
      <c r="E307" s="310">
        <f t="shared" si="17"/>
        <v>11491.581669764109</v>
      </c>
      <c r="G307" s="6">
        <f>SUMIF('Depr_New Rates'!$F$257:$F$377,C307,'Depr_New Rates'!$G$257:$G$377)</f>
        <v>11491.581669764109</v>
      </c>
      <c r="I307" s="6">
        <f>SUMIF('TY Capital Adds'!$N$6:$N$30,C307,'TY Capital Adds'!$M$6:$M$30)</f>
        <v>0</v>
      </c>
    </row>
    <row r="308" spans="2:9" x14ac:dyDescent="0.3">
      <c r="B308" s="7" t="s">
        <v>1932</v>
      </c>
      <c r="C308" s="7">
        <v>363.5</v>
      </c>
      <c r="E308" s="310">
        <f t="shared" si="17"/>
        <v>8961.715880039801</v>
      </c>
      <c r="G308" s="6">
        <f>SUMIF('Depr_New Rates'!$F$257:$F$377,C308,'Depr_New Rates'!$G$257:$G$377)</f>
        <v>8961.715880039801</v>
      </c>
      <c r="I308" s="6">
        <f>SUMIF('TY Capital Adds'!$N$6:$N$30,C308,'TY Capital Adds'!$M$6:$M$30)</f>
        <v>0</v>
      </c>
    </row>
    <row r="309" spans="2:9" x14ac:dyDescent="0.3">
      <c r="B309" s="7" t="s">
        <v>1933</v>
      </c>
      <c r="C309" s="7">
        <v>363.6</v>
      </c>
      <c r="E309" s="310">
        <f t="shared" si="17"/>
        <v>0</v>
      </c>
      <c r="G309" s="6">
        <f>SUMIF('Depr_New Rates'!$F$257:$F$377,C309,'Depr_New Rates'!$G$257:$G$377)</f>
        <v>0</v>
      </c>
      <c r="I309" s="6">
        <f>SUMIF('TY Capital Adds'!$N$6:$N$30,C309,'TY Capital Adds'!$M$6:$M$30)</f>
        <v>0</v>
      </c>
    </row>
    <row r="310" spans="2:9" x14ac:dyDescent="0.3">
      <c r="B310" s="7" t="s">
        <v>1936</v>
      </c>
      <c r="E310" s="624">
        <f>SUM(E301:E309)</f>
        <v>209684.26406632891</v>
      </c>
      <c r="G310" s="624">
        <f>SUM(G301:G309)</f>
        <v>176834.95584885389</v>
      </c>
    </row>
    <row r="311" spans="2:9" x14ac:dyDescent="0.3">
      <c r="G311" s="168"/>
    </row>
    <row r="312" spans="2:9" x14ac:dyDescent="0.3">
      <c r="B312" s="7" t="s">
        <v>21</v>
      </c>
      <c r="G312" s="168"/>
    </row>
    <row r="313" spans="2:9" x14ac:dyDescent="0.3">
      <c r="B313" s="7" t="s">
        <v>11</v>
      </c>
      <c r="C313" s="7">
        <v>365</v>
      </c>
      <c r="E313" s="310">
        <f t="shared" ref="E313:E318" si="18">SUM(G313:I313)</f>
        <v>0</v>
      </c>
      <c r="G313" s="6">
        <f>SUMIF('Depr_New Rates'!$F$257:$F$377,C313,'Depr_New Rates'!$G$257:$G$377)</f>
        <v>0</v>
      </c>
      <c r="I313" s="6">
        <f>SUMIF('TY Capital Adds'!$N$6:$N$30,C313,'TY Capital Adds'!$M$6:$M$30)</f>
        <v>0</v>
      </c>
    </row>
    <row r="314" spans="2:9" x14ac:dyDescent="0.3">
      <c r="B314" s="7" t="s">
        <v>22</v>
      </c>
      <c r="C314" s="7">
        <v>366</v>
      </c>
      <c r="E314" s="310">
        <f t="shared" si="18"/>
        <v>0</v>
      </c>
      <c r="G314" s="6">
        <f>SUMIF('Depr_New Rates'!$F$257:$F$377,C314,'Depr_New Rates'!$G$257:$G$377)</f>
        <v>0</v>
      </c>
      <c r="I314" s="6">
        <f>SUMIF('TY Capital Adds'!$N$6:$N$30,C314,'TY Capital Adds'!$M$6:$M$30)</f>
        <v>0</v>
      </c>
    </row>
    <row r="315" spans="2:9" x14ac:dyDescent="0.3">
      <c r="B315" s="7" t="s">
        <v>23</v>
      </c>
      <c r="C315" s="7">
        <v>367</v>
      </c>
      <c r="E315" s="310">
        <f t="shared" si="18"/>
        <v>128679.19595726664</v>
      </c>
      <c r="G315" s="6">
        <f>SUMIF('Depr_New Rates'!$F$257:$F$377,C315,'Depr_New Rates'!$G$257:$G$377)</f>
        <v>20960.224872666655</v>
      </c>
      <c r="I315" s="6">
        <f>SUMIF('TY Capital Adds'!$N$6:$N$30,C315,'TY Capital Adds'!$M$6:$M$30)</f>
        <v>107718.97108459998</v>
      </c>
    </row>
    <row r="316" spans="2:9" x14ac:dyDescent="0.3">
      <c r="B316" s="7" t="s">
        <v>1934</v>
      </c>
      <c r="C316" s="7">
        <v>367.2</v>
      </c>
      <c r="E316" s="310">
        <f t="shared" si="18"/>
        <v>221221.33453467055</v>
      </c>
      <c r="G316" s="6">
        <f>SUMIF('Depr_New Rates'!$F$257:$F$377,C316,'Depr_New Rates'!$G$257:$G$377)</f>
        <v>221221.33453467055</v>
      </c>
      <c r="I316" s="6">
        <f>SUMIF('TY Capital Adds'!$N$6:$N$30,C316,'TY Capital Adds'!$M$6:$M$30)</f>
        <v>0</v>
      </c>
    </row>
    <row r="317" spans="2:9" x14ac:dyDescent="0.3">
      <c r="B317" s="7" t="s">
        <v>24</v>
      </c>
      <c r="C317" s="7">
        <v>368</v>
      </c>
      <c r="E317" s="310">
        <f t="shared" si="18"/>
        <v>0</v>
      </c>
      <c r="G317" s="6">
        <f>SUMIF('Depr_New Rates'!$F$257:$F$377,C317,'Depr_New Rates'!$G$257:$G$377)</f>
        <v>0</v>
      </c>
      <c r="I317" s="6">
        <f>SUMIF('TY Capital Adds'!$N$6:$N$30,C317,'TY Capital Adds'!$M$6:$M$30)</f>
        <v>0</v>
      </c>
    </row>
    <row r="318" spans="2:9" x14ac:dyDescent="0.3">
      <c r="B318" s="7" t="s">
        <v>25</v>
      </c>
      <c r="C318" s="7">
        <v>369</v>
      </c>
      <c r="E318" s="310">
        <f t="shared" si="18"/>
        <v>0</v>
      </c>
      <c r="G318" s="6">
        <f>SUMIF('Depr_New Rates'!$F$257:$F$377,C318,'Depr_New Rates'!$G$257:$G$377)</f>
        <v>0</v>
      </c>
      <c r="I318" s="6">
        <f>SUMIF('TY Capital Adds'!$N$6:$N$30,C318,'TY Capital Adds'!$M$6:$M$30)</f>
        <v>0</v>
      </c>
    </row>
    <row r="319" spans="2:9" x14ac:dyDescent="0.3">
      <c r="B319" s="7" t="s">
        <v>26</v>
      </c>
      <c r="E319" s="624">
        <f>SUM(E313:E318)</f>
        <v>349900.53049193718</v>
      </c>
      <c r="G319" s="624">
        <f>SUM(G313:G318)</f>
        <v>242181.55940733719</v>
      </c>
    </row>
    <row r="320" spans="2:9" x14ac:dyDescent="0.3">
      <c r="G320" s="168"/>
    </row>
    <row r="321" spans="2:9" x14ac:dyDescent="0.3">
      <c r="B321" s="7" t="s">
        <v>27</v>
      </c>
      <c r="G321" s="168"/>
    </row>
    <row r="322" spans="2:9" x14ac:dyDescent="0.3">
      <c r="B322" s="7" t="s">
        <v>28</v>
      </c>
      <c r="C322" s="7">
        <v>374.1</v>
      </c>
      <c r="E322" s="310">
        <f t="shared" ref="E322:E335" si="19">SUM(G322:I322)</f>
        <v>0</v>
      </c>
      <c r="G322" s="6">
        <f>SUMIF('Depr_New Rates'!$F$257:$F$377,C322,'Depr_New Rates'!$G$257:$G$377)</f>
        <v>0</v>
      </c>
      <c r="I322" s="6">
        <f>SUMIF('TY Capital Adds'!$N$6:$N$30,C322,'TY Capital Adds'!$M$6:$M$30)</f>
        <v>0</v>
      </c>
    </row>
    <row r="323" spans="2:9" x14ac:dyDescent="0.3">
      <c r="B323" s="7" t="s">
        <v>29</v>
      </c>
      <c r="C323" s="7">
        <v>374.2</v>
      </c>
      <c r="E323" s="310">
        <f t="shared" si="19"/>
        <v>155.00240000000002</v>
      </c>
      <c r="G323" s="6">
        <f>SUMIF('Depr_New Rates'!$F$257:$F$377,C323,'Depr_New Rates'!$G$257:$G$377)</f>
        <v>155.00240000000002</v>
      </c>
      <c r="I323" s="6">
        <f>SUMIF('TY Capital Adds'!$N$6:$N$30,C323,'TY Capital Adds'!$M$6:$M$30)</f>
        <v>0</v>
      </c>
    </row>
    <row r="324" spans="2:9" x14ac:dyDescent="0.3">
      <c r="B324" s="7" t="s">
        <v>15</v>
      </c>
      <c r="C324" s="7">
        <v>375</v>
      </c>
      <c r="E324" s="310">
        <f t="shared" si="19"/>
        <v>0</v>
      </c>
      <c r="G324" s="6">
        <f>SUMIF('Depr_New Rates'!$F$257:$F$377,C324,'Depr_New Rates'!$G$257:$G$377)</f>
        <v>0</v>
      </c>
      <c r="I324" s="6">
        <f>SUMIF('TY Capital Adds'!$N$6:$N$30,C324,'TY Capital Adds'!$M$6:$M$30)</f>
        <v>0</v>
      </c>
    </row>
    <row r="325" spans="2:9" x14ac:dyDescent="0.3">
      <c r="B325" s="7" t="s">
        <v>30</v>
      </c>
      <c r="C325" s="7">
        <v>376.11</v>
      </c>
      <c r="E325" s="310">
        <f t="shared" si="19"/>
        <v>2079451.4767104241</v>
      </c>
      <c r="G325" s="6">
        <f>SUMIF('Depr_New Rates'!$F$257:$F$377,C325,'Depr_New Rates'!$G$257:$G$377)</f>
        <v>2065866.8474935002</v>
      </c>
      <c r="I325" s="6">
        <f>SUMIF('TY Capital Adds'!$N$6:$N$30,C325,'TY Capital Adds'!$M$6:$M$30)</f>
        <v>13584.62921692389</v>
      </c>
    </row>
    <row r="326" spans="2:9" x14ac:dyDescent="0.3">
      <c r="B326" s="7" t="s">
        <v>31</v>
      </c>
      <c r="C326" s="7">
        <v>376.12</v>
      </c>
      <c r="E326" s="310">
        <f t="shared" si="19"/>
        <v>2059791.2083127326</v>
      </c>
      <c r="G326" s="6">
        <f>SUMIF('Depr_New Rates'!$F$257:$F$377,C326,'Depr_New Rates'!$G$257:$G$377)</f>
        <v>2044152.4090063327</v>
      </c>
      <c r="I326" s="6">
        <f>SUMIF('TY Capital Adds'!$N$6:$N$30,C326,'TY Capital Adds'!$M$6:$M$30)</f>
        <v>15638.799306400002</v>
      </c>
    </row>
    <row r="327" spans="2:9" x14ac:dyDescent="0.3">
      <c r="B327" s="7" t="s">
        <v>32</v>
      </c>
      <c r="C327" s="7">
        <v>378</v>
      </c>
      <c r="E327" s="310">
        <f t="shared" si="19"/>
        <v>58414.016871666681</v>
      </c>
      <c r="G327" s="6">
        <f>SUMIF('Depr_New Rates'!$F$257:$F$377,C327,'Depr_New Rates'!$G$257:$G$377)</f>
        <v>58414.016871666681</v>
      </c>
      <c r="I327" s="6">
        <f>SUMIF('TY Capital Adds'!$N$6:$N$30,C327,'TY Capital Adds'!$M$6:$M$30)</f>
        <v>0</v>
      </c>
    </row>
    <row r="328" spans="2:9" x14ac:dyDescent="0.3">
      <c r="B328" s="7" t="s">
        <v>33</v>
      </c>
      <c r="C328" s="7">
        <v>379</v>
      </c>
      <c r="E328" s="310">
        <f t="shared" si="19"/>
        <v>26961.585409333336</v>
      </c>
      <c r="G328" s="6">
        <f>SUMIF('Depr_New Rates'!$F$257:$F$377,C328,'Depr_New Rates'!$G$257:$G$377)</f>
        <v>26961.585409333336</v>
      </c>
      <c r="I328" s="6">
        <f>SUMIF('TY Capital Adds'!$N$6:$N$30,C328,'TY Capital Adds'!$M$6:$M$30)</f>
        <v>0</v>
      </c>
    </row>
    <row r="329" spans="2:9" x14ac:dyDescent="0.3">
      <c r="B329" s="7" t="s">
        <v>34</v>
      </c>
      <c r="C329" s="7">
        <v>380</v>
      </c>
      <c r="E329" s="310">
        <f t="shared" si="19"/>
        <v>2057387.7904868748</v>
      </c>
      <c r="G329" s="6">
        <f>SUMIF('Depr_New Rates'!$F$257:$F$377,C329,'Depr_New Rates'!$G$257:$G$377)</f>
        <v>2057387.7904868748</v>
      </c>
      <c r="I329" s="6">
        <f>SUMIF('TY Capital Adds'!$N$6:$N$30,C329,'TY Capital Adds'!$M$6:$M$30)</f>
        <v>0</v>
      </c>
    </row>
    <row r="330" spans="2:9" x14ac:dyDescent="0.3">
      <c r="B330" s="7" t="s">
        <v>35</v>
      </c>
      <c r="C330" s="7">
        <v>381</v>
      </c>
      <c r="E330" s="310">
        <f t="shared" si="19"/>
        <v>241461.86934954175</v>
      </c>
      <c r="G330" s="6">
        <f>SUMIF('Depr_New Rates'!$F$257:$F$377,C330,'Depr_New Rates'!$G$257:$G$377)</f>
        <v>241461.86934954175</v>
      </c>
      <c r="I330" s="6">
        <f>SUMIF('TY Capital Adds'!$N$6:$N$30,C330,'TY Capital Adds'!$M$6:$M$30)</f>
        <v>0</v>
      </c>
    </row>
    <row r="331" spans="2:9" x14ac:dyDescent="0.3">
      <c r="B331" s="7" t="s">
        <v>36</v>
      </c>
      <c r="C331" s="7">
        <v>381.2</v>
      </c>
      <c r="E331" s="310">
        <f t="shared" si="19"/>
        <v>399774.65562937496</v>
      </c>
      <c r="G331" s="6">
        <f>SUMIF('Depr_New Rates'!$F$257:$F$377,C331,'Depr_New Rates'!$G$257:$G$377)</f>
        <v>399774.65562937496</v>
      </c>
      <c r="I331" s="6">
        <f>SUMIF('TY Capital Adds'!$N$6:$N$30,C331,'TY Capital Adds'!$M$6:$M$30)</f>
        <v>0</v>
      </c>
    </row>
    <row r="332" spans="2:9" x14ac:dyDescent="0.3">
      <c r="B332" s="7" t="s">
        <v>37</v>
      </c>
      <c r="C332" s="7">
        <v>382</v>
      </c>
      <c r="E332" s="310">
        <f t="shared" si="19"/>
        <v>301169.28634650004</v>
      </c>
      <c r="G332" s="6">
        <f>SUMIF('Depr_New Rates'!$F$257:$F$377,C332,'Depr_New Rates'!$G$257:$G$377)</f>
        <v>301169.28634650004</v>
      </c>
      <c r="I332" s="6">
        <f>SUMIF('TY Capital Adds'!$N$6:$N$30,C332,'TY Capital Adds'!$M$6:$M$30)</f>
        <v>0</v>
      </c>
    </row>
    <row r="333" spans="2:9" x14ac:dyDescent="0.3">
      <c r="B333" s="7" t="s">
        <v>38</v>
      </c>
      <c r="C333" s="7">
        <v>382.2</v>
      </c>
      <c r="E333" s="310">
        <f t="shared" si="19"/>
        <v>36346.663892500015</v>
      </c>
      <c r="G333" s="6">
        <f>SUMIF('Depr_New Rates'!$F$257:$F$377,C333,'Depr_New Rates'!$G$257:$G$377)</f>
        <v>36346.663892500015</v>
      </c>
      <c r="I333" s="6">
        <f>SUMIF('TY Capital Adds'!$N$6:$N$30,C333,'TY Capital Adds'!$M$6:$M$30)</f>
        <v>0</v>
      </c>
    </row>
    <row r="334" spans="2:9" x14ac:dyDescent="0.3">
      <c r="B334" s="7" t="s">
        <v>39</v>
      </c>
      <c r="C334" s="7">
        <v>383</v>
      </c>
      <c r="E334" s="310">
        <f t="shared" si="19"/>
        <v>2882.8245310000002</v>
      </c>
      <c r="G334" s="6">
        <f>SUMIF('Depr_New Rates'!$F$257:$F$377,C334,'Depr_New Rates'!$G$257:$G$377)</f>
        <v>2882.8245310000002</v>
      </c>
      <c r="I334" s="6">
        <f>SUMIF('TY Capital Adds'!$N$6:$N$30,C334,'TY Capital Adds'!$M$6:$M$30)</f>
        <v>0</v>
      </c>
    </row>
    <row r="335" spans="2:9" x14ac:dyDescent="0.3">
      <c r="B335" s="7" t="s">
        <v>40</v>
      </c>
      <c r="C335" s="7">
        <v>387.2</v>
      </c>
      <c r="E335" s="310">
        <f t="shared" si="19"/>
        <v>0</v>
      </c>
      <c r="G335" s="6">
        <f>SUMIF('Depr_New Rates'!$F$257:$F$377,C335,'Depr_New Rates'!$G$257:$G$377)</f>
        <v>0</v>
      </c>
      <c r="I335" s="6">
        <f>SUMIF('TY Capital Adds'!$N$6:$N$30,C335,'TY Capital Adds'!$M$6:$M$30)</f>
        <v>0</v>
      </c>
    </row>
    <row r="336" spans="2:9" x14ac:dyDescent="0.3">
      <c r="B336" s="7" t="s">
        <v>41</v>
      </c>
      <c r="E336" s="624">
        <f>SUM(E322:E335)</f>
        <v>7263796.3799399482</v>
      </c>
      <c r="G336" s="624">
        <f>SUM(G322:G335)</f>
        <v>7234572.9514166247</v>
      </c>
    </row>
    <row r="337" spans="2:9" x14ac:dyDescent="0.3">
      <c r="G337" s="168"/>
    </row>
    <row r="338" spans="2:9" x14ac:dyDescent="0.3">
      <c r="B338" s="7" t="s">
        <v>42</v>
      </c>
      <c r="G338" s="168"/>
    </row>
    <row r="339" spans="2:9" x14ac:dyDescent="0.3">
      <c r="B339" s="7" t="s">
        <v>28</v>
      </c>
      <c r="C339" s="7">
        <v>389</v>
      </c>
      <c r="E339" s="310">
        <f t="shared" ref="E339:E352" si="20">SUM(G339:I339)</f>
        <v>0</v>
      </c>
      <c r="G339" s="6">
        <f>SUMIF('Depr_New Rates'!$F$257:$F$377,C339,'Depr_New Rates'!$G$257:$G$377)</f>
        <v>0</v>
      </c>
      <c r="I339" s="6">
        <f>SUMIF('TY Capital Adds'!$N$6:$N$30,C339,'TY Capital Adds'!$M$6:$M$30)</f>
        <v>0</v>
      </c>
    </row>
    <row r="340" spans="2:9" x14ac:dyDescent="0.3">
      <c r="B340" s="7" t="s">
        <v>15</v>
      </c>
      <c r="C340" s="7">
        <v>390</v>
      </c>
      <c r="E340" s="310">
        <f t="shared" si="20"/>
        <v>260613.01726528187</v>
      </c>
      <c r="G340" s="6">
        <f>SUMIF('Depr_New Rates'!$F$257:$F$377,C340,'Depr_New Rates'!$G$257:$G$377)</f>
        <v>250739.65957157197</v>
      </c>
      <c r="I340" s="6">
        <f>SUMIF('TY Capital Adds'!$N$6:$N$30,C340,'TY Capital Adds'!$M$6:$M$30)</f>
        <v>9873.3576937098987</v>
      </c>
    </row>
    <row r="341" spans="2:9" x14ac:dyDescent="0.3">
      <c r="B341" s="7" t="s">
        <v>422</v>
      </c>
      <c r="C341" s="7">
        <v>390.1</v>
      </c>
      <c r="E341" s="310">
        <f t="shared" si="20"/>
        <v>46441.928025728754</v>
      </c>
      <c r="G341" s="6">
        <f>SUMIF('Depr_New Rates'!$F$257:$F$377,C341,'Depr_New Rates'!$G$257:$G$377)</f>
        <v>46441.928025728754</v>
      </c>
      <c r="I341" s="6">
        <f>SUMIF('TY Capital Adds'!$N$6:$N$30,C341,'TY Capital Adds'!$M$6:$M$30)</f>
        <v>0</v>
      </c>
    </row>
    <row r="342" spans="2:9" x14ac:dyDescent="0.3">
      <c r="B342" s="7" t="s">
        <v>43</v>
      </c>
      <c r="C342" s="7">
        <v>391.1</v>
      </c>
      <c r="E342" s="310">
        <f t="shared" si="20"/>
        <v>43352.013484433359</v>
      </c>
      <c r="G342" s="6">
        <f>SUMIF('Depr_New Rates'!$F$257:$F$377,C342,'Depr_New Rates'!$G$257:$G$377)</f>
        <v>43352.013484433359</v>
      </c>
      <c r="I342" s="6">
        <f>SUMIF('TY Capital Adds'!$N$6:$N$30,C342,'TY Capital Adds'!$M$6:$M$30)</f>
        <v>0</v>
      </c>
    </row>
    <row r="343" spans="2:9" x14ac:dyDescent="0.3">
      <c r="B343" s="7" t="s">
        <v>1921</v>
      </c>
      <c r="C343" s="7">
        <v>391.2</v>
      </c>
      <c r="E343" s="310">
        <f t="shared" si="20"/>
        <v>516822.76814581698</v>
      </c>
      <c r="G343" s="6">
        <f>SUMIF('Depr_New Rates'!$F$257:$F$377,C343,'Depr_New Rates'!$G$257:$G$377)</f>
        <v>489496.44794581697</v>
      </c>
      <c r="I343" s="6">
        <f>SUMIF('TY Capital Adds'!$N$6:$N$30,C343,'TY Capital Adds'!$M$6:$M$30)</f>
        <v>27326.320200000013</v>
      </c>
    </row>
    <row r="344" spans="2:9" x14ac:dyDescent="0.3">
      <c r="B344" s="7" t="s">
        <v>44</v>
      </c>
      <c r="C344" s="7">
        <v>392</v>
      </c>
      <c r="E344" s="310">
        <f t="shared" si="20"/>
        <v>0</v>
      </c>
      <c r="G344" s="6">
        <f>SUMIF('Depr_New Rates'!$F$257:$F$377,C344,'Depr_New Rates'!$G$257:$G$377)</f>
        <v>0</v>
      </c>
      <c r="I344" s="6">
        <f>SUMIF('TY Capital Adds'!$N$6:$N$30,C344,'TY Capital Adds'!$M$6:$M$30)</f>
        <v>0</v>
      </c>
    </row>
    <row r="345" spans="2:9" x14ac:dyDescent="0.3">
      <c r="B345" s="7" t="s">
        <v>1925</v>
      </c>
      <c r="C345" s="7">
        <v>393</v>
      </c>
      <c r="E345" s="310">
        <f t="shared" si="20"/>
        <v>0</v>
      </c>
      <c r="G345" s="6">
        <f>SUMIF('Depr_New Rates'!$F$257:$F$377,C345,'Depr_New Rates'!$G$257:$G$377)</f>
        <v>0</v>
      </c>
      <c r="I345" s="6">
        <f>SUMIF('TY Capital Adds'!$N$6:$N$30,C345,'TY Capital Adds'!$M$6:$M$30)</f>
        <v>0</v>
      </c>
    </row>
    <row r="346" spans="2:9" x14ac:dyDescent="0.3">
      <c r="B346" s="7" t="s">
        <v>45</v>
      </c>
      <c r="C346" s="7">
        <v>394</v>
      </c>
      <c r="E346" s="310">
        <f t="shared" si="20"/>
        <v>54494.37975237496</v>
      </c>
      <c r="G346" s="6">
        <f>SUMIF('Depr_New Rates'!$F$257:$F$377,C346,'Depr_New Rates'!$G$257:$G$377)</f>
        <v>54494.37975237496</v>
      </c>
      <c r="I346" s="6">
        <f>SUMIF('TY Capital Adds'!$N$6:$N$30,C346,'TY Capital Adds'!$M$6:$M$30)</f>
        <v>0</v>
      </c>
    </row>
    <row r="347" spans="2:9" x14ac:dyDescent="0.3">
      <c r="B347" s="7" t="s">
        <v>1924</v>
      </c>
      <c r="C347" s="7">
        <v>395</v>
      </c>
      <c r="E347" s="310">
        <f t="shared" si="20"/>
        <v>0</v>
      </c>
      <c r="G347" s="6">
        <f>SUMIF('Depr_New Rates'!$F$257:$F$377,C347,'Depr_New Rates'!$G$257:$G$377)</f>
        <v>0</v>
      </c>
      <c r="I347" s="6">
        <f>SUMIF('TY Capital Adds'!$N$6:$N$30,C347,'TY Capital Adds'!$M$6:$M$30)</f>
        <v>0</v>
      </c>
    </row>
    <row r="348" spans="2:9" x14ac:dyDescent="0.3">
      <c r="B348" s="7" t="s">
        <v>46</v>
      </c>
      <c r="C348" s="7">
        <v>396</v>
      </c>
      <c r="E348" s="310">
        <f t="shared" si="20"/>
        <v>0</v>
      </c>
      <c r="G348" s="6">
        <f>SUMIF('Depr_New Rates'!$F$257:$F$377,C348,'Depr_New Rates'!$G$257:$G$377)</f>
        <v>0</v>
      </c>
      <c r="I348" s="6">
        <f>SUMIF('TY Capital Adds'!$N$6:$N$30,C348,'TY Capital Adds'!$M$6:$M$30)</f>
        <v>0</v>
      </c>
    </row>
    <row r="349" spans="2:9" x14ac:dyDescent="0.3">
      <c r="B349" s="7" t="s">
        <v>1923</v>
      </c>
      <c r="C349" s="7">
        <v>397</v>
      </c>
      <c r="E349" s="310">
        <f t="shared" si="20"/>
        <v>88103.658503231913</v>
      </c>
      <c r="G349" s="6">
        <f>SUMIF('Depr_New Rates'!$F$257:$F$377,C349,'Depr_New Rates'!$G$257:$G$377)</f>
        <v>24202.115182039037</v>
      </c>
      <c r="I349" s="6">
        <f>SUMIF('TY Capital Adds'!$N$6:$N$30,C349,'TY Capital Adds'!$M$6:$M$30)</f>
        <v>63901.543321192876</v>
      </c>
    </row>
    <row r="350" spans="2:9" x14ac:dyDescent="0.3">
      <c r="B350" s="7" t="s">
        <v>2346</v>
      </c>
      <c r="C350" s="7">
        <v>397.3</v>
      </c>
      <c r="E350" s="310">
        <f t="shared" ref="E350:E351" si="21">SUM(G350:I350)</f>
        <v>14386.006138887466</v>
      </c>
      <c r="G350" s="6">
        <f>SUMIF('Depr_New Rates'!$F$257:$F$377,C350,'Depr_New Rates'!$G$257:$G$377)</f>
        <v>14386.006138887466</v>
      </c>
      <c r="I350" s="6">
        <f>SUMIF('TY Capital Adds'!$N$6:$N$30,C350,'TY Capital Adds'!$M$6:$M$30)</f>
        <v>0</v>
      </c>
    </row>
    <row r="351" spans="2:9" x14ac:dyDescent="0.3">
      <c r="B351" s="7" t="s">
        <v>1920</v>
      </c>
      <c r="C351" s="7">
        <v>398</v>
      </c>
      <c r="E351" s="310">
        <f t="shared" si="21"/>
        <v>95.799510750799982</v>
      </c>
      <c r="G351" s="6">
        <f>SUMIF('Depr_New Rates'!$F$257:$F$377,C351,'Depr_New Rates'!$G$257:$G$377)</f>
        <v>95.799510750799982</v>
      </c>
      <c r="I351" s="6">
        <f>SUMIF('TY Capital Adds'!$N$6:$N$30,C351,'TY Capital Adds'!$M$6:$M$30)</f>
        <v>0</v>
      </c>
    </row>
    <row r="352" spans="2:9" x14ac:dyDescent="0.3">
      <c r="B352" s="7" t="s">
        <v>420</v>
      </c>
      <c r="E352" s="310">
        <f t="shared" si="20"/>
        <v>0</v>
      </c>
      <c r="G352" s="6">
        <f>SUMIF('Depr_New Rates'!$F$257:$F$377,C352,'Depr_New Rates'!$G$257:$G$377)</f>
        <v>0</v>
      </c>
      <c r="I352" s="6">
        <f>SUMIF('TY Capital Adds'!$N$6:$N$30,C352,'TY Capital Adds'!$M$6:$M$30)</f>
        <v>0</v>
      </c>
    </row>
    <row r="353" spans="1:10" x14ac:dyDescent="0.3">
      <c r="B353" s="7" t="s">
        <v>47</v>
      </c>
      <c r="E353" s="624">
        <f>SUM(E339:E352)</f>
        <v>1024309.5708265061</v>
      </c>
      <c r="G353" s="624">
        <f>SUM(G339:G352)</f>
        <v>923208.34961160331</v>
      </c>
    </row>
    <row r="354" spans="1:10" x14ac:dyDescent="0.3">
      <c r="G354" s="168">
        <f>SUM(G356,G353,G336,G319,G310,G298,G287)</f>
        <v>9264867.2948301304</v>
      </c>
      <c r="H354" s="638"/>
      <c r="I354" s="152">
        <f>SUM(I281:I352)</f>
        <v>298683.79668370169</v>
      </c>
      <c r="J354" s="638"/>
    </row>
    <row r="355" spans="1:10" x14ac:dyDescent="0.3">
      <c r="B355" s="7" t="s">
        <v>122</v>
      </c>
    </row>
    <row r="356" spans="1:10" x14ac:dyDescent="0.3">
      <c r="B356" s="7" t="s">
        <v>122</v>
      </c>
      <c r="E356" s="168">
        <v>0</v>
      </c>
    </row>
    <row r="358" spans="1:10" x14ac:dyDescent="0.3">
      <c r="B358" s="7" t="s">
        <v>121</v>
      </c>
      <c r="E358" s="168">
        <f>SUM(E356,E353,E336,E319,E310,E298,E287)</f>
        <v>9563551.091513833</v>
      </c>
      <c r="F358" s="638"/>
      <c r="G358" s="633"/>
    </row>
    <row r="360" spans="1:10" x14ac:dyDescent="0.3">
      <c r="A360" s="7" t="s">
        <v>123</v>
      </c>
      <c r="B360" s="7" t="s">
        <v>124</v>
      </c>
    </row>
    <row r="362" spans="1:10" x14ac:dyDescent="0.3">
      <c r="B362" s="7" t="s">
        <v>125</v>
      </c>
    </row>
    <row r="363" spans="1:10" x14ac:dyDescent="0.3">
      <c r="B363" s="7" t="s">
        <v>243</v>
      </c>
      <c r="E363" s="6">
        <f>'Rev Req'!E27</f>
        <v>1496634.19</v>
      </c>
      <c r="F363" s="7"/>
    </row>
    <row r="364" spans="1:10" x14ac:dyDescent="0.3">
      <c r="B364" s="7" t="s">
        <v>244</v>
      </c>
      <c r="E364" s="152">
        <f>SUM(G364:I364)</f>
        <v>2706127.6647595419</v>
      </c>
      <c r="F364" s="7"/>
      <c r="G364" s="6">
        <f>'WP - Other Rev &amp; Tax'!E22</f>
        <v>2759453.359045567</v>
      </c>
      <c r="H364" s="300">
        <f>'Adjust Issues'!M29</f>
        <v>-53325.694286025246</v>
      </c>
      <c r="I364" s="300"/>
    </row>
    <row r="365" spans="1:10" x14ac:dyDescent="0.3">
      <c r="B365" s="7" t="s">
        <v>245</v>
      </c>
      <c r="E365" s="152">
        <f>SUM(G365:I365)</f>
        <v>708216.38361970743</v>
      </c>
      <c r="F365" s="7"/>
      <c r="G365" s="6">
        <f>'WP - Other Rev &amp; Tax'!E23</f>
        <v>667005.90507000021</v>
      </c>
      <c r="H365" s="300">
        <f>'Adjust Issues'!U29</f>
        <v>41210.47854970723</v>
      </c>
    </row>
    <row r="366" spans="1:10" x14ac:dyDescent="0.3">
      <c r="B366" s="7" t="s">
        <v>246</v>
      </c>
      <c r="E366" s="6">
        <f>'WP - Other Rev &amp; Tax'!E24</f>
        <v>147229.99</v>
      </c>
      <c r="F366" s="7"/>
    </row>
    <row r="367" spans="1:10" x14ac:dyDescent="0.3">
      <c r="B367" s="7" t="s">
        <v>247</v>
      </c>
      <c r="E367" s="6">
        <f>'WP - Other Rev &amp; Tax'!E27</f>
        <v>113632.75245</v>
      </c>
    </row>
    <row r="368" spans="1:10" x14ac:dyDescent="0.3">
      <c r="B368" s="7" t="s">
        <v>126</v>
      </c>
      <c r="E368" s="624">
        <f>SUM(E363:E367)</f>
        <v>5171840.9808292491</v>
      </c>
    </row>
    <row r="370" spans="1:7" x14ac:dyDescent="0.3">
      <c r="B370" s="7" t="s">
        <v>127</v>
      </c>
    </row>
    <row r="371" spans="1:7" x14ac:dyDescent="0.3">
      <c r="B371" s="7" t="s">
        <v>128</v>
      </c>
      <c r="E371" s="6">
        <f>'Rev Req'!E26</f>
        <v>1074020.4737849478</v>
      </c>
    </row>
    <row r="372" spans="1:7" x14ac:dyDescent="0.3">
      <c r="B372" s="7" t="s">
        <v>129</v>
      </c>
    </row>
    <row r="373" spans="1:7" x14ac:dyDescent="0.3">
      <c r="B373" s="7" t="s">
        <v>130</v>
      </c>
    </row>
    <row r="374" spans="1:7" x14ac:dyDescent="0.3">
      <c r="B374" s="7" t="s">
        <v>131</v>
      </c>
    </row>
    <row r="375" spans="1:7" x14ac:dyDescent="0.3">
      <c r="B375" s="7" t="s">
        <v>132</v>
      </c>
      <c r="E375" s="624">
        <f>SUM(E371:E374)</f>
        <v>1074020.4737849478</v>
      </c>
    </row>
    <row r="377" spans="1:7" x14ac:dyDescent="0.3">
      <c r="B377" s="7" t="s">
        <v>133</v>
      </c>
      <c r="E377" s="168">
        <f>SUM(E375,E368)</f>
        <v>6245861.4546141969</v>
      </c>
    </row>
    <row r="378" spans="1:7" x14ac:dyDescent="0.3">
      <c r="B378" s="106"/>
      <c r="E378" s="639">
        <f>E377+E358+E277</f>
        <v>33943361.896351032</v>
      </c>
      <c r="F378" s="629"/>
      <c r="G378" s="629"/>
    </row>
    <row r="379" spans="1:7" x14ac:dyDescent="0.3">
      <c r="A379" s="7" t="s">
        <v>134</v>
      </c>
      <c r="B379" s="7" t="s">
        <v>135</v>
      </c>
    </row>
    <row r="381" spans="1:7" x14ac:dyDescent="0.3">
      <c r="B381" s="7" t="s">
        <v>2311</v>
      </c>
      <c r="E381" s="6">
        <f>'Revenue &amp; Gas Cost'!I37-E382</f>
        <v>41397485.315276787</v>
      </c>
    </row>
    <row r="382" spans="1:7" x14ac:dyDescent="0.3">
      <c r="B382" s="7" t="s">
        <v>2389</v>
      </c>
      <c r="E382" s="6">
        <f>'Monthly Margin'!AB10</f>
        <v>239628.12539002372</v>
      </c>
    </row>
    <row r="383" spans="1:7" x14ac:dyDescent="0.3">
      <c r="B383" s="7" t="s">
        <v>248</v>
      </c>
      <c r="E383" s="6">
        <f>SUM('Misc Rev Adjs'!D19,'Misc Rev Adjs'!D22:D25,'Misc Rev Adjs'!D27)</f>
        <v>54400</v>
      </c>
    </row>
    <row r="384" spans="1:7" x14ac:dyDescent="0.3">
      <c r="B384" s="7" t="s">
        <v>2249</v>
      </c>
      <c r="E384" s="6">
        <f>'Misc Rev Adjs'!D17</f>
        <v>90177.136666666673</v>
      </c>
    </row>
    <row r="385" spans="1:7" x14ac:dyDescent="0.3">
      <c r="B385" s="7" t="s">
        <v>250</v>
      </c>
      <c r="E385" s="6">
        <f>'Misc Rev Adjs'!D18</f>
        <v>5950.833333333333</v>
      </c>
    </row>
    <row r="386" spans="1:7" x14ac:dyDescent="0.3">
      <c r="B386" s="7" t="s">
        <v>251</v>
      </c>
      <c r="E386" s="6">
        <f>'Misc Rev Adjs'!D26</f>
        <v>11657.5</v>
      </c>
    </row>
    <row r="387" spans="1:7" x14ac:dyDescent="0.3">
      <c r="B387" s="7" t="s">
        <v>252</v>
      </c>
      <c r="E387" s="6">
        <f>'Misc Rev Adjs'!D20</f>
        <v>33220</v>
      </c>
    </row>
    <row r="388" spans="1:7" x14ac:dyDescent="0.3">
      <c r="B388" s="7" t="s">
        <v>253</v>
      </c>
      <c r="E388" s="6">
        <f>'Misc Rev Adjs'!D29</f>
        <v>19364.513333333332</v>
      </c>
    </row>
    <row r="389" spans="1:7" x14ac:dyDescent="0.3">
      <c r="B389" s="7" t="s">
        <v>254</v>
      </c>
      <c r="E389" s="6">
        <f>'Misc Rev Adjs'!D31</f>
        <v>21689.164049999996</v>
      </c>
    </row>
    <row r="390" spans="1:7" x14ac:dyDescent="0.3">
      <c r="B390" s="7" t="s">
        <v>255</v>
      </c>
      <c r="E390" s="6">
        <f>SUM('Misc Rev Adjs'!D21,'Misc Rev Adjs'!D28,'Misc Rev Adjs'!D30)</f>
        <v>2745.2133333333331</v>
      </c>
      <c r="F390" s="640"/>
    </row>
    <row r="391" spans="1:7" x14ac:dyDescent="0.3">
      <c r="B391" s="7" t="s">
        <v>136</v>
      </c>
      <c r="E391" s="624">
        <f>SUM(E381:E390)</f>
        <v>41876317.801383473</v>
      </c>
    </row>
    <row r="393" spans="1:7" x14ac:dyDescent="0.3">
      <c r="B393" s="7" t="s">
        <v>137</v>
      </c>
      <c r="E393" s="168">
        <f>SUM(E391)</f>
        <v>41876317.801383473</v>
      </c>
      <c r="F393" s="637"/>
      <c r="G393" s="623"/>
    </row>
    <row r="394" spans="1:7" x14ac:dyDescent="0.3">
      <c r="F394" s="641"/>
      <c r="G394" s="623"/>
    </row>
    <row r="395" spans="1:7" x14ac:dyDescent="0.3">
      <c r="B395" s="7" t="s">
        <v>138</v>
      </c>
      <c r="E395" s="168">
        <f>E393-E377-E358-E276-E261-E234</f>
        <v>7932955.9050324345</v>
      </c>
      <c r="F395" s="632">
        <f>'Rev Req'!E33</f>
        <v>7932955.9050324485</v>
      </c>
      <c r="G395" s="623">
        <f>F395-E395</f>
        <v>1.3969838619232178E-8</v>
      </c>
    </row>
    <row r="397" spans="1:7" x14ac:dyDescent="0.3">
      <c r="A397" s="7" t="s">
        <v>2347</v>
      </c>
      <c r="B397" s="7" t="s">
        <v>139</v>
      </c>
    </row>
    <row r="399" spans="1:7" x14ac:dyDescent="0.3">
      <c r="B399" s="7" t="s">
        <v>150</v>
      </c>
    </row>
    <row r="400" spans="1:7" x14ac:dyDescent="0.3">
      <c r="B400" s="7" t="s">
        <v>63</v>
      </c>
      <c r="C400" s="7">
        <v>816</v>
      </c>
      <c r="E400" s="310">
        <f>SUM(G400:I400)</f>
        <v>38.731139999999996</v>
      </c>
      <c r="F400" s="642">
        <f>E400/SUMIF($C$182:$C$273,C400,$E$182:$E$273)</f>
        <v>1.2739322848611301E-3</v>
      </c>
      <c r="G400" s="6">
        <f>SUMIF(Labor!$K$6:$K$43,C400,Labor!$L$6:$L$43)</f>
        <v>38.731139999999996</v>
      </c>
    </row>
    <row r="401" spans="2:7" x14ac:dyDescent="0.3">
      <c r="B401" s="7" t="s">
        <v>64</v>
      </c>
      <c r="C401" s="7">
        <v>818</v>
      </c>
      <c r="E401" s="310">
        <f>SUM(G401:I401)</f>
        <v>1756.1711699999996</v>
      </c>
      <c r="F401" s="642">
        <f>E401/SUMIF($C$182:$C$273,C401,$E$182:$E$273)</f>
        <v>0.23062927430499636</v>
      </c>
      <c r="G401" s="6">
        <f>SUMIF(Labor!$K$6:$K$43,C401,Labor!$L$6:$L$43)</f>
        <v>1756.1711699999996</v>
      </c>
    </row>
    <row r="402" spans="2:7" x14ac:dyDescent="0.3">
      <c r="B402" s="7" t="s">
        <v>65</v>
      </c>
      <c r="C402" s="7">
        <v>820</v>
      </c>
      <c r="E402" s="310">
        <f>SUM(G402:I402)-E403</f>
        <v>187209.32500000001</v>
      </c>
      <c r="F402" s="642">
        <f>E402/SUMIF($C$182:$C$273,C402,$E$182:$E$273)</f>
        <v>0.69438602237908376</v>
      </c>
      <c r="G402" s="6">
        <f>SUMIF(Labor!$K$6:$K$43,C402,Labor!$L$6:$L$43)</f>
        <v>189887.64077200001</v>
      </c>
    </row>
    <row r="403" spans="2:7" x14ac:dyDescent="0.3">
      <c r="B403" s="106" t="str">
        <f>B402&amp;" - Direct"</f>
        <v>Meas/Reg Station Expenses - Direct</v>
      </c>
      <c r="C403" s="634" t="str">
        <f>C402&amp;"-D"</f>
        <v>820-D</v>
      </c>
      <c r="E403" s="6">
        <f>'Direct Assign'!C34</f>
        <v>2678.3157720000004</v>
      </c>
      <c r="F403" s="642">
        <f>E403/SUMIF($C$182:$C$273,C403,$E$182:$E$273)</f>
        <v>1</v>
      </c>
      <c r="G403" s="6"/>
    </row>
    <row r="404" spans="2:7" x14ac:dyDescent="0.3">
      <c r="B404" s="7" t="s">
        <v>158</v>
      </c>
      <c r="C404" s="7">
        <v>821</v>
      </c>
      <c r="E404" s="310">
        <f>SUM(G404:I404)</f>
        <v>70.961195999999958</v>
      </c>
      <c r="F404" s="642">
        <f>E404/SUMIF($C$182:$C$273,C404,$E$182:$E$273)</f>
        <v>3.3191094832290602E-2</v>
      </c>
      <c r="G404" s="6">
        <f>SUMIF(Labor!$K$6:$K$43,C404,Labor!$L$6:$L$43)</f>
        <v>70.961195999999958</v>
      </c>
    </row>
    <row r="405" spans="2:7" x14ac:dyDescent="0.3">
      <c r="B405" s="7" t="s">
        <v>59</v>
      </c>
      <c r="E405" s="624">
        <f>SUM(E400:E404)</f>
        <v>191753.50427800001</v>
      </c>
    </row>
    <row r="406" spans="2:7" x14ac:dyDescent="0.3">
      <c r="B406" s="7" t="s">
        <v>68</v>
      </c>
      <c r="C406" s="7">
        <v>832</v>
      </c>
      <c r="E406" s="310">
        <f>SUM(G406:I406)</f>
        <v>18020.403225999995</v>
      </c>
      <c r="F406" s="642">
        <f>E406/SUMIF($C$182:$C$273,C406,$E$182:$E$273)</f>
        <v>0.72837367721023727</v>
      </c>
      <c r="G406" s="6">
        <f>SUMIF(Labor!$K$6:$K$43,C406,Labor!$L$6:$L$43)</f>
        <v>18020.403225999995</v>
      </c>
    </row>
    <row r="407" spans="2:7" x14ac:dyDescent="0.3">
      <c r="B407" s="7" t="s">
        <v>69</v>
      </c>
      <c r="C407" s="7">
        <v>834</v>
      </c>
      <c r="E407" s="310">
        <f t="shared" ref="E407" si="22">SUM(G407:I407)</f>
        <v>0</v>
      </c>
      <c r="F407" s="642">
        <f>E407/SUMIF($C$182:$C$273,C407,$E$182:$E$273)</f>
        <v>0</v>
      </c>
      <c r="G407" s="6">
        <f>SUMIF(Labor!$K$6:$K$43,C407,Labor!$L$6:$L$43)</f>
        <v>0</v>
      </c>
    </row>
    <row r="408" spans="2:7" x14ac:dyDescent="0.3">
      <c r="B408" s="7" t="s">
        <v>60</v>
      </c>
      <c r="E408" s="624">
        <f>SUM(E406:E407)</f>
        <v>18020.403225999995</v>
      </c>
    </row>
    <row r="409" spans="2:7" x14ac:dyDescent="0.3">
      <c r="B409" s="7" t="s">
        <v>61</v>
      </c>
      <c r="E409" s="624">
        <f>SUM(E408,E405)</f>
        <v>209773.907504</v>
      </c>
    </row>
    <row r="411" spans="2:7" x14ac:dyDescent="0.3">
      <c r="B411" s="7" t="s">
        <v>62</v>
      </c>
    </row>
    <row r="412" spans="2:7" x14ac:dyDescent="0.3">
      <c r="B412" s="7" t="s">
        <v>165</v>
      </c>
      <c r="C412" s="7">
        <v>840</v>
      </c>
      <c r="E412" s="310">
        <f>SUM(G412:I412)-E413</f>
        <v>4183.0808659999966</v>
      </c>
      <c r="F412" s="642">
        <f>E412/SUMIF($C$182:$C$273,C412,$E$182:$E$273)</f>
        <v>0.37177070358622905</v>
      </c>
      <c r="G412" s="6">
        <f>SUMIF(Labor!$K$6:$K$43,C412,Labor!$L$6:$L$43)</f>
        <v>10859.636471999995</v>
      </c>
    </row>
    <row r="413" spans="2:7" x14ac:dyDescent="0.3">
      <c r="B413" s="106" t="str">
        <f>B412&amp;" - Direct"</f>
        <v>Supervision and Engineering - Direct</v>
      </c>
      <c r="C413" s="634" t="str">
        <f>C412&amp;"-D"</f>
        <v>840-D</v>
      </c>
      <c r="E413" s="6">
        <f>'Direct Assign'!C35</f>
        <v>6676.5556059999981</v>
      </c>
      <c r="F413" s="642">
        <f>E413/SUMIF($C$182:$C$273,C413,$E$182:$E$273)</f>
        <v>1</v>
      </c>
      <c r="G413" s="6"/>
    </row>
    <row r="414" spans="2:7" x14ac:dyDescent="0.3">
      <c r="B414" s="7" t="s">
        <v>165</v>
      </c>
      <c r="C414" s="306">
        <v>844</v>
      </c>
      <c r="E414" s="310">
        <f>SUM(G414:I414)-E415</f>
        <v>124649.36462000001</v>
      </c>
      <c r="F414" s="642">
        <f>E414/SUMIF($C$182:$C$273,C414,$E$182:$E$273)</f>
        <v>0.65440356272672184</v>
      </c>
      <c r="G414" s="6">
        <f>SUMIF(Labor!$K$6:$K$43,C414,Labor!$L$6:$L$43)</f>
        <v>131325.93168800001</v>
      </c>
    </row>
    <row r="415" spans="2:7" x14ac:dyDescent="0.3">
      <c r="B415" s="106" t="str">
        <f>B414&amp;" - Direct"</f>
        <v>Supervision and Engineering - Direct</v>
      </c>
      <c r="C415" s="634" t="str">
        <f>C414&amp;"-D"</f>
        <v>844-D</v>
      </c>
      <c r="E415" s="6">
        <f>'Direct Assign'!C36</f>
        <v>6676.5670679999994</v>
      </c>
      <c r="F415" s="642">
        <f>E415/SUMIF($C$182:$C$273,C415,$E$182:$E$273)</f>
        <v>1</v>
      </c>
      <c r="G415" s="6">
        <f>SUMIF(Labor!$K$6:$K$43,C415,Labor!$L$6:$L$43)</f>
        <v>0</v>
      </c>
    </row>
    <row r="416" spans="2:7" x14ac:dyDescent="0.3">
      <c r="B416" s="7" t="s">
        <v>170</v>
      </c>
      <c r="C416" s="306">
        <v>845</v>
      </c>
      <c r="E416" s="310">
        <f t="shared" ref="E416" si="23">SUM(G416:I416)</f>
        <v>0</v>
      </c>
      <c r="F416" s="642">
        <f>E416/SUMIF($C$182:$C$273,C416,$E$182:$E$273)</f>
        <v>0</v>
      </c>
      <c r="G416" s="6">
        <f>SUMIF(Labor!$K$6:$K$43,C416,Labor!$L$6:$L$43)</f>
        <v>0</v>
      </c>
    </row>
    <row r="417" spans="2:7" x14ac:dyDescent="0.3">
      <c r="B417" s="635" t="s">
        <v>67</v>
      </c>
      <c r="E417" s="624">
        <f>SUM(E412:E416)</f>
        <v>142185.56816</v>
      </c>
    </row>
    <row r="418" spans="2:7" x14ac:dyDescent="0.3">
      <c r="B418" s="635"/>
      <c r="E418" s="461"/>
    </row>
    <row r="419" spans="2:7" x14ac:dyDescent="0.3">
      <c r="B419" s="7" t="s">
        <v>165</v>
      </c>
      <c r="C419" s="7">
        <v>847</v>
      </c>
      <c r="E419" s="310">
        <f>SUM(G419:I419)</f>
        <v>89200.741356000013</v>
      </c>
      <c r="F419" s="642">
        <f>E419/SUMIF($C$182:$C$273,C419,$E$182:$E$273)</f>
        <v>0.76582076908409047</v>
      </c>
      <c r="G419" s="6">
        <f>SUMIF(Labor!$K$6:$K$43,C419,Labor!$L$6:$L$43)</f>
        <v>89200.741356000013</v>
      </c>
    </row>
    <row r="420" spans="2:7" x14ac:dyDescent="0.3">
      <c r="B420" s="7" t="s">
        <v>70</v>
      </c>
      <c r="E420" s="624">
        <f>SUM(E419:E419)</f>
        <v>89200.741356000013</v>
      </c>
    </row>
    <row r="421" spans="2:7" x14ac:dyDescent="0.3">
      <c r="B421" s="7" t="s">
        <v>71</v>
      </c>
      <c r="E421" s="624">
        <f>SUM(E420,E417)</f>
        <v>231386.30951600001</v>
      </c>
    </row>
    <row r="423" spans="2:7" x14ac:dyDescent="0.3">
      <c r="B423" s="7" t="s">
        <v>72</v>
      </c>
    </row>
    <row r="424" spans="2:7" x14ac:dyDescent="0.3">
      <c r="B424" s="7" t="s">
        <v>73</v>
      </c>
      <c r="C424" s="7">
        <v>856</v>
      </c>
      <c r="E424" s="310">
        <f>SUM(G424:I424)</f>
        <v>36234.558100119968</v>
      </c>
      <c r="F424" s="642">
        <f>E424/SUMIF($C$182:$C$273,C424,$E$182:$E$273)</f>
        <v>0.26567456144641305</v>
      </c>
      <c r="G424" s="6">
        <f>SUMIF(Labor!$K$6:$K$43,C424,Labor!$L$6:$L$43)</f>
        <v>36234.558100119968</v>
      </c>
    </row>
    <row r="425" spans="2:7" x14ac:dyDescent="0.3">
      <c r="B425" s="7" t="s">
        <v>67</v>
      </c>
      <c r="E425" s="624">
        <f>SUM(E424:E424)</f>
        <v>36234.558100119968</v>
      </c>
    </row>
    <row r="426" spans="2:7" x14ac:dyDescent="0.3">
      <c r="B426" s="7" t="s">
        <v>74</v>
      </c>
      <c r="C426" s="7">
        <v>863</v>
      </c>
      <c r="E426" s="310">
        <f>SUM(G426:I426)</f>
        <v>1746.3061309999996</v>
      </c>
      <c r="F426" s="642">
        <f>E426/SUMIF($C$182:$C$273,C426,$E$182:$E$273)</f>
        <v>9.3710162460945975E-2</v>
      </c>
      <c r="G426" s="6">
        <f>SUMIF(Labor!$K$6:$K$43,C426,Labor!$L$6:$L$43)</f>
        <v>1746.3061309999996</v>
      </c>
    </row>
    <row r="427" spans="2:7" x14ac:dyDescent="0.3">
      <c r="B427" s="7" t="s">
        <v>75</v>
      </c>
      <c r="E427" s="624">
        <f>SUM(E426:E426)</f>
        <v>1746.3061309999996</v>
      </c>
    </row>
    <row r="428" spans="2:7" x14ac:dyDescent="0.3">
      <c r="B428" s="7" t="s">
        <v>76</v>
      </c>
      <c r="E428" s="624">
        <f>SUM(E427,E425)</f>
        <v>37980.864231119966</v>
      </c>
    </row>
    <row r="430" spans="2:7" x14ac:dyDescent="0.3">
      <c r="B430" s="7" t="s">
        <v>77</v>
      </c>
    </row>
    <row r="431" spans="2:7" x14ac:dyDescent="0.3">
      <c r="B431" s="7" t="s">
        <v>78</v>
      </c>
      <c r="C431" s="7">
        <v>870</v>
      </c>
      <c r="E431" s="310">
        <f>SUM(G431:I431)-E432</f>
        <v>71284.35642399994</v>
      </c>
      <c r="F431" s="642">
        <f t="shared" ref="F431:F440" si="24">E431/SUMIF($C$182:$C$273,C431,$E$182:$E$273)</f>
        <v>0.68315200769288009</v>
      </c>
      <c r="G431" s="6">
        <f>SUMIF(Labor!$K$6:$K$43,C431,Labor!$L$6:$L$43)</f>
        <v>269671.42838399997</v>
      </c>
    </row>
    <row r="432" spans="2:7" x14ac:dyDescent="0.3">
      <c r="B432" s="106" t="str">
        <f>B431&amp;" - Direct"</f>
        <v>Operation Supervision &amp; Engineering - Direct</v>
      </c>
      <c r="C432" s="634" t="str">
        <f>C431&amp;"-D"</f>
        <v>870-D</v>
      </c>
      <c r="E432" s="6">
        <f>'Direct Assign'!C37</f>
        <v>198387.07196000003</v>
      </c>
      <c r="F432" s="642">
        <f t="shared" si="24"/>
        <v>1</v>
      </c>
      <c r="G432" s="6"/>
    </row>
    <row r="433" spans="2:7" x14ac:dyDescent="0.3">
      <c r="B433" s="7" t="s">
        <v>79</v>
      </c>
      <c r="C433" s="7">
        <v>871</v>
      </c>
      <c r="E433" s="310">
        <f t="shared" ref="E433:E440" si="25">SUM(G433:I433)</f>
        <v>0</v>
      </c>
      <c r="F433" s="642" t="e">
        <f t="shared" si="24"/>
        <v>#DIV/0!</v>
      </c>
      <c r="G433" s="6">
        <f>SUMIF(Labor!$K$6:$K$43,C433,Labor!$L$6:$L$43)</f>
        <v>0</v>
      </c>
    </row>
    <row r="434" spans="2:7" x14ac:dyDescent="0.3">
      <c r="B434" s="7" t="s">
        <v>80</v>
      </c>
      <c r="C434" s="7">
        <v>874</v>
      </c>
      <c r="E434" s="310">
        <f t="shared" si="25"/>
        <v>833628.27772424009</v>
      </c>
      <c r="F434" s="642">
        <f t="shared" si="24"/>
        <v>0.55361652414145712</v>
      </c>
      <c r="G434" s="6">
        <f>SUMIF(Labor!$K$6:$K$43,C434,Labor!$L$6:$L$43)</f>
        <v>833628.27772424009</v>
      </c>
    </row>
    <row r="435" spans="2:7" x14ac:dyDescent="0.3">
      <c r="B435" s="7" t="s">
        <v>81</v>
      </c>
      <c r="C435" s="7">
        <v>875</v>
      </c>
      <c r="E435" s="310">
        <f t="shared" si="25"/>
        <v>7587.931840000002</v>
      </c>
      <c r="F435" s="642">
        <f t="shared" si="24"/>
        <v>0.36158221069247232</v>
      </c>
      <c r="G435" s="6">
        <f>SUMIF(Labor!$K$6:$K$43,C435,Labor!$L$6:$L$43)</f>
        <v>7587.931840000002</v>
      </c>
    </row>
    <row r="436" spans="2:7" x14ac:dyDescent="0.3">
      <c r="B436" s="7" t="s">
        <v>82</v>
      </c>
      <c r="C436" s="7">
        <v>877</v>
      </c>
      <c r="E436" s="310">
        <f t="shared" si="25"/>
        <v>25803.690577000005</v>
      </c>
      <c r="F436" s="642">
        <f t="shared" si="24"/>
        <v>0.58712941289983611</v>
      </c>
      <c r="G436" s="6">
        <f>SUMIF(Labor!$K$6:$K$43,C436,Labor!$L$6:$L$43)</f>
        <v>25803.690577000005</v>
      </c>
    </row>
    <row r="437" spans="2:7" x14ac:dyDescent="0.3">
      <c r="B437" s="7" t="s">
        <v>83</v>
      </c>
      <c r="C437" s="7">
        <v>878</v>
      </c>
      <c r="E437" s="310">
        <f t="shared" si="25"/>
        <v>592504.34956314042</v>
      </c>
      <c r="F437" s="642">
        <f t="shared" si="24"/>
        <v>0.88391493718627401</v>
      </c>
      <c r="G437" s="6">
        <f>SUMIF(Labor!$K$6:$K$43,C437,Labor!$L$6:$L$43)</f>
        <v>592504.34956314042</v>
      </c>
    </row>
    <row r="438" spans="2:7" x14ac:dyDescent="0.3">
      <c r="B438" s="7" t="s">
        <v>84</v>
      </c>
      <c r="C438" s="7">
        <v>879</v>
      </c>
      <c r="E438" s="310">
        <f t="shared" si="25"/>
        <v>1066166.7182209406</v>
      </c>
      <c r="F438" s="642">
        <f t="shared" si="24"/>
        <v>0.86737496217333609</v>
      </c>
      <c r="G438" s="6">
        <f>SUMIF(Labor!$K$6:$K$43,C438,Labor!$L$6:$L$43)</f>
        <v>1066166.7182209406</v>
      </c>
    </row>
    <row r="439" spans="2:7" x14ac:dyDescent="0.3">
      <c r="B439" s="7" t="s">
        <v>66</v>
      </c>
      <c r="C439" s="7">
        <v>880</v>
      </c>
      <c r="E439" s="310">
        <f t="shared" si="25"/>
        <v>170072.41919430991</v>
      </c>
      <c r="F439" s="642">
        <f t="shared" si="24"/>
        <v>0.93098190851605689</v>
      </c>
      <c r="G439" s="6">
        <f>SUMIF(Labor!$K$6:$K$43,C439,Labor!$L$6:$L$43)</f>
        <v>170072.41919430991</v>
      </c>
    </row>
    <row r="440" spans="2:7" x14ac:dyDescent="0.3">
      <c r="B440" s="7" t="s">
        <v>58</v>
      </c>
      <c r="C440" s="7">
        <v>881</v>
      </c>
      <c r="E440" s="310">
        <f t="shared" si="25"/>
        <v>0</v>
      </c>
      <c r="F440" s="642">
        <f t="shared" si="24"/>
        <v>0</v>
      </c>
      <c r="G440" s="6">
        <f>SUMIF(Labor!$K$6:$K$43,C440,Labor!$L$6:$L$43)</f>
        <v>0</v>
      </c>
    </row>
    <row r="441" spans="2:7" x14ac:dyDescent="0.3">
      <c r="B441" s="7" t="s">
        <v>85</v>
      </c>
      <c r="E441" s="624">
        <f>SUM(E431:E440)</f>
        <v>2965434.8155036308</v>
      </c>
    </row>
    <row r="442" spans="2:7" x14ac:dyDescent="0.3">
      <c r="B442" s="7" t="s">
        <v>165</v>
      </c>
      <c r="C442" s="7">
        <v>885</v>
      </c>
      <c r="E442" s="310">
        <f t="shared" ref="E442:E448" si="26">SUM(G442:I442)</f>
        <v>318871.10395659984</v>
      </c>
      <c r="F442" s="642">
        <f t="shared" ref="F442:F448" si="27">E442/SUMIF($C$182:$C$273,C442,$E$182:$E$273)</f>
        <v>0.92248299503240339</v>
      </c>
      <c r="G442" s="6">
        <f>SUMIF(Labor!$K$6:$K$43,C442,Labor!$L$6:$L$43)</f>
        <v>318871.10395659984</v>
      </c>
    </row>
    <row r="443" spans="2:7" x14ac:dyDescent="0.3">
      <c r="B443" s="7" t="s">
        <v>74</v>
      </c>
      <c r="C443" s="7">
        <v>887</v>
      </c>
      <c r="E443" s="310">
        <f t="shared" si="26"/>
        <v>112303.84430410001</v>
      </c>
      <c r="F443" s="642">
        <f t="shared" si="27"/>
        <v>0.67074859128260311</v>
      </c>
      <c r="G443" s="6">
        <f>SUMIF(Labor!$K$6:$K$43,C443,Labor!$L$6:$L$43)</f>
        <v>112303.84430410001</v>
      </c>
    </row>
    <row r="444" spans="2:7" x14ac:dyDescent="0.3">
      <c r="B444" s="7" t="s">
        <v>86</v>
      </c>
      <c r="C444" s="7">
        <v>889</v>
      </c>
      <c r="E444" s="310">
        <f t="shared" si="26"/>
        <v>99144.66097721277</v>
      </c>
      <c r="F444" s="642">
        <f t="shared" si="27"/>
        <v>0.72714418317909313</v>
      </c>
      <c r="G444" s="6">
        <f>SUMIF(Labor!$K$6:$K$43,C444,Labor!$L$6:$L$43)</f>
        <v>99144.66097721277</v>
      </c>
    </row>
    <row r="445" spans="2:7" x14ac:dyDescent="0.3">
      <c r="B445" s="7" t="s">
        <v>242</v>
      </c>
      <c r="C445" s="7">
        <v>891</v>
      </c>
      <c r="E445" s="310">
        <f t="shared" si="26"/>
        <v>9569.3354080000008</v>
      </c>
      <c r="F445" s="642">
        <f t="shared" si="27"/>
        <v>0.66249873887947364</v>
      </c>
      <c r="G445" s="6">
        <f>SUMIF(Labor!$K$6:$K$43,C445,Labor!$L$6:$L$43)</f>
        <v>9569.3354080000008</v>
      </c>
    </row>
    <row r="446" spans="2:7" x14ac:dyDescent="0.3">
      <c r="B446" s="7" t="s">
        <v>87</v>
      </c>
      <c r="C446" s="7">
        <v>892</v>
      </c>
      <c r="E446" s="310">
        <f t="shared" si="26"/>
        <v>40956.767430889995</v>
      </c>
      <c r="F446" s="642">
        <f t="shared" si="27"/>
        <v>0.79907108673290805</v>
      </c>
      <c r="G446" s="6">
        <f>SUMIF(Labor!$K$6:$K$43,C446,Labor!$L$6:$L$43)</f>
        <v>40956.767430889995</v>
      </c>
    </row>
    <row r="447" spans="2:7" x14ac:dyDescent="0.3">
      <c r="B447" s="7" t="s">
        <v>88</v>
      </c>
      <c r="C447" s="7">
        <v>893</v>
      </c>
      <c r="E447" s="310">
        <f t="shared" si="26"/>
        <v>244764.49166533016</v>
      </c>
      <c r="F447" s="642">
        <f t="shared" si="27"/>
        <v>0.86647354276926891</v>
      </c>
      <c r="G447" s="6">
        <f>SUMIF(Labor!$K$6:$K$43,C447,Labor!$L$6:$L$43)</f>
        <v>244764.49166533016</v>
      </c>
    </row>
    <row r="448" spans="2:7" x14ac:dyDescent="0.3">
      <c r="B448" s="7" t="s">
        <v>89</v>
      </c>
      <c r="C448" s="7">
        <v>894</v>
      </c>
      <c r="E448" s="310">
        <f t="shared" si="26"/>
        <v>1978.9136309999997</v>
      </c>
      <c r="F448" s="642">
        <f t="shared" si="27"/>
        <v>0.86579138789295151</v>
      </c>
      <c r="G448" s="6">
        <f>SUMIF(Labor!$K$6:$K$43,C448,Labor!$L$6:$L$43)</f>
        <v>1978.9136309999997</v>
      </c>
    </row>
    <row r="449" spans="2:7" x14ac:dyDescent="0.3">
      <c r="B449" s="7" t="s">
        <v>70</v>
      </c>
      <c r="E449" s="624">
        <f>SUM(E442:E448)</f>
        <v>827589.11737313273</v>
      </c>
    </row>
    <row r="450" spans="2:7" x14ac:dyDescent="0.3">
      <c r="B450" s="7" t="s">
        <v>90</v>
      </c>
      <c r="E450" s="624">
        <f>SUM(E449,E441)</f>
        <v>3793023.9328767634</v>
      </c>
    </row>
    <row r="452" spans="2:7" x14ac:dyDescent="0.3">
      <c r="B452" s="7" t="s">
        <v>57</v>
      </c>
      <c r="E452" s="168">
        <f>SUM(E450,E428,E421,E409)</f>
        <v>4272165.0141278831</v>
      </c>
    </row>
    <row r="454" spans="2:7" x14ac:dyDescent="0.3">
      <c r="B454" s="7" t="s">
        <v>92</v>
      </c>
    </row>
    <row r="456" spans="2:7" x14ac:dyDescent="0.3">
      <c r="B456" s="7" t="s">
        <v>93</v>
      </c>
    </row>
    <row r="457" spans="2:7" x14ac:dyDescent="0.3">
      <c r="B457" s="7" t="s">
        <v>94</v>
      </c>
      <c r="C457" s="7">
        <v>901</v>
      </c>
      <c r="E457" s="310">
        <f t="shared" ref="E457:E461" si="28">SUM(G457:I457)</f>
        <v>191418.20380800008</v>
      </c>
      <c r="F457" s="642">
        <f>E457/SUMIF($C$182:$C$273,C457,$E$182:$E$273)</f>
        <v>0.99829521467602911</v>
      </c>
      <c r="G457" s="6">
        <f>SUMIF(Labor!$K$6:$K$43,C457,Labor!$L$6:$L$43)</f>
        <v>191418.20380800008</v>
      </c>
    </row>
    <row r="458" spans="2:7" x14ac:dyDescent="0.3">
      <c r="B458" s="7" t="s">
        <v>95</v>
      </c>
      <c r="C458" s="7">
        <v>902</v>
      </c>
      <c r="E458" s="310">
        <f t="shared" si="28"/>
        <v>92309.705720460042</v>
      </c>
      <c r="F458" s="642">
        <f>E458/SUMIF($C$182:$C$273,C458,$E$182:$E$273)</f>
        <v>0.92941486587193067</v>
      </c>
      <c r="G458" s="6">
        <f>SUMIF(Labor!$K$6:$K$43,C458,Labor!$L$6:$L$43)</f>
        <v>92309.705720460042</v>
      </c>
    </row>
    <row r="459" spans="2:7" x14ac:dyDescent="0.3">
      <c r="B459" s="7" t="s">
        <v>96</v>
      </c>
      <c r="C459" s="7">
        <v>903</v>
      </c>
      <c r="E459" s="310">
        <f>SUM(G459:I459)-E460</f>
        <v>1352106.16403724</v>
      </c>
      <c r="F459" s="642">
        <f>E459/SUMIF($C$182:$C$273,C459,$E$182:$E$273)</f>
        <v>0.67858146927116691</v>
      </c>
      <c r="G459" s="6">
        <f>SUMIF(Labor!$K$6:$K$43,C459,Labor!$L$6:$L$43)</f>
        <v>1382701.8839082399</v>
      </c>
    </row>
    <row r="460" spans="2:7" x14ac:dyDescent="0.3">
      <c r="B460" s="106" t="str">
        <f>B459&amp;" - Direct"</f>
        <v>Customer Records &amp; Collection Expense - Direct</v>
      </c>
      <c r="C460" s="634" t="str">
        <f>C459&amp;"-D"</f>
        <v>903-D</v>
      </c>
      <c r="E460" s="6">
        <f>'Direct Assign'!C38</f>
        <v>30595.719870999994</v>
      </c>
      <c r="F460" s="642">
        <f>E460/SUMIF($C$182:$C$273,C460,$E$182:$E$273)</f>
        <v>1</v>
      </c>
      <c r="G460" s="6"/>
    </row>
    <row r="461" spans="2:7" x14ac:dyDescent="0.3">
      <c r="B461" s="7" t="s">
        <v>97</v>
      </c>
      <c r="C461" s="7">
        <v>904</v>
      </c>
      <c r="E461" s="310">
        <f t="shared" si="28"/>
        <v>0</v>
      </c>
      <c r="F461" s="642">
        <f>E461/SUMIF($C$182:$C$273,C461,$E$182:$E$273)</f>
        <v>0</v>
      </c>
      <c r="G461" s="6">
        <f>SUMIF(Labor!$K$6:$K$43,C461,Labor!$L$6:$L$43)</f>
        <v>0</v>
      </c>
    </row>
    <row r="462" spans="2:7" x14ac:dyDescent="0.3">
      <c r="B462" s="7" t="s">
        <v>98</v>
      </c>
      <c r="E462" s="624">
        <f>SUM(E457:E461)</f>
        <v>1666429.7934367</v>
      </c>
    </row>
    <row r="464" spans="2:7" x14ac:dyDescent="0.3">
      <c r="B464" s="7" t="s">
        <v>99</v>
      </c>
    </row>
    <row r="465" spans="2:8" x14ac:dyDescent="0.3">
      <c r="B465" s="7" t="s">
        <v>94</v>
      </c>
      <c r="C465" s="7">
        <v>907</v>
      </c>
      <c r="E465" s="310">
        <f t="shared" ref="E465:E469" si="29">SUM(G465:I465)</f>
        <v>0</v>
      </c>
    </row>
    <row r="466" spans="2:8" x14ac:dyDescent="0.3">
      <c r="B466" s="7" t="s">
        <v>100</v>
      </c>
      <c r="C466" s="7">
        <v>908</v>
      </c>
      <c r="E466" s="310">
        <f>SUM(G466:I466)-E467</f>
        <v>148464.14547700007</v>
      </c>
      <c r="F466" s="642">
        <f>E466/SUMIF($C$182:$C$273,C466,$E$182:$E$273)</f>
        <v>0.54560089748966534</v>
      </c>
      <c r="G466" s="6">
        <f>SUMIF(Labor!$K$6:$K$43,C466,Labor!$L$6:$L$43)</f>
        <v>154915.24584200006</v>
      </c>
    </row>
    <row r="467" spans="2:8" x14ac:dyDescent="0.3">
      <c r="B467" s="106" t="str">
        <f>B466&amp;" - Direct"</f>
        <v>Customer Assistance Expenses - Direct</v>
      </c>
      <c r="C467" s="634" t="str">
        <f>C466&amp;"-D"</f>
        <v>908-D</v>
      </c>
      <c r="E467" s="6">
        <f>'Direct Assign'!C39</f>
        <v>6451.1003649999984</v>
      </c>
      <c r="F467" s="642">
        <f>E467/SUMIF($C$182:$C$273,C467,$E$182:$E$273)</f>
        <v>1</v>
      </c>
      <c r="G467" s="6"/>
    </row>
    <row r="468" spans="2:8" x14ac:dyDescent="0.3">
      <c r="B468" s="7" t="s">
        <v>101</v>
      </c>
      <c r="C468" s="7">
        <v>909</v>
      </c>
      <c r="E468" s="310">
        <f t="shared" si="29"/>
        <v>91122.181200000035</v>
      </c>
      <c r="F468" s="642">
        <f>E468/SUMIF($C$182:$C$273,C468,$E$182:$E$273)</f>
        <v>0.26852223532501568</v>
      </c>
      <c r="G468" s="6">
        <f>SUMIF(Labor!$K$6:$K$43,C468,Labor!$L$6:$L$43)</f>
        <v>91122.181200000035</v>
      </c>
    </row>
    <row r="469" spans="2:8" x14ac:dyDescent="0.3">
      <c r="B469" s="7" t="s">
        <v>102</v>
      </c>
      <c r="C469" s="7">
        <v>910</v>
      </c>
      <c r="E469" s="310">
        <f t="shared" si="29"/>
        <v>17581.376939000002</v>
      </c>
      <c r="F469" s="642">
        <f>E469/SUMIF($C$182:$C$273,C469,$E$182:$E$273)</f>
        <v>0.63090778075105491</v>
      </c>
      <c r="G469" s="6">
        <f>SUMIF(Labor!$K$6:$K$43,C469,Labor!$L$6:$L$43)</f>
        <v>17581.376939000002</v>
      </c>
    </row>
    <row r="470" spans="2:8" x14ac:dyDescent="0.3">
      <c r="B470" s="7" t="s">
        <v>103</v>
      </c>
      <c r="E470" s="624">
        <f>SUM(E465:E469)</f>
        <v>263618.80398100009</v>
      </c>
    </row>
    <row r="472" spans="2:8" x14ac:dyDescent="0.3">
      <c r="B472" s="7" t="s">
        <v>104</v>
      </c>
    </row>
    <row r="473" spans="2:8" x14ac:dyDescent="0.3">
      <c r="B473" s="7" t="s">
        <v>94</v>
      </c>
      <c r="C473" s="7">
        <v>911</v>
      </c>
      <c r="E473" s="310">
        <f t="shared" ref="E473:E476" si="30">SUM(G473:I473)</f>
        <v>17407.911492000007</v>
      </c>
      <c r="F473" s="642">
        <f>E473/SUMIF($C$182:$C$273,C473,$E$182:$E$273)</f>
        <v>0.95869698721146279</v>
      </c>
      <c r="G473" s="6">
        <f>SUMIF(Labor!$K$6:$K$43,C473,Labor!$L$6:$L$43)</f>
        <v>17407.911492000007</v>
      </c>
    </row>
    <row r="474" spans="2:8" x14ac:dyDescent="0.3">
      <c r="B474" s="7" t="s">
        <v>105</v>
      </c>
      <c r="C474" s="7">
        <v>912</v>
      </c>
      <c r="E474" s="310">
        <f>E256*H474</f>
        <v>71442.252818256049</v>
      </c>
      <c r="F474" s="642">
        <f>E474/SUMIF($C$182:$C$273,C474,$E$182:$E$273)</f>
        <v>0.59709115236293142</v>
      </c>
      <c r="G474" s="6">
        <f>SUMIF(Labor!$K$6:$K$43,C474,Labor!$L$6:$L$43)</f>
        <v>243119.97287599993</v>
      </c>
      <c r="H474" s="7">
        <f>G474/G256</f>
        <v>0.59709115236293142</v>
      </c>
    </row>
    <row r="475" spans="2:8" x14ac:dyDescent="0.3">
      <c r="B475" s="7" t="s">
        <v>106</v>
      </c>
      <c r="C475" s="7">
        <v>913</v>
      </c>
      <c r="E475" s="310">
        <f t="shared" si="30"/>
        <v>7793.6942520000021</v>
      </c>
      <c r="F475" s="642">
        <f>E475/SUMIF($C$182:$C$273,C475,$E$182:$E$273)</f>
        <v>0.15447917513374693</v>
      </c>
      <c r="G475" s="6">
        <f>SUMIF(Labor!$K$6:$K$43,C475,Labor!$L$6:$L$43)</f>
        <v>7793.6942520000021</v>
      </c>
    </row>
    <row r="476" spans="2:8" x14ac:dyDescent="0.3">
      <c r="B476" s="7" t="s">
        <v>107</v>
      </c>
      <c r="C476" s="7">
        <v>916</v>
      </c>
      <c r="E476" s="310">
        <f t="shared" si="30"/>
        <v>0</v>
      </c>
      <c r="F476" s="642" t="e">
        <f>G476/SUMIF($C$182:$C$273,C476,$G$182:$G$273)</f>
        <v>#DIV/0!</v>
      </c>
    </row>
    <row r="477" spans="2:8" x14ac:dyDescent="0.3">
      <c r="B477" s="7" t="s">
        <v>108</v>
      </c>
      <c r="E477" s="624">
        <f>SUM(E473:E476)</f>
        <v>96643.858562256049</v>
      </c>
    </row>
    <row r="479" spans="2:8" x14ac:dyDescent="0.3">
      <c r="B479" s="7" t="s">
        <v>109</v>
      </c>
      <c r="E479" s="168">
        <f>SUM(E477,E470,E462)</f>
        <v>2026692.4559799561</v>
      </c>
    </row>
    <row r="481" spans="2:7" x14ac:dyDescent="0.3">
      <c r="B481" s="7" t="s">
        <v>111</v>
      </c>
    </row>
    <row r="482" spans="2:7" x14ac:dyDescent="0.3">
      <c r="F482" s="642"/>
    </row>
    <row r="483" spans="2:7" x14ac:dyDescent="0.3">
      <c r="B483" s="7" t="s">
        <v>112</v>
      </c>
      <c r="C483" s="7">
        <v>921</v>
      </c>
      <c r="E483" s="310">
        <f>SUM(G483:I483)-E484</f>
        <v>4815273.8920691963</v>
      </c>
      <c r="F483" s="642">
        <f t="shared" ref="F483:F491" si="31">E483/SUMIF($C$182:$C$273,C483,$E$182:$E$273)</f>
        <v>0.62158100722602938</v>
      </c>
      <c r="G483" s="6">
        <f>SUMIF(Labor!$K$6:$K$43,C483,Labor!$L$6:$L$43)</f>
        <v>4934582.9668411966</v>
      </c>
    </row>
    <row r="484" spans="2:7" x14ac:dyDescent="0.3">
      <c r="B484" s="106" t="str">
        <f>B483&amp;" - Direct"</f>
        <v>Office Supplies &amp; Expenses - Direct</v>
      </c>
      <c r="C484" s="634" t="str">
        <f>C483&amp;"-D"</f>
        <v>921-D</v>
      </c>
      <c r="E484" s="6">
        <f>'Direct Assign'!C40</f>
        <v>119309.07477199996</v>
      </c>
      <c r="F484" s="642">
        <f t="shared" si="31"/>
        <v>1</v>
      </c>
      <c r="G484" s="6"/>
    </row>
    <row r="485" spans="2:7" x14ac:dyDescent="0.3">
      <c r="B485" s="7" t="s">
        <v>113</v>
      </c>
      <c r="C485" s="7">
        <v>922</v>
      </c>
      <c r="E485" s="310">
        <f t="shared" ref="E485:E491" si="32">SUM(G485:I485)</f>
        <v>-864282.78533999994</v>
      </c>
      <c r="F485" s="642">
        <f t="shared" si="31"/>
        <v>0.3420948413759527</v>
      </c>
      <c r="G485" s="6">
        <f>SUMIF(Labor!$K$6:$K$43,C485,Labor!$L$6:$L$43)</f>
        <v>-864282.78533999994</v>
      </c>
    </row>
    <row r="486" spans="2:7" x14ac:dyDescent="0.3">
      <c r="B486" s="7" t="s">
        <v>114</v>
      </c>
      <c r="C486" s="7">
        <v>924</v>
      </c>
      <c r="E486" s="310">
        <f t="shared" si="32"/>
        <v>0</v>
      </c>
      <c r="F486" s="642">
        <f t="shared" si="31"/>
        <v>0</v>
      </c>
      <c r="G486" s="6">
        <f>SUMIF(Labor!$K$6:$K$43,C486,Labor!$L$6:$L$43)</f>
        <v>0</v>
      </c>
    </row>
    <row r="487" spans="2:7" x14ac:dyDescent="0.3">
      <c r="B487" s="7" t="s">
        <v>115</v>
      </c>
      <c r="C487" s="7">
        <v>925</v>
      </c>
      <c r="E487" s="310">
        <f t="shared" si="32"/>
        <v>0</v>
      </c>
      <c r="F487" s="642">
        <f t="shared" si="31"/>
        <v>0</v>
      </c>
      <c r="G487" s="6">
        <f>SUMIF(Labor!$K$6:$K$43,C487,Labor!$L$6:$L$43)</f>
        <v>0</v>
      </c>
    </row>
    <row r="488" spans="2:7" x14ac:dyDescent="0.3">
      <c r="B488" s="7" t="s">
        <v>116</v>
      </c>
      <c r="C488" s="7">
        <v>926</v>
      </c>
      <c r="E488" s="310">
        <f>SUM(G488:I488)</f>
        <v>353703.47031660011</v>
      </c>
      <c r="F488" s="642">
        <f t="shared" si="31"/>
        <v>0.17687281870230884</v>
      </c>
      <c r="G488" s="6">
        <f>SUMIF(Labor!$K$6:$K$43,C488,Labor!$L$6:$L$43)</f>
        <v>353703.47031660011</v>
      </c>
    </row>
    <row r="489" spans="2:7" x14ac:dyDescent="0.3">
      <c r="B489" s="7" t="s">
        <v>117</v>
      </c>
      <c r="C489" s="7">
        <v>930</v>
      </c>
      <c r="E489" s="310">
        <f t="shared" si="32"/>
        <v>910.22397499999988</v>
      </c>
      <c r="F489" s="642">
        <f t="shared" si="31"/>
        <v>2.5162048270153223E-3</v>
      </c>
      <c r="G489" s="6">
        <f>SUMIF(Labor!$K$6:$K$43,C489,Labor!$L$6:$L$43)</f>
        <v>910.22397499999988</v>
      </c>
    </row>
    <row r="490" spans="2:7" x14ac:dyDescent="0.3">
      <c r="B490" s="7" t="s">
        <v>58</v>
      </c>
      <c r="C490" s="7">
        <v>931</v>
      </c>
      <c r="E490" s="310">
        <f t="shared" si="32"/>
        <v>0</v>
      </c>
      <c r="F490" s="642">
        <f t="shared" si="31"/>
        <v>0</v>
      </c>
      <c r="G490" s="6">
        <f>SUMIF(Labor!$K$6:$K$43,C490,Labor!$L$6:$L$43)</f>
        <v>0</v>
      </c>
    </row>
    <row r="491" spans="2:7" x14ac:dyDescent="0.3">
      <c r="B491" s="7" t="s">
        <v>118</v>
      </c>
      <c r="C491" s="7">
        <v>935</v>
      </c>
      <c r="E491" s="310">
        <f t="shared" si="32"/>
        <v>212616.38391499995</v>
      </c>
      <c r="F491" s="642">
        <f t="shared" si="31"/>
        <v>0.49087396944292155</v>
      </c>
      <c r="G491" s="6">
        <f>SUMIF(Labor!$K$6:$K$43,C491,Labor!$L$6:$L$43)</f>
        <v>212616.38391499995</v>
      </c>
    </row>
    <row r="492" spans="2:7" x14ac:dyDescent="0.3">
      <c r="B492" s="7" t="s">
        <v>119</v>
      </c>
      <c r="E492" s="624">
        <f>SUM(E483:E491)</f>
        <v>4637530.2597077964</v>
      </c>
    </row>
    <row r="494" spans="2:7" x14ac:dyDescent="0.3">
      <c r="B494" s="7" t="s">
        <v>141</v>
      </c>
      <c r="E494" s="152">
        <f>SUM(E492,E479,E452)</f>
        <v>10936387.729815636</v>
      </c>
    </row>
    <row r="495" spans="2:7" x14ac:dyDescent="0.3">
      <c r="E495" s="7"/>
    </row>
    <row r="496" spans="2:7" x14ac:dyDescent="0.3">
      <c r="E496" s="7"/>
    </row>
    <row r="497" spans="5:5" x14ac:dyDescent="0.3">
      <c r="E497" s="7"/>
    </row>
    <row r="498" spans="5:5" x14ac:dyDescent="0.3">
      <c r="E498" s="7"/>
    </row>
    <row r="499" spans="5:5" x14ac:dyDescent="0.3">
      <c r="E499" s="7"/>
    </row>
    <row r="500" spans="5:5" x14ac:dyDescent="0.3">
      <c r="E500" s="7"/>
    </row>
    <row r="501" spans="5:5" x14ac:dyDescent="0.3">
      <c r="E501" s="7"/>
    </row>
    <row r="502" spans="5:5" x14ac:dyDescent="0.3">
      <c r="E502" s="7"/>
    </row>
    <row r="503" spans="5:5" x14ac:dyDescent="0.3">
      <c r="E503" s="7"/>
    </row>
    <row r="504" spans="5:5" x14ac:dyDescent="0.3">
      <c r="E504" s="7"/>
    </row>
    <row r="505" spans="5:5" x14ac:dyDescent="0.3">
      <c r="E505" s="7"/>
    </row>
    <row r="506" spans="5:5" x14ac:dyDescent="0.3">
      <c r="E506" s="7"/>
    </row>
    <row r="507" spans="5:5" x14ac:dyDescent="0.3">
      <c r="E507" s="7"/>
    </row>
    <row r="508" spans="5:5" x14ac:dyDescent="0.3">
      <c r="E508" s="7"/>
    </row>
    <row r="509" spans="5:5" x14ac:dyDescent="0.3">
      <c r="E509" s="7"/>
    </row>
    <row r="510" spans="5:5" x14ac:dyDescent="0.3">
      <c r="E510" s="7"/>
    </row>
    <row r="511" spans="5:5" x14ac:dyDescent="0.3">
      <c r="E511" s="7"/>
    </row>
    <row r="512" spans="5:5" x14ac:dyDescent="0.3">
      <c r="E512" s="7"/>
    </row>
    <row r="513" spans="5:5" x14ac:dyDescent="0.3">
      <c r="E513" s="7"/>
    </row>
    <row r="514" spans="5:5" x14ac:dyDescent="0.3">
      <c r="E514" s="7"/>
    </row>
    <row r="515" spans="5:5" x14ac:dyDescent="0.3">
      <c r="E515" s="7"/>
    </row>
    <row r="516" spans="5:5" x14ac:dyDescent="0.3">
      <c r="E516" s="7"/>
    </row>
    <row r="517" spans="5:5" x14ac:dyDescent="0.3">
      <c r="E517" s="7"/>
    </row>
    <row r="518" spans="5:5" x14ac:dyDescent="0.3">
      <c r="E518" s="7"/>
    </row>
    <row r="519" spans="5:5" x14ac:dyDescent="0.3">
      <c r="E519" s="7"/>
    </row>
    <row r="520" spans="5:5" x14ac:dyDescent="0.3">
      <c r="E520" s="7"/>
    </row>
    <row r="521" spans="5:5" x14ac:dyDescent="0.3">
      <c r="E521" s="7"/>
    </row>
    <row r="522" spans="5:5" x14ac:dyDescent="0.3">
      <c r="E522" s="7"/>
    </row>
    <row r="523" spans="5:5" x14ac:dyDescent="0.3">
      <c r="E523" s="7"/>
    </row>
    <row r="524" spans="5:5" x14ac:dyDescent="0.3">
      <c r="E524" s="7"/>
    </row>
    <row r="525" spans="5:5" x14ac:dyDescent="0.3">
      <c r="E525" s="7"/>
    </row>
    <row r="526" spans="5:5" x14ac:dyDescent="0.3">
      <c r="E526" s="7"/>
    </row>
    <row r="527" spans="5:5" x14ac:dyDescent="0.3">
      <c r="E527" s="7"/>
    </row>
    <row r="528" spans="5:5" x14ac:dyDescent="0.3">
      <c r="E528" s="7"/>
    </row>
    <row r="529" spans="5:5" x14ac:dyDescent="0.3">
      <c r="E529" s="7"/>
    </row>
    <row r="530" spans="5:5" x14ac:dyDescent="0.3">
      <c r="E530" s="7"/>
    </row>
    <row r="531" spans="5:5" x14ac:dyDescent="0.3">
      <c r="E531" s="7"/>
    </row>
    <row r="532" spans="5:5" x14ac:dyDescent="0.3">
      <c r="E532" s="7"/>
    </row>
    <row r="533" spans="5:5" x14ac:dyDescent="0.3">
      <c r="E533" s="7"/>
    </row>
    <row r="534" spans="5:5" x14ac:dyDescent="0.3">
      <c r="E534" s="7"/>
    </row>
    <row r="535" spans="5:5" x14ac:dyDescent="0.3">
      <c r="E535" s="7"/>
    </row>
    <row r="536" spans="5:5" x14ac:dyDescent="0.3">
      <c r="E536" s="7"/>
    </row>
    <row r="537" spans="5:5" x14ac:dyDescent="0.3">
      <c r="E537" s="7"/>
    </row>
    <row r="538" spans="5:5" x14ac:dyDescent="0.3">
      <c r="E538" s="7"/>
    </row>
    <row r="539" spans="5:5" x14ac:dyDescent="0.3">
      <c r="E539" s="7"/>
    </row>
    <row r="540" spans="5:5" x14ac:dyDescent="0.3">
      <c r="E540" s="7"/>
    </row>
    <row r="541" spans="5:5" x14ac:dyDescent="0.3">
      <c r="E541" s="7"/>
    </row>
    <row r="542" spans="5:5" x14ac:dyDescent="0.3">
      <c r="E542" s="7"/>
    </row>
    <row r="543" spans="5:5" x14ac:dyDescent="0.3">
      <c r="E543" s="7"/>
    </row>
    <row r="544" spans="5:5" x14ac:dyDescent="0.3">
      <c r="E544" s="7"/>
    </row>
    <row r="545" spans="5:5" x14ac:dyDescent="0.3">
      <c r="E545" s="7"/>
    </row>
    <row r="546" spans="5:5" x14ac:dyDescent="0.3">
      <c r="E546" s="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zoomScale="85" zoomScaleNormal="85" workbookViewId="0">
      <selection activeCell="D18" sqref="D18"/>
    </sheetView>
  </sheetViews>
  <sheetFormatPr defaultColWidth="9.109375" defaultRowHeight="13.2" x14ac:dyDescent="0.25"/>
  <cols>
    <col min="1" max="1" width="13.6640625" style="369" customWidth="1"/>
    <col min="2" max="2" width="9.109375" style="369"/>
    <col min="3" max="3" width="32.6640625" style="369" bestFit="1" customWidth="1"/>
    <col min="4" max="4" width="9.6640625" style="369" bestFit="1" customWidth="1"/>
    <col min="5" max="17" width="14.6640625" style="369" customWidth="1"/>
    <col min="18" max="19" width="9.109375" style="369"/>
    <col min="20" max="20" width="16.33203125" style="369" bestFit="1" customWidth="1"/>
    <col min="21" max="21" width="10" style="369" bestFit="1" customWidth="1"/>
    <col min="22" max="23" width="11.5546875" style="369" bestFit="1" customWidth="1"/>
    <col min="24" max="27" width="11" style="369" bestFit="1" customWidth="1"/>
    <col min="28" max="28" width="14.44140625" style="369" bestFit="1" customWidth="1"/>
    <col min="29" max="16384" width="9.109375" style="369"/>
  </cols>
  <sheetData>
    <row r="1" spans="1:29" ht="15" x14ac:dyDescent="0.25">
      <c r="A1" s="400" t="s">
        <v>549</v>
      </c>
      <c r="S1" s="481" t="s">
        <v>2405</v>
      </c>
    </row>
    <row r="2" spans="1:29" ht="14.4" x14ac:dyDescent="0.25">
      <c r="A2" s="381"/>
      <c r="B2" s="380"/>
      <c r="C2" s="380"/>
      <c r="D2" s="380"/>
      <c r="S2" s="482" t="s">
        <v>321</v>
      </c>
    </row>
    <row r="3" spans="1:29" ht="14.4" x14ac:dyDescent="0.25">
      <c r="A3" s="381"/>
      <c r="B3" s="380"/>
      <c r="C3" s="380"/>
      <c r="D3" s="380"/>
      <c r="E3" s="378">
        <v>2017</v>
      </c>
      <c r="F3" s="378">
        <v>2017</v>
      </c>
      <c r="G3" s="378">
        <v>2017</v>
      </c>
      <c r="H3" s="378">
        <v>2018</v>
      </c>
      <c r="I3" s="378">
        <v>2018</v>
      </c>
      <c r="J3" s="378">
        <v>2018</v>
      </c>
      <c r="K3" s="378">
        <v>2018</v>
      </c>
      <c r="L3" s="378">
        <v>2018</v>
      </c>
      <c r="M3" s="378">
        <v>2018</v>
      </c>
      <c r="N3" s="378">
        <v>2018</v>
      </c>
      <c r="O3" s="378">
        <v>2018</v>
      </c>
      <c r="P3" s="378">
        <v>2018</v>
      </c>
      <c r="Q3" s="378" t="s">
        <v>477</v>
      </c>
      <c r="S3" s="482" t="s">
        <v>2408</v>
      </c>
    </row>
    <row r="4" spans="1:29" ht="14.4" x14ac:dyDescent="0.25">
      <c r="B4" s="399"/>
      <c r="C4" s="399"/>
      <c r="D4" s="399"/>
      <c r="E4" s="378" t="s">
        <v>263</v>
      </c>
      <c r="F4" s="378" t="s">
        <v>264</v>
      </c>
      <c r="G4" s="378" t="s">
        <v>265</v>
      </c>
      <c r="H4" s="378" t="s">
        <v>266</v>
      </c>
      <c r="I4" s="378" t="s">
        <v>267</v>
      </c>
      <c r="J4" s="378" t="s">
        <v>268</v>
      </c>
      <c r="K4" s="378" t="s">
        <v>269</v>
      </c>
      <c r="L4" s="378" t="s">
        <v>270</v>
      </c>
      <c r="M4" s="378" t="s">
        <v>271</v>
      </c>
      <c r="N4" s="378" t="s">
        <v>272</v>
      </c>
      <c r="O4" s="378" t="s">
        <v>273</v>
      </c>
      <c r="P4" s="378" t="s">
        <v>262</v>
      </c>
      <c r="Q4" s="378"/>
      <c r="S4" s="482" t="s">
        <v>1959</v>
      </c>
    </row>
    <row r="5" spans="1:29" ht="14.4" x14ac:dyDescent="0.25">
      <c r="A5" s="398"/>
      <c r="D5" s="397"/>
      <c r="S5" s="482" t="s">
        <v>1907</v>
      </c>
    </row>
    <row r="6" spans="1:29" ht="14.4" x14ac:dyDescent="0.25">
      <c r="A6" s="388"/>
      <c r="B6" s="19" t="s">
        <v>458</v>
      </c>
      <c r="C6" s="370" t="s">
        <v>459</v>
      </c>
      <c r="D6" s="79"/>
      <c r="E6" s="70">
        <v>16108.761680361042</v>
      </c>
      <c r="F6" s="70">
        <v>25032.431366800491</v>
      </c>
      <c r="G6" s="70">
        <v>33108.394758189766</v>
      </c>
      <c r="H6" s="70">
        <v>32957.464461575102</v>
      </c>
      <c r="I6" s="70">
        <v>27526.785892939166</v>
      </c>
      <c r="J6" s="70">
        <v>25242.811991339608</v>
      </c>
      <c r="K6" s="70">
        <v>19677.171940457385</v>
      </c>
      <c r="L6" s="70">
        <v>14253.843740588864</v>
      </c>
      <c r="M6" s="70">
        <v>11174.025784811665</v>
      </c>
      <c r="N6" s="70">
        <v>9897.3952976659693</v>
      </c>
      <c r="O6" s="70">
        <v>9859.4261839922856</v>
      </c>
      <c r="P6" s="70">
        <v>10119.445200171947</v>
      </c>
      <c r="Q6" s="70">
        <f>SUM(E6:P6)</f>
        <v>234957.95829889335</v>
      </c>
      <c r="S6" s="482" t="s">
        <v>2409</v>
      </c>
    </row>
    <row r="7" spans="1:29" ht="14.4" x14ac:dyDescent="0.25">
      <c r="A7" s="388"/>
      <c r="B7" s="19"/>
      <c r="C7" s="370" t="s">
        <v>460</v>
      </c>
      <c r="D7" s="79"/>
      <c r="E7" s="70">
        <v>2862397.100506227</v>
      </c>
      <c r="F7" s="70">
        <v>4914643.1875496339</v>
      </c>
      <c r="G7" s="70">
        <v>6732393.4045403674</v>
      </c>
      <c r="H7" s="70">
        <v>6664360.88408117</v>
      </c>
      <c r="I7" s="70">
        <v>5492361.5454961974</v>
      </c>
      <c r="J7" s="70">
        <v>4881492.5523569006</v>
      </c>
      <c r="K7" s="70">
        <v>3626404.9226678712</v>
      </c>
      <c r="L7" s="70">
        <v>2375671.8264602106</v>
      </c>
      <c r="M7" s="70">
        <v>1690488.3482169921</v>
      </c>
      <c r="N7" s="70">
        <v>1500471.8488565315</v>
      </c>
      <c r="O7" s="70">
        <v>1497268.4708957486</v>
      </c>
      <c r="P7" s="70">
        <v>1594311.2961516152</v>
      </c>
      <c r="Q7" s="70">
        <f t="shared" ref="Q7:Q70" si="0">SUM(E7:P7)</f>
        <v>43832265.387779467</v>
      </c>
      <c r="S7" s="482" t="s">
        <v>2410</v>
      </c>
    </row>
    <row r="8" spans="1:29" x14ac:dyDescent="0.25">
      <c r="A8" s="19"/>
      <c r="B8" s="19"/>
      <c r="C8" s="18" t="s">
        <v>461</v>
      </c>
      <c r="D8" s="79"/>
      <c r="E8" s="70">
        <v>3038.7030380230358</v>
      </c>
      <c r="F8" s="70">
        <v>5382.6714385882851</v>
      </c>
      <c r="G8" s="70">
        <v>7562.5599974072038</v>
      </c>
      <c r="H8" s="70">
        <v>7444.9820089068407</v>
      </c>
      <c r="I8" s="70">
        <v>5698.4283116420611</v>
      </c>
      <c r="J8" s="70">
        <v>5119.6790329517016</v>
      </c>
      <c r="K8" s="70">
        <v>3774.6966063833765</v>
      </c>
      <c r="L8" s="70">
        <v>2377.5696972442252</v>
      </c>
      <c r="M8" s="70">
        <v>1713.957225322531</v>
      </c>
      <c r="N8" s="70">
        <v>1919.2034850230591</v>
      </c>
      <c r="O8" s="70">
        <v>1914.6786992077243</v>
      </c>
      <c r="P8" s="70">
        <v>1948.373584093599</v>
      </c>
      <c r="Q8" s="70">
        <f t="shared" si="0"/>
        <v>47895.503124793642</v>
      </c>
    </row>
    <row r="9" spans="1:29" x14ac:dyDescent="0.25">
      <c r="A9" s="19"/>
      <c r="B9" s="19"/>
      <c r="C9" s="18" t="s">
        <v>462</v>
      </c>
      <c r="D9" s="79"/>
      <c r="E9" s="70">
        <v>883370.90415789327</v>
      </c>
      <c r="F9" s="70">
        <v>1510375.2381231259</v>
      </c>
      <c r="G9" s="70">
        <v>2090212.0693354062</v>
      </c>
      <c r="H9" s="70">
        <v>2080791.0956286397</v>
      </c>
      <c r="I9" s="70">
        <v>1705850.3857200069</v>
      </c>
      <c r="J9" s="70">
        <v>1514172.8257642682</v>
      </c>
      <c r="K9" s="70">
        <v>1122877.3700375846</v>
      </c>
      <c r="L9" s="70">
        <v>754843.69492324488</v>
      </c>
      <c r="M9" s="70">
        <v>566322.05994305154</v>
      </c>
      <c r="N9" s="70">
        <v>520396.30049738591</v>
      </c>
      <c r="O9" s="70">
        <v>518090.21455754386</v>
      </c>
      <c r="P9" s="70">
        <v>528706.01702919113</v>
      </c>
      <c r="Q9" s="70">
        <f t="shared" si="0"/>
        <v>13796008.175717343</v>
      </c>
      <c r="T9" s="51"/>
      <c r="U9" s="52" t="s">
        <v>433</v>
      </c>
      <c r="V9" s="52" t="s">
        <v>434</v>
      </c>
      <c r="W9" s="52" t="s">
        <v>435</v>
      </c>
      <c r="X9" s="52" t="s">
        <v>436</v>
      </c>
      <c r="Y9" s="52" t="s">
        <v>437</v>
      </c>
      <c r="Z9" s="52" t="s">
        <v>438</v>
      </c>
      <c r="AA9" s="52" t="s">
        <v>439</v>
      </c>
      <c r="AB9" s="53" t="s">
        <v>440</v>
      </c>
      <c r="AC9" s="46"/>
    </row>
    <row r="10" spans="1:29" x14ac:dyDescent="0.25">
      <c r="A10" s="19"/>
      <c r="B10" s="19"/>
      <c r="C10" s="18" t="s">
        <v>463</v>
      </c>
      <c r="D10" s="79"/>
      <c r="E10" s="70">
        <v>24514.321676599146</v>
      </c>
      <c r="F10" s="70">
        <v>43549.561186363317</v>
      </c>
      <c r="G10" s="70">
        <v>61547.756931745855</v>
      </c>
      <c r="H10" s="70">
        <v>57087.331682597876</v>
      </c>
      <c r="I10" s="70">
        <v>47777.695082101738</v>
      </c>
      <c r="J10" s="70">
        <v>41789.504358337188</v>
      </c>
      <c r="K10" s="70">
        <v>30452.644677816897</v>
      </c>
      <c r="L10" s="70">
        <v>19230.334900308553</v>
      </c>
      <c r="M10" s="70">
        <v>13782.462944108152</v>
      </c>
      <c r="N10" s="70">
        <v>6613.9765342721885</v>
      </c>
      <c r="O10" s="70">
        <v>6724.3428608660497</v>
      </c>
      <c r="P10" s="70">
        <v>7779.6835137595444</v>
      </c>
      <c r="Q10" s="70">
        <f t="shared" si="0"/>
        <v>360849.6163488765</v>
      </c>
      <c r="T10" s="61" t="s">
        <v>551</v>
      </c>
      <c r="U10" s="477">
        <f>SUM(U18:U25)</f>
        <v>282853.461423687</v>
      </c>
      <c r="V10" s="477">
        <f t="shared" ref="V10:AB10" si="1">SUM(V18:V25)</f>
        <v>43832265.387779467</v>
      </c>
      <c r="W10" s="477">
        <f t="shared" si="1"/>
        <v>14161074.516740208</v>
      </c>
      <c r="X10" s="477">
        <f t="shared" si="1"/>
        <v>360849.6163488765</v>
      </c>
      <c r="Y10" s="477">
        <f t="shared" si="1"/>
        <v>3358499.1764346147</v>
      </c>
      <c r="Z10" s="477">
        <f t="shared" si="1"/>
        <v>3846621.1565499278</v>
      </c>
      <c r="AA10" s="477">
        <f t="shared" si="1"/>
        <v>0</v>
      </c>
      <c r="AB10" s="325">
        <f t="shared" si="1"/>
        <v>239628.12539002372</v>
      </c>
      <c r="AC10" s="56" t="b">
        <f>Q101=SUM(U10:AB10)</f>
        <v>1</v>
      </c>
    </row>
    <row r="11" spans="1:29" x14ac:dyDescent="0.25">
      <c r="A11" s="19"/>
      <c r="B11" s="19"/>
      <c r="C11" s="18"/>
      <c r="D11" s="80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T11" s="42"/>
      <c r="U11" s="32"/>
      <c r="V11" s="32"/>
      <c r="W11" s="32"/>
      <c r="X11" s="32"/>
      <c r="Y11" s="32"/>
      <c r="Z11" s="32"/>
      <c r="AA11" s="32"/>
      <c r="AB11" s="479"/>
      <c r="AC11" s="15"/>
    </row>
    <row r="12" spans="1:29" x14ac:dyDescent="0.25">
      <c r="A12" s="390"/>
      <c r="B12" s="19"/>
      <c r="C12" s="22" t="s">
        <v>478</v>
      </c>
      <c r="D12" s="8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0"/>
        <v>0</v>
      </c>
      <c r="T12" s="42" t="s">
        <v>532</v>
      </c>
      <c r="U12" s="32">
        <f>SUM(U18:U20)</f>
        <v>282853.461423687</v>
      </c>
      <c r="V12" s="32">
        <f t="shared" ref="V12:AB12" si="2">SUM(V18:V20)</f>
        <v>43832265.387779467</v>
      </c>
      <c r="W12" s="32">
        <f t="shared" si="2"/>
        <v>14161074.516740208</v>
      </c>
      <c r="X12" s="32">
        <f t="shared" si="2"/>
        <v>360849.6163488765</v>
      </c>
      <c r="Y12" s="32">
        <f t="shared" si="2"/>
        <v>2988836.5327546149</v>
      </c>
      <c r="Z12" s="32">
        <f t="shared" si="2"/>
        <v>1540528.2337686382</v>
      </c>
      <c r="AA12" s="32">
        <f t="shared" si="2"/>
        <v>0</v>
      </c>
      <c r="AB12" s="479">
        <f t="shared" si="2"/>
        <v>0</v>
      </c>
      <c r="AC12" s="15"/>
    </row>
    <row r="13" spans="1:29" x14ac:dyDescent="0.25">
      <c r="A13" s="390"/>
      <c r="B13" s="19"/>
      <c r="C13" s="22" t="s">
        <v>479</v>
      </c>
      <c r="D13" s="8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f t="shared" si="0"/>
        <v>0</v>
      </c>
      <c r="T13" s="42" t="s">
        <v>533</v>
      </c>
      <c r="U13" s="32">
        <f>SUM(U21)</f>
        <v>0</v>
      </c>
      <c r="V13" s="32">
        <f t="shared" ref="V13:AB13" si="3">SUM(V21)</f>
        <v>0</v>
      </c>
      <c r="W13" s="32">
        <f t="shared" si="3"/>
        <v>0</v>
      </c>
      <c r="X13" s="32">
        <f t="shared" si="3"/>
        <v>0</v>
      </c>
      <c r="Y13" s="32">
        <f t="shared" si="3"/>
        <v>0</v>
      </c>
      <c r="Z13" s="32">
        <f t="shared" si="3"/>
        <v>554279.92517128913</v>
      </c>
      <c r="AA13" s="32">
        <f t="shared" si="3"/>
        <v>0</v>
      </c>
      <c r="AB13" s="479">
        <f t="shared" si="3"/>
        <v>0</v>
      </c>
      <c r="AC13" s="15"/>
    </row>
    <row r="14" spans="1:29" x14ac:dyDescent="0.25">
      <c r="A14" s="390"/>
      <c r="B14" s="19"/>
      <c r="C14" s="18" t="s">
        <v>464</v>
      </c>
      <c r="D14" s="79"/>
      <c r="E14" s="70">
        <v>177870.06436085058</v>
      </c>
      <c r="F14" s="70">
        <v>262997.78561611584</v>
      </c>
      <c r="G14" s="70">
        <v>345650.45320380817</v>
      </c>
      <c r="H14" s="70">
        <v>337877.42918135895</v>
      </c>
      <c r="I14" s="70">
        <v>286386.16910248122</v>
      </c>
      <c r="J14" s="70">
        <v>264025.35468054807</v>
      </c>
      <c r="K14" s="70">
        <v>211528.71748055413</v>
      </c>
      <c r="L14" s="70">
        <v>164644.96556847214</v>
      </c>
      <c r="M14" s="70">
        <v>134106.73397702587</v>
      </c>
      <c r="N14" s="70">
        <v>115557.31632153696</v>
      </c>
      <c r="O14" s="70">
        <v>115389.61840532521</v>
      </c>
      <c r="P14" s="70">
        <v>115342.66652212199</v>
      </c>
      <c r="Q14" s="70">
        <f t="shared" si="0"/>
        <v>2531377.274420199</v>
      </c>
      <c r="T14" s="42"/>
      <c r="U14" s="32"/>
      <c r="V14" s="32"/>
      <c r="W14" s="32"/>
      <c r="X14" s="32"/>
      <c r="Y14" s="32"/>
      <c r="Z14" s="32"/>
      <c r="AA14" s="32"/>
      <c r="AB14" s="479"/>
      <c r="AC14" s="15"/>
    </row>
    <row r="15" spans="1:29" x14ac:dyDescent="0.25">
      <c r="A15" s="390"/>
      <c r="B15" s="19"/>
      <c r="C15" s="18"/>
      <c r="D15" s="8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T15" s="42" t="s">
        <v>535</v>
      </c>
      <c r="U15" s="32">
        <f>SUM(U23:U24)</f>
        <v>0</v>
      </c>
      <c r="V15" s="32">
        <f t="shared" ref="V15:AB15" si="4">SUM(V23:V24)</f>
        <v>0</v>
      </c>
      <c r="W15" s="32">
        <f t="shared" si="4"/>
        <v>0</v>
      </c>
      <c r="X15" s="32">
        <f t="shared" si="4"/>
        <v>0</v>
      </c>
      <c r="Y15" s="32">
        <f t="shared" si="4"/>
        <v>369662.64367999998</v>
      </c>
      <c r="Z15" s="32">
        <f t="shared" si="4"/>
        <v>812690.27712999994</v>
      </c>
      <c r="AA15" s="32">
        <f t="shared" si="4"/>
        <v>0</v>
      </c>
      <c r="AB15" s="479">
        <f t="shared" si="4"/>
        <v>0</v>
      </c>
      <c r="AC15" s="15"/>
    </row>
    <row r="16" spans="1:29" x14ac:dyDescent="0.25">
      <c r="A16" s="390"/>
      <c r="B16" s="19"/>
      <c r="C16" s="22" t="s">
        <v>480</v>
      </c>
      <c r="D16" s="80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0"/>
        <v>0</v>
      </c>
      <c r="T16" s="42" t="s">
        <v>534</v>
      </c>
      <c r="U16" s="32">
        <f>SUM(U25)</f>
        <v>0</v>
      </c>
      <c r="V16" s="32">
        <f t="shared" ref="V16:AB16" si="5">SUM(V25)</f>
        <v>0</v>
      </c>
      <c r="W16" s="32">
        <f t="shared" si="5"/>
        <v>0</v>
      </c>
      <c r="X16" s="32">
        <f t="shared" si="5"/>
        <v>0</v>
      </c>
      <c r="Y16" s="32">
        <f t="shared" si="5"/>
        <v>0</v>
      </c>
      <c r="Z16" s="32">
        <f t="shared" si="5"/>
        <v>939122.72048000002</v>
      </c>
      <c r="AA16" s="32">
        <f t="shared" si="5"/>
        <v>0</v>
      </c>
      <c r="AB16" s="479">
        <f t="shared" si="5"/>
        <v>239628.12539002372</v>
      </c>
      <c r="AC16" s="15"/>
    </row>
    <row r="17" spans="1:29" x14ac:dyDescent="0.25">
      <c r="A17" s="390"/>
      <c r="B17" s="19"/>
      <c r="C17" s="22" t="s">
        <v>481</v>
      </c>
      <c r="D17" s="8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0"/>
        <v>0</v>
      </c>
      <c r="T17" s="42"/>
      <c r="U17" s="32"/>
      <c r="V17" s="32"/>
      <c r="W17" s="32"/>
      <c r="X17" s="32"/>
      <c r="Y17" s="32"/>
      <c r="Z17" s="32"/>
      <c r="AA17" s="32"/>
      <c r="AB17" s="479"/>
      <c r="AC17" s="15"/>
    </row>
    <row r="18" spans="1:29" x14ac:dyDescent="0.25">
      <c r="A18" s="390"/>
      <c r="B18" s="19"/>
      <c r="C18" s="22" t="s">
        <v>482</v>
      </c>
      <c r="D18" s="80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0"/>
        <v>0</v>
      </c>
      <c r="T18" s="42" t="s">
        <v>537</v>
      </c>
      <c r="U18" s="32">
        <f>Q6</f>
        <v>234957.95829889335</v>
      </c>
      <c r="V18" s="32">
        <f>Q7</f>
        <v>43832265.387779467</v>
      </c>
      <c r="W18" s="32"/>
      <c r="X18" s="32"/>
      <c r="Y18" s="32"/>
      <c r="Z18" s="32"/>
      <c r="AA18" s="32"/>
      <c r="AB18" s="479"/>
      <c r="AC18" s="15"/>
    </row>
    <row r="19" spans="1:29" x14ac:dyDescent="0.25">
      <c r="A19" s="390"/>
      <c r="B19" s="19"/>
      <c r="C19" s="22" t="s">
        <v>483</v>
      </c>
      <c r="D19" s="80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0"/>
        <v>0</v>
      </c>
      <c r="T19" s="42" t="s">
        <v>538</v>
      </c>
      <c r="U19" s="32">
        <f>Q8</f>
        <v>47895.503124793642</v>
      </c>
      <c r="V19" s="32"/>
      <c r="W19" s="32">
        <f>Q9</f>
        <v>13796008.175717343</v>
      </c>
      <c r="X19" s="32">
        <f>Q10</f>
        <v>360849.6163488765</v>
      </c>
      <c r="Y19" s="32">
        <f>Q14</f>
        <v>2531377.274420199</v>
      </c>
      <c r="Z19" s="32">
        <f>Q22</f>
        <v>450915.38481373189</v>
      </c>
      <c r="AA19" s="32"/>
      <c r="AB19" s="479"/>
      <c r="AC19" s="15"/>
    </row>
    <row r="20" spans="1:29" x14ac:dyDescent="0.25">
      <c r="A20" s="390"/>
      <c r="B20" s="19"/>
      <c r="C20" s="22" t="s">
        <v>484</v>
      </c>
      <c r="D20" s="80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0"/>
        <v>0</v>
      </c>
      <c r="T20" s="42" t="s">
        <v>539</v>
      </c>
      <c r="U20" s="32"/>
      <c r="V20" s="32"/>
      <c r="W20" s="32">
        <f>Q24</f>
        <v>365066.34102286567</v>
      </c>
      <c r="X20" s="32"/>
      <c r="Y20" s="32">
        <f>Q28</f>
        <v>457459.25833441602</v>
      </c>
      <c r="Z20" s="32">
        <f>Q36</f>
        <v>1089612.8489549065</v>
      </c>
      <c r="AA20" s="32"/>
      <c r="AB20" s="479"/>
      <c r="AC20" s="15"/>
    </row>
    <row r="21" spans="1:29" x14ac:dyDescent="0.25">
      <c r="A21" s="390"/>
      <c r="B21" s="19"/>
      <c r="C21" s="22" t="s">
        <v>485</v>
      </c>
      <c r="D21" s="8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>
        <f t="shared" si="0"/>
        <v>0</v>
      </c>
      <c r="T21" s="42" t="s">
        <v>536</v>
      </c>
      <c r="U21" s="32"/>
      <c r="V21" s="32"/>
      <c r="W21" s="32"/>
      <c r="X21" s="32"/>
      <c r="Y21" s="32"/>
      <c r="Z21" s="32">
        <f>Q48</f>
        <v>554279.92517128913</v>
      </c>
      <c r="AA21" s="32"/>
      <c r="AB21" s="479"/>
      <c r="AC21" s="15"/>
    </row>
    <row r="22" spans="1:29" x14ac:dyDescent="0.25">
      <c r="A22" s="390"/>
      <c r="B22" s="19"/>
      <c r="C22" s="18" t="s">
        <v>465</v>
      </c>
      <c r="D22" s="81"/>
      <c r="E22" s="70">
        <v>34714.867430433515</v>
      </c>
      <c r="F22" s="70">
        <v>47275.697959288518</v>
      </c>
      <c r="G22" s="70">
        <v>59144.494271676245</v>
      </c>
      <c r="H22" s="70">
        <v>58520.431740066633</v>
      </c>
      <c r="I22" s="70">
        <v>50065.241860130089</v>
      </c>
      <c r="J22" s="70">
        <v>46934.408336491804</v>
      </c>
      <c r="K22" s="70">
        <v>38737.118009676487</v>
      </c>
      <c r="L22" s="70">
        <v>31631.690596183136</v>
      </c>
      <c r="M22" s="70">
        <v>27567.733851926205</v>
      </c>
      <c r="N22" s="70">
        <v>22019.368693549917</v>
      </c>
      <c r="O22" s="70">
        <v>15477.83433157931</v>
      </c>
      <c r="P22" s="70">
        <v>18826.49773273</v>
      </c>
      <c r="Q22" s="70">
        <f t="shared" si="0"/>
        <v>450915.38481373189</v>
      </c>
      <c r="T22" s="42"/>
      <c r="U22" s="32"/>
      <c r="V22" s="32"/>
      <c r="W22" s="32"/>
      <c r="X22" s="32"/>
      <c r="Y22" s="32"/>
      <c r="Z22" s="32"/>
      <c r="AA22" s="32"/>
      <c r="AB22" s="479"/>
      <c r="AC22" s="15"/>
    </row>
    <row r="23" spans="1:29" x14ac:dyDescent="0.25">
      <c r="B23" s="19"/>
      <c r="C23" s="18"/>
      <c r="D23" s="8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T23" s="42" t="s">
        <v>540</v>
      </c>
      <c r="U23" s="32"/>
      <c r="V23" s="32"/>
      <c r="W23" s="32"/>
      <c r="X23" s="32"/>
      <c r="Y23" s="32">
        <f>Q53</f>
        <v>369662.64367999998</v>
      </c>
      <c r="Z23" s="32">
        <f>Q61</f>
        <v>288298.92524000001</v>
      </c>
      <c r="AA23" s="32"/>
      <c r="AB23" s="479"/>
      <c r="AC23" s="15"/>
    </row>
    <row r="24" spans="1:29" x14ac:dyDescent="0.25">
      <c r="B24" s="19"/>
      <c r="C24" s="18" t="s">
        <v>486</v>
      </c>
      <c r="D24" s="81"/>
      <c r="E24" s="70">
        <v>19345.933480321037</v>
      </c>
      <c r="F24" s="70">
        <v>30064.977793337694</v>
      </c>
      <c r="G24" s="70">
        <v>41121.695187085847</v>
      </c>
      <c r="H24" s="70">
        <v>54312.731415553841</v>
      </c>
      <c r="I24" s="70">
        <v>43543.237852989194</v>
      </c>
      <c r="J24" s="70">
        <v>43230.85353751864</v>
      </c>
      <c r="K24" s="70">
        <v>34747.821613317778</v>
      </c>
      <c r="L24" s="70">
        <v>25095.373183147989</v>
      </c>
      <c r="M24" s="70">
        <v>20283.418053550049</v>
      </c>
      <c r="N24" s="70">
        <v>19028.48827861563</v>
      </c>
      <c r="O24" s="70">
        <v>16904.240359026269</v>
      </c>
      <c r="P24" s="70">
        <v>17387.57026840172</v>
      </c>
      <c r="Q24" s="70">
        <f t="shared" si="0"/>
        <v>365066.34102286567</v>
      </c>
      <c r="T24" s="42" t="s">
        <v>541</v>
      </c>
      <c r="U24" s="32"/>
      <c r="V24" s="32"/>
      <c r="W24" s="32"/>
      <c r="X24" s="32"/>
      <c r="Y24" s="32"/>
      <c r="Z24" s="32">
        <f>Q73</f>
        <v>524391.35188999993</v>
      </c>
      <c r="AA24" s="32"/>
      <c r="AB24" s="479"/>
      <c r="AC24" s="15"/>
    </row>
    <row r="25" spans="1:29" x14ac:dyDescent="0.25">
      <c r="B25" s="19"/>
      <c r="C25" s="18"/>
      <c r="D25" s="80"/>
      <c r="T25" s="62" t="s">
        <v>542</v>
      </c>
      <c r="U25" s="36"/>
      <c r="V25" s="36"/>
      <c r="W25" s="36"/>
      <c r="X25" s="36"/>
      <c r="Y25" s="36"/>
      <c r="Z25" s="36">
        <f>Q81</f>
        <v>939122.72048000002</v>
      </c>
      <c r="AA25" s="36"/>
      <c r="AB25" s="480">
        <f>Q83</f>
        <v>239628.12539002372</v>
      </c>
      <c r="AC25" s="15"/>
    </row>
    <row r="26" spans="1:29" x14ac:dyDescent="0.25">
      <c r="B26" s="19"/>
      <c r="C26" s="22" t="s">
        <v>487</v>
      </c>
      <c r="D26" s="80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0"/>
        <v>0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</row>
    <row r="27" spans="1:29" x14ac:dyDescent="0.25">
      <c r="B27" s="19"/>
      <c r="C27" s="22" t="s">
        <v>488</v>
      </c>
      <c r="D27" s="8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f t="shared" si="0"/>
        <v>0</v>
      </c>
    </row>
    <row r="28" spans="1:29" x14ac:dyDescent="0.25">
      <c r="A28" s="19"/>
      <c r="B28" s="19"/>
      <c r="C28" s="18" t="s">
        <v>489</v>
      </c>
      <c r="D28" s="81"/>
      <c r="E28" s="70">
        <v>31449.757814733595</v>
      </c>
      <c r="F28" s="70">
        <v>36435.017779760892</v>
      </c>
      <c r="G28" s="70">
        <v>47625.498979127085</v>
      </c>
      <c r="H28" s="70">
        <v>53538.218777481088</v>
      </c>
      <c r="I28" s="70">
        <v>49206.877142176876</v>
      </c>
      <c r="J28" s="70">
        <v>50979.612875836101</v>
      </c>
      <c r="K28" s="70">
        <v>44626.937974454297</v>
      </c>
      <c r="L28" s="70">
        <v>35884.713430350086</v>
      </c>
      <c r="M28" s="70">
        <v>28237.354693259429</v>
      </c>
      <c r="N28" s="70">
        <v>27620.707433065778</v>
      </c>
      <c r="O28" s="70">
        <v>25177.845169212898</v>
      </c>
      <c r="P28" s="70">
        <v>26676.71626495797</v>
      </c>
      <c r="Q28" s="70">
        <f t="shared" si="0"/>
        <v>457459.25833441602</v>
      </c>
    </row>
    <row r="29" spans="1:29" x14ac:dyDescent="0.25">
      <c r="A29" s="19"/>
      <c r="B29" s="19"/>
      <c r="C29" s="18"/>
      <c r="D29" s="8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29" x14ac:dyDescent="0.25">
      <c r="A30" s="19"/>
      <c r="B30" s="19"/>
      <c r="C30" s="22" t="s">
        <v>490</v>
      </c>
      <c r="D30" s="8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>
        <f t="shared" si="0"/>
        <v>0</v>
      </c>
    </row>
    <row r="31" spans="1:29" x14ac:dyDescent="0.25">
      <c r="A31" s="19"/>
      <c r="B31" s="19"/>
      <c r="C31" s="22" t="s">
        <v>491</v>
      </c>
      <c r="D31" s="80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f t="shared" si="0"/>
        <v>0</v>
      </c>
    </row>
    <row r="32" spans="1:29" x14ac:dyDescent="0.25">
      <c r="A32" s="19"/>
      <c r="B32" s="19"/>
      <c r="C32" s="22" t="s">
        <v>492</v>
      </c>
      <c r="D32" s="80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>
        <f t="shared" si="0"/>
        <v>0</v>
      </c>
    </row>
    <row r="33" spans="1:17" x14ac:dyDescent="0.25">
      <c r="A33" s="19"/>
      <c r="B33" s="19"/>
      <c r="C33" s="22" t="s">
        <v>493</v>
      </c>
      <c r="D33" s="80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>
        <f t="shared" si="0"/>
        <v>0</v>
      </c>
    </row>
    <row r="34" spans="1:17" x14ac:dyDescent="0.25">
      <c r="A34" s="19"/>
      <c r="B34" s="19"/>
      <c r="C34" s="22" t="s">
        <v>494</v>
      </c>
      <c r="D34" s="80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>
        <f t="shared" si="0"/>
        <v>0</v>
      </c>
    </row>
    <row r="35" spans="1:17" x14ac:dyDescent="0.25">
      <c r="A35" s="19"/>
      <c r="B35" s="19"/>
      <c r="C35" s="22" t="s">
        <v>495</v>
      </c>
      <c r="D35" s="8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>
        <f t="shared" si="0"/>
        <v>0</v>
      </c>
    </row>
    <row r="36" spans="1:17" x14ac:dyDescent="0.25">
      <c r="A36" s="19"/>
      <c r="B36" s="19"/>
      <c r="C36" s="18" t="s">
        <v>496</v>
      </c>
      <c r="D36" s="81"/>
      <c r="E36" s="70">
        <v>83005.477997312191</v>
      </c>
      <c r="F36" s="70">
        <v>92647.276761197878</v>
      </c>
      <c r="G36" s="70">
        <v>108376.04781667516</v>
      </c>
      <c r="H36" s="70">
        <v>125961.69408675467</v>
      </c>
      <c r="I36" s="70">
        <v>105534.29778852081</v>
      </c>
      <c r="J36" s="70">
        <v>108272.43998202364</v>
      </c>
      <c r="K36" s="70">
        <v>100206.05027974416</v>
      </c>
      <c r="L36" s="70">
        <v>81365.249193721116</v>
      </c>
      <c r="M36" s="70">
        <v>74202.082411073905</v>
      </c>
      <c r="N36" s="70">
        <v>71380.547619848134</v>
      </c>
      <c r="O36" s="70">
        <v>68950.076339515261</v>
      </c>
      <c r="P36" s="70">
        <v>69711.608678519551</v>
      </c>
      <c r="Q36" s="70">
        <f t="shared" si="0"/>
        <v>1089612.8489549065</v>
      </c>
    </row>
    <row r="37" spans="1:17" x14ac:dyDescent="0.25">
      <c r="A37" s="19"/>
      <c r="B37" s="19"/>
      <c r="C37" s="18"/>
      <c r="D37" s="80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25">
      <c r="A38" s="19"/>
      <c r="B38" s="25"/>
      <c r="C38" s="22"/>
      <c r="D38" s="8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>
        <f t="shared" si="0"/>
        <v>0</v>
      </c>
    </row>
    <row r="39" spans="1:17" x14ac:dyDescent="0.25">
      <c r="A39" s="19"/>
      <c r="B39" s="19"/>
      <c r="C39" s="22"/>
      <c r="D39" s="80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>
        <f t="shared" si="0"/>
        <v>0</v>
      </c>
    </row>
    <row r="40" spans="1:17" x14ac:dyDescent="0.25">
      <c r="A40" s="19"/>
      <c r="B40" s="19"/>
      <c r="C40" s="370"/>
      <c r="D40" s="81"/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f t="shared" si="0"/>
        <v>0</v>
      </c>
    </row>
    <row r="41" spans="1:17" x14ac:dyDescent="0.25">
      <c r="A41" s="19"/>
      <c r="B41" s="19"/>
      <c r="C41" s="370"/>
      <c r="D41" s="39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25">
      <c r="A42" s="19"/>
      <c r="B42" s="19"/>
      <c r="C42" s="22" t="s">
        <v>497</v>
      </c>
      <c r="D42" s="8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>
        <f t="shared" si="0"/>
        <v>0</v>
      </c>
    </row>
    <row r="43" spans="1:17" x14ac:dyDescent="0.25">
      <c r="A43" s="19"/>
      <c r="B43" s="19"/>
      <c r="C43" s="22" t="s">
        <v>498</v>
      </c>
      <c r="D43" s="8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>
        <f t="shared" si="0"/>
        <v>0</v>
      </c>
    </row>
    <row r="44" spans="1:17" x14ac:dyDescent="0.25">
      <c r="A44" s="19"/>
      <c r="B44" s="19"/>
      <c r="C44" s="22" t="s">
        <v>499</v>
      </c>
      <c r="D44" s="8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>
        <f t="shared" si="0"/>
        <v>0</v>
      </c>
    </row>
    <row r="45" spans="1:17" x14ac:dyDescent="0.25">
      <c r="A45" s="19"/>
      <c r="B45" s="19"/>
      <c r="C45" s="22" t="s">
        <v>500</v>
      </c>
      <c r="D45" s="8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>
        <f t="shared" si="0"/>
        <v>0</v>
      </c>
    </row>
    <row r="46" spans="1:17" x14ac:dyDescent="0.25">
      <c r="A46" s="19"/>
      <c r="B46" s="19"/>
      <c r="C46" s="22" t="s">
        <v>501</v>
      </c>
      <c r="D46" s="8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>
        <f t="shared" si="0"/>
        <v>0</v>
      </c>
    </row>
    <row r="47" spans="1:17" x14ac:dyDescent="0.25">
      <c r="A47" s="390"/>
      <c r="B47" s="19"/>
      <c r="C47" s="22" t="s">
        <v>502</v>
      </c>
      <c r="D47" s="80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>
        <f t="shared" si="0"/>
        <v>0</v>
      </c>
    </row>
    <row r="48" spans="1:17" x14ac:dyDescent="0.25">
      <c r="A48" s="390"/>
      <c r="B48" s="19"/>
      <c r="C48" s="370" t="s">
        <v>470</v>
      </c>
      <c r="D48" s="81"/>
      <c r="E48" s="70">
        <v>44327.447330439878</v>
      </c>
      <c r="F48" s="70">
        <v>51884.944466932247</v>
      </c>
      <c r="G48" s="70">
        <v>59002.040771145985</v>
      </c>
      <c r="H48" s="70">
        <v>53760.618326106669</v>
      </c>
      <c r="I48" s="70">
        <v>53344.552199061174</v>
      </c>
      <c r="J48" s="70">
        <v>49779.330028955592</v>
      </c>
      <c r="K48" s="70">
        <v>45605.955105402114</v>
      </c>
      <c r="L48" s="70">
        <v>41551.795363693775</v>
      </c>
      <c r="M48" s="70">
        <v>40800.834725185276</v>
      </c>
      <c r="N48" s="70">
        <v>35973.545998290851</v>
      </c>
      <c r="O48" s="70">
        <v>38019.71418489291</v>
      </c>
      <c r="P48" s="70">
        <v>40229.146671182702</v>
      </c>
      <c r="Q48" s="70">
        <f t="shared" si="0"/>
        <v>554279.92517128913</v>
      </c>
    </row>
    <row r="49" spans="1:17" x14ac:dyDescent="0.25">
      <c r="A49" s="390"/>
      <c r="B49" s="19"/>
      <c r="C49" s="370"/>
      <c r="D49" s="39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25">
      <c r="A50" s="390"/>
      <c r="B50" s="26"/>
      <c r="C50" s="18"/>
      <c r="D50" s="8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5">
      <c r="A51" s="390"/>
      <c r="B51" s="371" t="s">
        <v>503</v>
      </c>
      <c r="C51" s="22" t="s">
        <v>504</v>
      </c>
      <c r="D51" s="80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f t="shared" si="0"/>
        <v>0</v>
      </c>
    </row>
    <row r="52" spans="1:17" x14ac:dyDescent="0.25">
      <c r="A52" s="19"/>
      <c r="B52" s="26"/>
      <c r="C52" s="22" t="s">
        <v>505</v>
      </c>
      <c r="D52" s="80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>
        <f t="shared" si="0"/>
        <v>0</v>
      </c>
    </row>
    <row r="53" spans="1:17" x14ac:dyDescent="0.25">
      <c r="A53" s="19"/>
      <c r="B53" s="26"/>
      <c r="C53" s="370" t="s">
        <v>464</v>
      </c>
      <c r="D53" s="80"/>
      <c r="E53" s="70">
        <v>30014.670140000002</v>
      </c>
      <c r="F53" s="70">
        <v>37570.595000000001</v>
      </c>
      <c r="G53" s="70">
        <v>48028.875</v>
      </c>
      <c r="H53" s="70">
        <v>41518.620000000003</v>
      </c>
      <c r="I53" s="70">
        <v>41626.949999999997</v>
      </c>
      <c r="J53" s="70">
        <v>39949.235000000001</v>
      </c>
      <c r="K53" s="70">
        <v>31828.750319999999</v>
      </c>
      <c r="L53" s="70">
        <v>22867.361079999999</v>
      </c>
      <c r="M53" s="70">
        <v>21046.143469999999</v>
      </c>
      <c r="N53" s="70">
        <v>17117.177179999999</v>
      </c>
      <c r="O53" s="70">
        <v>17375.670099999999</v>
      </c>
      <c r="P53" s="70">
        <v>20718.596389999999</v>
      </c>
      <c r="Q53" s="70">
        <f t="shared" si="0"/>
        <v>369662.64367999998</v>
      </c>
    </row>
    <row r="54" spans="1:17" x14ac:dyDescent="0.25">
      <c r="A54" s="19"/>
      <c r="B54" s="26"/>
      <c r="C54" s="18"/>
      <c r="D54" s="80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25">
      <c r="A55" s="19"/>
      <c r="B55" s="371"/>
      <c r="C55" s="22" t="s">
        <v>506</v>
      </c>
      <c r="D55" s="8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>
        <f t="shared" si="0"/>
        <v>0</v>
      </c>
    </row>
    <row r="56" spans="1:17" x14ac:dyDescent="0.25">
      <c r="A56" s="19"/>
      <c r="B56" s="26"/>
      <c r="C56" s="22" t="s">
        <v>507</v>
      </c>
      <c r="D56" s="8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>
        <f t="shared" si="0"/>
        <v>0</v>
      </c>
    </row>
    <row r="57" spans="1:17" x14ac:dyDescent="0.25">
      <c r="A57" s="19"/>
      <c r="B57" s="26"/>
      <c r="C57" s="22" t="s">
        <v>508</v>
      </c>
      <c r="D57" s="8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>
        <f t="shared" si="0"/>
        <v>0</v>
      </c>
    </row>
    <row r="58" spans="1:17" x14ac:dyDescent="0.25">
      <c r="A58" s="19"/>
      <c r="B58" s="26"/>
      <c r="C58" s="22" t="s">
        <v>509</v>
      </c>
      <c r="D58" s="8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>
        <f t="shared" si="0"/>
        <v>0</v>
      </c>
    </row>
    <row r="59" spans="1:17" x14ac:dyDescent="0.25">
      <c r="A59" s="19"/>
      <c r="B59" s="26"/>
      <c r="C59" s="22" t="s">
        <v>510</v>
      </c>
      <c r="D59" s="8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>
        <f t="shared" si="0"/>
        <v>0</v>
      </c>
    </row>
    <row r="60" spans="1:17" x14ac:dyDescent="0.25">
      <c r="A60" s="19"/>
      <c r="B60" s="26"/>
      <c r="C60" s="22" t="s">
        <v>511</v>
      </c>
      <c r="D60" s="80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>
        <f t="shared" si="0"/>
        <v>0</v>
      </c>
    </row>
    <row r="61" spans="1:17" x14ac:dyDescent="0.25">
      <c r="A61" s="19"/>
      <c r="B61" s="371"/>
      <c r="C61" s="370" t="s">
        <v>465</v>
      </c>
      <c r="D61" s="396"/>
      <c r="E61" s="70">
        <v>24024.838169999999</v>
      </c>
      <c r="F61" s="70">
        <v>25489.802349999998</v>
      </c>
      <c r="G61" s="70">
        <v>26705.624059999998</v>
      </c>
      <c r="H61" s="70">
        <v>25153.18763</v>
      </c>
      <c r="I61" s="70">
        <v>24238.777489999997</v>
      </c>
      <c r="J61" s="70">
        <v>24695.893369999998</v>
      </c>
      <c r="K61" s="70">
        <v>23393.326659999999</v>
      </c>
      <c r="L61" s="70">
        <v>22675.76425</v>
      </c>
      <c r="M61" s="70">
        <v>21981.00965</v>
      </c>
      <c r="N61" s="70">
        <v>22190.466220000002</v>
      </c>
      <c r="O61" s="70">
        <v>23746.651819999999</v>
      </c>
      <c r="P61" s="70">
        <v>24003.583569999999</v>
      </c>
      <c r="Q61" s="70">
        <f t="shared" si="0"/>
        <v>288298.92524000001</v>
      </c>
    </row>
    <row r="62" spans="1:17" x14ac:dyDescent="0.25">
      <c r="A62" s="19"/>
      <c r="B62" s="371"/>
      <c r="C62" s="370"/>
      <c r="D62" s="39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25">
      <c r="A63" s="19"/>
      <c r="B63" s="371"/>
      <c r="C63" s="22"/>
      <c r="D63" s="8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>
        <f t="shared" si="0"/>
        <v>0</v>
      </c>
    </row>
    <row r="64" spans="1:17" x14ac:dyDescent="0.25">
      <c r="A64" s="19"/>
      <c r="B64" s="371"/>
      <c r="C64" s="22"/>
      <c r="D64" s="80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>
        <f t="shared" si="0"/>
        <v>0</v>
      </c>
    </row>
    <row r="65" spans="1:17" x14ac:dyDescent="0.25">
      <c r="A65" s="19"/>
      <c r="B65" s="371"/>
      <c r="C65" s="370"/>
      <c r="D65" s="81"/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f t="shared" si="0"/>
        <v>0</v>
      </c>
    </row>
    <row r="66" spans="1:17" x14ac:dyDescent="0.25">
      <c r="A66" s="19"/>
      <c r="B66" s="371"/>
      <c r="C66" s="370"/>
      <c r="D66" s="39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25">
      <c r="A67" s="19"/>
      <c r="B67" s="371"/>
      <c r="C67" s="22" t="s">
        <v>512</v>
      </c>
      <c r="D67" s="8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>
        <f t="shared" si="0"/>
        <v>0</v>
      </c>
    </row>
    <row r="68" spans="1:17" x14ac:dyDescent="0.25">
      <c r="A68" s="19"/>
      <c r="B68" s="371"/>
      <c r="C68" s="22" t="s">
        <v>513</v>
      </c>
      <c r="D68" s="8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>
        <f t="shared" si="0"/>
        <v>0</v>
      </c>
    </row>
    <row r="69" spans="1:17" x14ac:dyDescent="0.25">
      <c r="A69" s="19"/>
      <c r="B69" s="371"/>
      <c r="C69" s="22" t="s">
        <v>514</v>
      </c>
      <c r="D69" s="8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>
        <f t="shared" si="0"/>
        <v>0</v>
      </c>
    </row>
    <row r="70" spans="1:17" x14ac:dyDescent="0.25">
      <c r="A70" s="19"/>
      <c r="B70" s="371"/>
      <c r="C70" s="22" t="s">
        <v>515</v>
      </c>
      <c r="D70" s="8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>
        <f t="shared" si="0"/>
        <v>0</v>
      </c>
    </row>
    <row r="71" spans="1:17" x14ac:dyDescent="0.25">
      <c r="A71" s="19"/>
      <c r="B71" s="371"/>
      <c r="C71" s="22" t="s">
        <v>516</v>
      </c>
      <c r="D71" s="8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>
        <f t="shared" ref="Q71:Q83" si="6">SUM(E71:P71)</f>
        <v>0</v>
      </c>
    </row>
    <row r="72" spans="1:17" x14ac:dyDescent="0.25">
      <c r="A72" s="19"/>
      <c r="B72" s="371"/>
      <c r="C72" s="22" t="s">
        <v>517</v>
      </c>
      <c r="D72" s="80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>
        <f t="shared" si="6"/>
        <v>0</v>
      </c>
    </row>
    <row r="73" spans="1:17" x14ac:dyDescent="0.25">
      <c r="A73" s="19"/>
      <c r="B73" s="371"/>
      <c r="C73" s="370" t="s">
        <v>468</v>
      </c>
      <c r="D73" s="81"/>
      <c r="E73" s="70">
        <v>42022.794780000004</v>
      </c>
      <c r="F73" s="70">
        <v>45713.683400000002</v>
      </c>
      <c r="G73" s="70">
        <v>48137.505560000005</v>
      </c>
      <c r="H73" s="70">
        <v>47288.372899999995</v>
      </c>
      <c r="I73" s="70">
        <v>46733.112540000002</v>
      </c>
      <c r="J73" s="70">
        <v>47324.863870000001</v>
      </c>
      <c r="K73" s="70">
        <v>44747.625379999998</v>
      </c>
      <c r="L73" s="70">
        <v>41299.933149999997</v>
      </c>
      <c r="M73" s="70">
        <v>40657.982570000007</v>
      </c>
      <c r="N73" s="70">
        <v>40012.555999999997</v>
      </c>
      <c r="O73" s="70">
        <v>39873.4715</v>
      </c>
      <c r="P73" s="70">
        <v>40579.450239999998</v>
      </c>
      <c r="Q73" s="70">
        <f t="shared" si="6"/>
        <v>524391.35188999993</v>
      </c>
    </row>
    <row r="74" spans="1:17" x14ac:dyDescent="0.25">
      <c r="A74" s="19"/>
      <c r="B74" s="371"/>
      <c r="C74" s="370"/>
      <c r="D74" s="39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25">
      <c r="A75" s="19"/>
      <c r="B75" s="371"/>
      <c r="C75" s="22" t="s">
        <v>518</v>
      </c>
      <c r="D75" s="80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>
        <f t="shared" si="6"/>
        <v>0</v>
      </c>
    </row>
    <row r="76" spans="1:17" x14ac:dyDescent="0.25">
      <c r="A76" s="19"/>
      <c r="B76" s="371"/>
      <c r="C76" s="22" t="s">
        <v>519</v>
      </c>
      <c r="D76" s="80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f t="shared" si="6"/>
        <v>0</v>
      </c>
    </row>
    <row r="77" spans="1:17" x14ac:dyDescent="0.25">
      <c r="A77" s="19"/>
      <c r="B77" s="371"/>
      <c r="C77" s="22" t="s">
        <v>520</v>
      </c>
      <c r="D77" s="80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f t="shared" si="6"/>
        <v>0</v>
      </c>
    </row>
    <row r="78" spans="1:17" x14ac:dyDescent="0.25">
      <c r="A78" s="19"/>
      <c r="B78" s="371"/>
      <c r="C78" s="22" t="s">
        <v>521</v>
      </c>
      <c r="D78" s="80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>
        <f t="shared" si="6"/>
        <v>0</v>
      </c>
    </row>
    <row r="79" spans="1:17" x14ac:dyDescent="0.25">
      <c r="A79" s="19"/>
      <c r="B79" s="371"/>
      <c r="C79" s="22" t="s">
        <v>522</v>
      </c>
      <c r="D79" s="80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>
        <f t="shared" si="6"/>
        <v>0</v>
      </c>
    </row>
    <row r="80" spans="1:17" x14ac:dyDescent="0.25">
      <c r="A80" s="19"/>
      <c r="B80" s="371"/>
      <c r="C80" s="22" t="s">
        <v>523</v>
      </c>
      <c r="D80" s="8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>
        <f t="shared" si="6"/>
        <v>0</v>
      </c>
    </row>
    <row r="81" spans="1:17" x14ac:dyDescent="0.25">
      <c r="A81" s="19"/>
      <c r="B81" s="371"/>
      <c r="C81" s="370" t="s">
        <v>470</v>
      </c>
      <c r="D81" s="81"/>
      <c r="E81" s="70">
        <v>93206.00542999999</v>
      </c>
      <c r="F81" s="70">
        <v>76764.720720000012</v>
      </c>
      <c r="G81" s="70">
        <v>78854.79621</v>
      </c>
      <c r="H81" s="70">
        <v>75831.544370000003</v>
      </c>
      <c r="I81" s="70">
        <v>68072.913350000017</v>
      </c>
      <c r="J81" s="70">
        <v>75560.6777</v>
      </c>
      <c r="K81" s="70">
        <v>75853.111089999991</v>
      </c>
      <c r="L81" s="70">
        <v>75363.375180000003</v>
      </c>
      <c r="M81" s="70">
        <v>73282.349660000007</v>
      </c>
      <c r="N81" s="70">
        <v>77484.124349999998</v>
      </c>
      <c r="O81" s="70">
        <v>86778.876909999992</v>
      </c>
      <c r="P81" s="70">
        <v>82070.225510000004</v>
      </c>
      <c r="Q81" s="70">
        <f t="shared" si="6"/>
        <v>939122.72048000002</v>
      </c>
    </row>
    <row r="82" spans="1:17" x14ac:dyDescent="0.25">
      <c r="A82" s="19"/>
      <c r="B82" s="371"/>
      <c r="C82" s="370"/>
      <c r="D82" s="39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17" x14ac:dyDescent="0.25">
      <c r="A83" s="19"/>
      <c r="B83" s="371"/>
      <c r="C83" s="370" t="s">
        <v>429</v>
      </c>
      <c r="D83" s="81"/>
      <c r="E83" s="70">
        <v>21358.416191704455</v>
      </c>
      <c r="F83" s="70">
        <v>21513.021591712772</v>
      </c>
      <c r="G83" s="70">
        <v>22717.071597953152</v>
      </c>
      <c r="H83" s="70">
        <v>21617.547946915169</v>
      </c>
      <c r="I83" s="70">
        <v>20982.745350917336</v>
      </c>
      <c r="J83" s="70">
        <v>19838.353371885009</v>
      </c>
      <c r="K83" s="70">
        <v>20371.562591005531</v>
      </c>
      <c r="L83" s="70">
        <v>19251.788908765651</v>
      </c>
      <c r="M83" s="70">
        <v>18994.716478761904</v>
      </c>
      <c r="N83" s="70">
        <v>17585.181179015683</v>
      </c>
      <c r="O83" s="70">
        <v>18904.813412655487</v>
      </c>
      <c r="P83" s="70">
        <v>16492.90676873154</v>
      </c>
      <c r="Q83" s="70">
        <f t="shared" si="6"/>
        <v>239628.12539002372</v>
      </c>
    </row>
    <row r="84" spans="1:17" x14ac:dyDescent="0.25">
      <c r="A84" s="19"/>
      <c r="B84" s="371"/>
      <c r="C84" s="370"/>
      <c r="D84" s="81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</row>
    <row r="85" spans="1:17" ht="13.8" x14ac:dyDescent="0.25">
      <c r="A85" s="27"/>
      <c r="B85" s="371"/>
      <c r="C85" s="370"/>
      <c r="D85" s="39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x14ac:dyDescent="0.25">
      <c r="A86" s="17"/>
      <c r="B86" s="19"/>
      <c r="C86" s="18"/>
      <c r="D86" s="39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ht="15" x14ac:dyDescent="0.25">
      <c r="A87" s="389" t="s">
        <v>546</v>
      </c>
      <c r="B87" s="28"/>
      <c r="C87" s="29"/>
      <c r="D87" s="82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x14ac:dyDescent="0.25">
      <c r="A88" s="19"/>
      <c r="B88" s="26"/>
      <c r="C88" s="18"/>
      <c r="D88" s="83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 ht="13.8" x14ac:dyDescent="0.25">
      <c r="A89" s="388"/>
      <c r="B89" s="19" t="s">
        <v>458</v>
      </c>
      <c r="C89" s="18" t="s">
        <v>525</v>
      </c>
      <c r="D89" s="83"/>
      <c r="E89" s="16">
        <f t="shared" ref="E89:P89" si="7">+E6+E7</f>
        <v>2878505.8621865879</v>
      </c>
      <c r="F89" s="16">
        <f t="shared" si="7"/>
        <v>4939675.6189164342</v>
      </c>
      <c r="G89" s="16">
        <f t="shared" si="7"/>
        <v>6765501.7992985575</v>
      </c>
      <c r="H89" s="16">
        <f t="shared" si="7"/>
        <v>6697318.3485427452</v>
      </c>
      <c r="I89" s="16">
        <f t="shared" si="7"/>
        <v>5519888.3313891366</v>
      </c>
      <c r="J89" s="16">
        <f t="shared" si="7"/>
        <v>4906735.3643482402</v>
      </c>
      <c r="K89" s="16">
        <f t="shared" si="7"/>
        <v>3646082.0946083288</v>
      </c>
      <c r="L89" s="16">
        <f t="shared" si="7"/>
        <v>2389925.6702007996</v>
      </c>
      <c r="M89" s="16">
        <f t="shared" si="7"/>
        <v>1701662.3740018038</v>
      </c>
      <c r="N89" s="16">
        <f t="shared" si="7"/>
        <v>1510369.2441541976</v>
      </c>
      <c r="O89" s="16">
        <f t="shared" si="7"/>
        <v>1507127.8970797409</v>
      </c>
      <c r="P89" s="16">
        <f t="shared" si="7"/>
        <v>1604430.7413517872</v>
      </c>
      <c r="Q89" s="21">
        <f t="shared" ref="Q89:Q92" si="8">SUM(E89:P89)</f>
        <v>44067223.346078366</v>
      </c>
    </row>
    <row r="90" spans="1:17" ht="13.8" x14ac:dyDescent="0.25">
      <c r="A90" s="27"/>
      <c r="B90" s="26"/>
      <c r="C90" s="18" t="s">
        <v>526</v>
      </c>
      <c r="D90" s="83"/>
      <c r="E90" s="16">
        <f t="shared" ref="E90:P90" si="9">+E8+E14+E22+E10+E9</f>
        <v>1123508.8606637996</v>
      </c>
      <c r="F90" s="16">
        <f t="shared" si="9"/>
        <v>1869580.9543234818</v>
      </c>
      <c r="G90" s="16">
        <f t="shared" si="9"/>
        <v>2564117.3337400435</v>
      </c>
      <c r="H90" s="16">
        <f t="shared" si="9"/>
        <v>2541721.2702415697</v>
      </c>
      <c r="I90" s="16">
        <f t="shared" si="9"/>
        <v>2095777.9200763621</v>
      </c>
      <c r="J90" s="16">
        <f t="shared" si="9"/>
        <v>1872041.772172597</v>
      </c>
      <c r="K90" s="16">
        <f t="shared" si="9"/>
        <v>1407370.5468120156</v>
      </c>
      <c r="L90" s="16">
        <f t="shared" si="9"/>
        <v>972728.25568545295</v>
      </c>
      <c r="M90" s="16">
        <f t="shared" si="9"/>
        <v>743492.94794143434</v>
      </c>
      <c r="N90" s="16">
        <f t="shared" si="9"/>
        <v>666506.165531768</v>
      </c>
      <c r="O90" s="16">
        <f t="shared" si="9"/>
        <v>657596.68885452219</v>
      </c>
      <c r="P90" s="16">
        <f t="shared" si="9"/>
        <v>672603.23838189628</v>
      </c>
      <c r="Q90" s="21">
        <f t="shared" si="8"/>
        <v>17187045.954424944</v>
      </c>
    </row>
    <row r="91" spans="1:17" ht="13.8" x14ac:dyDescent="0.25">
      <c r="A91" s="27"/>
      <c r="B91" s="26"/>
      <c r="C91" s="18" t="s">
        <v>527</v>
      </c>
      <c r="D91" s="83"/>
      <c r="E91" s="16">
        <f t="shared" ref="E91:P91" si="10">+E24+E28+E36</f>
        <v>133801.16929236683</v>
      </c>
      <c r="F91" s="16">
        <f t="shared" si="10"/>
        <v>159147.27233429646</v>
      </c>
      <c r="G91" s="16">
        <f t="shared" si="10"/>
        <v>197123.24198288808</v>
      </c>
      <c r="H91" s="16">
        <f t="shared" si="10"/>
        <v>233812.64427978959</v>
      </c>
      <c r="I91" s="16">
        <f t="shared" si="10"/>
        <v>198284.41278368689</v>
      </c>
      <c r="J91" s="16">
        <f t="shared" si="10"/>
        <v>202482.90639537838</v>
      </c>
      <c r="K91" s="16">
        <f t="shared" si="10"/>
        <v>179580.80986751622</v>
      </c>
      <c r="L91" s="16">
        <f t="shared" si="10"/>
        <v>142345.33580721921</v>
      </c>
      <c r="M91" s="16">
        <f t="shared" si="10"/>
        <v>122722.85515788339</v>
      </c>
      <c r="N91" s="16">
        <f t="shared" si="10"/>
        <v>118029.74333152955</v>
      </c>
      <c r="O91" s="16">
        <f t="shared" si="10"/>
        <v>111032.16186775443</v>
      </c>
      <c r="P91" s="16">
        <f t="shared" si="10"/>
        <v>113775.89521187924</v>
      </c>
      <c r="Q91" s="21">
        <f t="shared" si="8"/>
        <v>1912138.448312188</v>
      </c>
    </row>
    <row r="92" spans="1:17" ht="13.8" x14ac:dyDescent="0.25">
      <c r="A92" s="27"/>
      <c r="B92" s="19"/>
      <c r="C92" s="18" t="s">
        <v>528</v>
      </c>
      <c r="D92" s="83"/>
      <c r="E92" s="20">
        <f t="shared" ref="E92:P92" si="11">+E40+E48</f>
        <v>44327.447330439878</v>
      </c>
      <c r="F92" s="20">
        <f t="shared" si="11"/>
        <v>51884.944466932247</v>
      </c>
      <c r="G92" s="20">
        <f t="shared" si="11"/>
        <v>59002.040771145985</v>
      </c>
      <c r="H92" s="20">
        <f t="shared" si="11"/>
        <v>53760.618326106669</v>
      </c>
      <c r="I92" s="20">
        <f t="shared" si="11"/>
        <v>53344.552199061174</v>
      </c>
      <c r="J92" s="20">
        <f t="shared" si="11"/>
        <v>49779.330028955592</v>
      </c>
      <c r="K92" s="20">
        <f t="shared" si="11"/>
        <v>45605.955105402114</v>
      </c>
      <c r="L92" s="20">
        <f t="shared" si="11"/>
        <v>41551.795363693775</v>
      </c>
      <c r="M92" s="20">
        <f t="shared" si="11"/>
        <v>40800.834725185276</v>
      </c>
      <c r="N92" s="20">
        <f t="shared" si="11"/>
        <v>35973.545998290851</v>
      </c>
      <c r="O92" s="20">
        <f t="shared" si="11"/>
        <v>38019.71418489291</v>
      </c>
      <c r="P92" s="20">
        <f t="shared" si="11"/>
        <v>40229.146671182702</v>
      </c>
      <c r="Q92" s="20">
        <f t="shared" si="8"/>
        <v>554279.92517128913</v>
      </c>
    </row>
    <row r="93" spans="1:17" ht="13.8" x14ac:dyDescent="0.25">
      <c r="A93" s="27"/>
      <c r="B93" s="19"/>
      <c r="C93" s="18"/>
      <c r="D93" s="83"/>
      <c r="E93" s="16">
        <f t="shared" ref="E93:G93" si="12">SUM(E89:E92)</f>
        <v>4180143.339473194</v>
      </c>
      <c r="F93" s="16">
        <f t="shared" si="12"/>
        <v>7020288.7900411449</v>
      </c>
      <c r="G93" s="16">
        <f t="shared" si="12"/>
        <v>9585744.4157926347</v>
      </c>
      <c r="H93" s="16">
        <f t="shared" ref="H93:Q93" si="13">SUM(H89:H92)</f>
        <v>9526612.8813902121</v>
      </c>
      <c r="I93" s="16">
        <f t="shared" si="13"/>
        <v>7867295.2164482465</v>
      </c>
      <c r="J93" s="16">
        <f t="shared" si="13"/>
        <v>7031039.3729451718</v>
      </c>
      <c r="K93" s="16">
        <f t="shared" si="13"/>
        <v>5278639.4063932626</v>
      </c>
      <c r="L93" s="16">
        <f t="shared" si="13"/>
        <v>3546551.0570571655</v>
      </c>
      <c r="M93" s="16">
        <f t="shared" si="13"/>
        <v>2608679.011826307</v>
      </c>
      <c r="N93" s="16">
        <f t="shared" si="13"/>
        <v>2330878.6990157859</v>
      </c>
      <c r="O93" s="16">
        <f t="shared" si="13"/>
        <v>2313776.4619869106</v>
      </c>
      <c r="P93" s="16">
        <f t="shared" si="13"/>
        <v>2431039.0216167453</v>
      </c>
      <c r="Q93" s="16">
        <f t="shared" si="13"/>
        <v>63720687.673986785</v>
      </c>
    </row>
    <row r="94" spans="1:17" ht="13.8" x14ac:dyDescent="0.25">
      <c r="A94" s="27"/>
      <c r="B94" s="19"/>
      <c r="C94" s="18"/>
      <c r="D94" s="83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ht="13.8" x14ac:dyDescent="0.25">
      <c r="A95" s="27"/>
      <c r="B95" s="371" t="s">
        <v>503</v>
      </c>
      <c r="C95" s="18" t="s">
        <v>526</v>
      </c>
      <c r="D95" s="83"/>
      <c r="E95" s="16">
        <f t="shared" ref="E95:P95" si="14">E61+E53</f>
        <v>54039.508310000005</v>
      </c>
      <c r="F95" s="16">
        <f t="shared" si="14"/>
        <v>63060.397349999999</v>
      </c>
      <c r="G95" s="16">
        <f t="shared" si="14"/>
        <v>74734.499060000002</v>
      </c>
      <c r="H95" s="16">
        <f t="shared" si="14"/>
        <v>66671.807629999996</v>
      </c>
      <c r="I95" s="16">
        <f t="shared" si="14"/>
        <v>65865.72748999999</v>
      </c>
      <c r="J95" s="16">
        <f t="shared" si="14"/>
        <v>64645.128369999999</v>
      </c>
      <c r="K95" s="16">
        <f t="shared" si="14"/>
        <v>55222.076979999998</v>
      </c>
      <c r="L95" s="16">
        <f t="shared" si="14"/>
        <v>45543.125329999995</v>
      </c>
      <c r="M95" s="16">
        <f t="shared" si="14"/>
        <v>43027.153120000003</v>
      </c>
      <c r="N95" s="16">
        <f t="shared" si="14"/>
        <v>39307.643400000001</v>
      </c>
      <c r="O95" s="16">
        <f t="shared" si="14"/>
        <v>41122.321920000002</v>
      </c>
      <c r="P95" s="16">
        <f t="shared" si="14"/>
        <v>44722.179959999994</v>
      </c>
      <c r="Q95" s="16">
        <f t="shared" ref="Q95:Q98" si="15">SUM(E95:P95)</f>
        <v>657961.56892000011</v>
      </c>
    </row>
    <row r="96" spans="1:17" ht="13.8" x14ac:dyDescent="0.25">
      <c r="A96" s="27"/>
      <c r="B96" s="371"/>
      <c r="C96" s="18" t="s">
        <v>527</v>
      </c>
      <c r="D96" s="83"/>
      <c r="E96" s="16">
        <f t="shared" ref="E96:P96" si="16">+E65+E73</f>
        <v>42022.794780000004</v>
      </c>
      <c r="F96" s="16">
        <f t="shared" si="16"/>
        <v>45713.683400000002</v>
      </c>
      <c r="G96" s="16">
        <f t="shared" si="16"/>
        <v>48137.505560000005</v>
      </c>
      <c r="H96" s="16">
        <f t="shared" si="16"/>
        <v>47288.372899999995</v>
      </c>
      <c r="I96" s="16">
        <f t="shared" si="16"/>
        <v>46733.112540000002</v>
      </c>
      <c r="J96" s="16">
        <f t="shared" si="16"/>
        <v>47324.863870000001</v>
      </c>
      <c r="K96" s="16">
        <f t="shared" si="16"/>
        <v>44747.625379999998</v>
      </c>
      <c r="L96" s="16">
        <f t="shared" si="16"/>
        <v>41299.933149999997</v>
      </c>
      <c r="M96" s="16">
        <f t="shared" si="16"/>
        <v>40657.982570000007</v>
      </c>
      <c r="N96" s="16">
        <f t="shared" si="16"/>
        <v>40012.555999999997</v>
      </c>
      <c r="O96" s="16">
        <f t="shared" si="16"/>
        <v>39873.4715</v>
      </c>
      <c r="P96" s="16">
        <f t="shared" si="16"/>
        <v>40579.450239999998</v>
      </c>
      <c r="Q96" s="16">
        <f t="shared" si="15"/>
        <v>524391.35188999993</v>
      </c>
    </row>
    <row r="97" spans="1:17" ht="13.8" x14ac:dyDescent="0.25">
      <c r="A97" s="27"/>
      <c r="B97" s="371"/>
      <c r="C97" s="18" t="s">
        <v>528</v>
      </c>
      <c r="D97" s="83"/>
      <c r="E97" s="23">
        <f t="shared" ref="E97:P97" si="17">+E81</f>
        <v>93206.00542999999</v>
      </c>
      <c r="F97" s="23">
        <f t="shared" si="17"/>
        <v>76764.720720000012</v>
      </c>
      <c r="G97" s="23">
        <f t="shared" si="17"/>
        <v>78854.79621</v>
      </c>
      <c r="H97" s="23">
        <f t="shared" si="17"/>
        <v>75831.544370000003</v>
      </c>
      <c r="I97" s="23">
        <f t="shared" si="17"/>
        <v>68072.913350000017</v>
      </c>
      <c r="J97" s="23">
        <f t="shared" si="17"/>
        <v>75560.6777</v>
      </c>
      <c r="K97" s="23">
        <f t="shared" si="17"/>
        <v>75853.111089999991</v>
      </c>
      <c r="L97" s="23">
        <f t="shared" si="17"/>
        <v>75363.375180000003</v>
      </c>
      <c r="M97" s="23">
        <f t="shared" si="17"/>
        <v>73282.349660000007</v>
      </c>
      <c r="N97" s="23">
        <f t="shared" si="17"/>
        <v>77484.124349999998</v>
      </c>
      <c r="O97" s="23">
        <f t="shared" si="17"/>
        <v>86778.876909999992</v>
      </c>
      <c r="P97" s="23">
        <f t="shared" si="17"/>
        <v>82070.225510000004</v>
      </c>
      <c r="Q97" s="23">
        <f t="shared" si="15"/>
        <v>939122.72048000002</v>
      </c>
    </row>
    <row r="98" spans="1:17" ht="13.8" x14ac:dyDescent="0.25">
      <c r="A98" s="27"/>
      <c r="B98" s="371"/>
      <c r="C98" s="370" t="s">
        <v>473</v>
      </c>
      <c r="D98" s="395"/>
      <c r="E98" s="20">
        <f t="shared" ref="E98:P98" si="18">+E83</f>
        <v>21358.416191704455</v>
      </c>
      <c r="F98" s="20">
        <f t="shared" si="18"/>
        <v>21513.021591712772</v>
      </c>
      <c r="G98" s="20">
        <f t="shared" si="18"/>
        <v>22717.071597953152</v>
      </c>
      <c r="H98" s="20">
        <f t="shared" si="18"/>
        <v>21617.547946915169</v>
      </c>
      <c r="I98" s="20">
        <f t="shared" si="18"/>
        <v>20982.745350917336</v>
      </c>
      <c r="J98" s="20">
        <f t="shared" si="18"/>
        <v>19838.353371885009</v>
      </c>
      <c r="K98" s="20">
        <f t="shared" si="18"/>
        <v>20371.562591005531</v>
      </c>
      <c r="L98" s="20">
        <f t="shared" si="18"/>
        <v>19251.788908765651</v>
      </c>
      <c r="M98" s="20">
        <f t="shared" si="18"/>
        <v>18994.716478761904</v>
      </c>
      <c r="N98" s="20">
        <f t="shared" si="18"/>
        <v>17585.181179015683</v>
      </c>
      <c r="O98" s="20">
        <f t="shared" si="18"/>
        <v>18904.813412655487</v>
      </c>
      <c r="P98" s="20">
        <f t="shared" si="18"/>
        <v>16492.90676873154</v>
      </c>
      <c r="Q98" s="20">
        <f t="shared" si="15"/>
        <v>239628.12539002372</v>
      </c>
    </row>
    <row r="99" spans="1:17" ht="13.8" x14ac:dyDescent="0.25">
      <c r="A99" s="27"/>
      <c r="B99" s="371"/>
      <c r="C99" s="18"/>
      <c r="D99" s="83"/>
      <c r="E99" s="16">
        <f t="shared" ref="E99:Q99" si="19">SUM(E95:E98)</f>
        <v>210626.72471170445</v>
      </c>
      <c r="F99" s="16">
        <f t="shared" si="19"/>
        <v>207051.82306171278</v>
      </c>
      <c r="G99" s="16">
        <f t="shared" si="19"/>
        <v>224443.87242795317</v>
      </c>
      <c r="H99" s="16">
        <f t="shared" si="19"/>
        <v>211409.27284691515</v>
      </c>
      <c r="I99" s="16">
        <f t="shared" si="19"/>
        <v>201654.49873091734</v>
      </c>
      <c r="J99" s="16">
        <f t="shared" si="19"/>
        <v>207369.02331188502</v>
      </c>
      <c r="K99" s="16">
        <f t="shared" si="19"/>
        <v>196194.37604100551</v>
      </c>
      <c r="L99" s="16">
        <f t="shared" si="19"/>
        <v>181458.22256876563</v>
      </c>
      <c r="M99" s="16">
        <f t="shared" si="19"/>
        <v>175962.20182876193</v>
      </c>
      <c r="N99" s="16">
        <f t="shared" si="19"/>
        <v>174389.50492901567</v>
      </c>
      <c r="O99" s="16">
        <f t="shared" si="19"/>
        <v>186679.48374265549</v>
      </c>
      <c r="P99" s="16">
        <f t="shared" si="19"/>
        <v>183864.76247873151</v>
      </c>
      <c r="Q99" s="16">
        <f t="shared" si="19"/>
        <v>2361103.7666800241</v>
      </c>
    </row>
    <row r="100" spans="1:17" ht="13.8" x14ac:dyDescent="0.25">
      <c r="A100" s="27"/>
      <c r="B100" s="371"/>
      <c r="C100" s="18"/>
      <c r="D100" s="8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4"/>
    </row>
    <row r="101" spans="1:17" ht="13.8" x14ac:dyDescent="0.25">
      <c r="A101" s="27"/>
      <c r="B101" s="371"/>
      <c r="C101" s="371" t="s">
        <v>529</v>
      </c>
      <c r="D101" s="394"/>
      <c r="E101" s="16">
        <f t="shared" ref="E101:Q101" si="20">+E99+E93</f>
        <v>4390770.0641848985</v>
      </c>
      <c r="F101" s="16">
        <f t="shared" si="20"/>
        <v>7227340.613102858</v>
      </c>
      <c r="G101" s="16">
        <f t="shared" si="20"/>
        <v>9810188.2882205881</v>
      </c>
      <c r="H101" s="16">
        <f t="shared" si="20"/>
        <v>9738022.1542371269</v>
      </c>
      <c r="I101" s="16">
        <f t="shared" si="20"/>
        <v>8068949.715179164</v>
      </c>
      <c r="J101" s="16">
        <f t="shared" si="20"/>
        <v>7238408.3962570569</v>
      </c>
      <c r="K101" s="16">
        <f t="shared" si="20"/>
        <v>5474833.7824342679</v>
      </c>
      <c r="L101" s="16">
        <f t="shared" si="20"/>
        <v>3728009.2796259313</v>
      </c>
      <c r="M101" s="16">
        <f t="shared" si="20"/>
        <v>2784641.213655069</v>
      </c>
      <c r="N101" s="16">
        <f t="shared" si="20"/>
        <v>2505268.2039448018</v>
      </c>
      <c r="O101" s="16">
        <f t="shared" si="20"/>
        <v>2500455.9457295658</v>
      </c>
      <c r="P101" s="16">
        <f t="shared" si="20"/>
        <v>2614903.7840954768</v>
      </c>
      <c r="Q101" s="21">
        <f t="shared" si="20"/>
        <v>66081791.44066681</v>
      </c>
    </row>
    <row r="102" spans="1:17" ht="13.8" x14ac:dyDescent="0.25">
      <c r="A102" s="27"/>
      <c r="B102" s="371"/>
      <c r="C102" s="18"/>
      <c r="D102" s="83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</sheetData>
  <printOptions horizontalCentered="1"/>
  <pageMargins left="0.5" right="0.5" top="0.5" bottom="0.5" header="0.25" footer="0.25"/>
  <pageSetup fitToHeight="3" orientation="landscape" r:id="rId1"/>
  <headerFooter alignWithMargins="0">
    <oddFooter>&amp;C&amp;"Tahoma,Regular"&amp;8&amp;F &amp;D &amp;T&amp;R&amp;"Tahoma,Regular"&amp;8&amp;A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zoomScale="85" zoomScaleNormal="85" workbookViewId="0">
      <selection activeCell="C18" sqref="C18"/>
    </sheetView>
  </sheetViews>
  <sheetFormatPr defaultColWidth="9.109375" defaultRowHeight="13.2" x14ac:dyDescent="0.25"/>
  <cols>
    <col min="1" max="1" width="13.6640625" style="380" customWidth="1"/>
    <col min="2" max="2" width="12.88671875" style="380" bestFit="1" customWidth="1"/>
    <col min="3" max="3" width="32.6640625" style="380" customWidth="1"/>
    <col min="4" max="4" width="12.6640625" style="380" customWidth="1"/>
    <col min="5" max="17" width="14.6640625" style="369" customWidth="1"/>
    <col min="18" max="18" width="9.109375" style="380"/>
    <col min="19" max="19" width="13" style="380" bestFit="1" customWidth="1"/>
    <col min="20" max="20" width="16.33203125" style="380" bestFit="1" customWidth="1"/>
    <col min="21" max="21" width="10" style="380" bestFit="1" customWidth="1"/>
    <col min="22" max="22" width="11.33203125" style="380" bestFit="1" customWidth="1"/>
    <col min="23" max="23" width="10.33203125" style="380" bestFit="1" customWidth="1"/>
    <col min="24" max="27" width="11" style="380" bestFit="1" customWidth="1"/>
    <col min="28" max="28" width="14.44140625" style="380" bestFit="1" customWidth="1"/>
    <col min="29" max="16384" width="9.109375" style="380"/>
  </cols>
  <sheetData>
    <row r="1" spans="1:29" ht="15" x14ac:dyDescent="0.25">
      <c r="A1" s="400" t="s">
        <v>545</v>
      </c>
      <c r="B1" s="374"/>
      <c r="C1" s="374"/>
      <c r="D1" s="374"/>
      <c r="S1" s="380" t="s">
        <v>2404</v>
      </c>
    </row>
    <row r="2" spans="1:29" ht="14.4" x14ac:dyDescent="0.25">
      <c r="A2" s="408"/>
      <c r="S2" s="482" t="s">
        <v>321</v>
      </c>
    </row>
    <row r="3" spans="1:29" ht="14.4" x14ac:dyDescent="0.25">
      <c r="A3" s="408"/>
      <c r="E3" s="378">
        <v>2017</v>
      </c>
      <c r="F3" s="378">
        <v>2017</v>
      </c>
      <c r="G3" s="378">
        <v>2017</v>
      </c>
      <c r="H3" s="378">
        <v>2018</v>
      </c>
      <c r="I3" s="378">
        <v>2018</v>
      </c>
      <c r="J3" s="378">
        <v>2018</v>
      </c>
      <c r="K3" s="378">
        <v>2018</v>
      </c>
      <c r="L3" s="378">
        <v>2018</v>
      </c>
      <c r="M3" s="378">
        <v>2018</v>
      </c>
      <c r="N3" s="378">
        <v>2018</v>
      </c>
      <c r="O3" s="378">
        <v>2018</v>
      </c>
      <c r="P3" s="378">
        <v>2018</v>
      </c>
      <c r="Q3" s="378" t="s">
        <v>477</v>
      </c>
      <c r="S3" s="482" t="s">
        <v>2408</v>
      </c>
    </row>
    <row r="4" spans="1:29" ht="14.4" x14ac:dyDescent="0.25">
      <c r="E4" s="378" t="s">
        <v>263</v>
      </c>
      <c r="F4" s="378" t="s">
        <v>264</v>
      </c>
      <c r="G4" s="378" t="s">
        <v>265</v>
      </c>
      <c r="H4" s="378" t="s">
        <v>266</v>
      </c>
      <c r="I4" s="378" t="s">
        <v>267</v>
      </c>
      <c r="J4" s="378" t="s">
        <v>268</v>
      </c>
      <c r="K4" s="378" t="s">
        <v>269</v>
      </c>
      <c r="L4" s="378" t="s">
        <v>270</v>
      </c>
      <c r="M4" s="378" t="s">
        <v>271</v>
      </c>
      <c r="N4" s="378" t="s">
        <v>272</v>
      </c>
      <c r="O4" s="378" t="s">
        <v>273</v>
      </c>
      <c r="P4" s="378" t="s">
        <v>262</v>
      </c>
      <c r="Q4" s="378"/>
      <c r="S4" s="482" t="s">
        <v>1959</v>
      </c>
    </row>
    <row r="5" spans="1:29" ht="14.4" x14ac:dyDescent="0.25">
      <c r="A5" s="402"/>
      <c r="D5" s="407"/>
      <c r="S5" s="482" t="s">
        <v>1907</v>
      </c>
    </row>
    <row r="6" spans="1:29" ht="14.4" x14ac:dyDescent="0.25">
      <c r="A6" s="388"/>
      <c r="B6" s="19" t="s">
        <v>458</v>
      </c>
      <c r="C6" s="370" t="s">
        <v>459</v>
      </c>
      <c r="D6" s="69"/>
      <c r="E6" s="70">
        <v>11959.761680361042</v>
      </c>
      <c r="F6" s="70">
        <v>18082.431366800491</v>
      </c>
      <c r="G6" s="70">
        <v>23622.394758189766</v>
      </c>
      <c r="H6" s="70">
        <v>23527.464461575102</v>
      </c>
      <c r="I6" s="70">
        <v>19805.785892939166</v>
      </c>
      <c r="J6" s="70">
        <v>18246.811991339608</v>
      </c>
      <c r="K6" s="70">
        <v>14436.171940457385</v>
      </c>
      <c r="L6" s="70">
        <v>10720.843740588864</v>
      </c>
      <c r="M6" s="70">
        <v>8616.0257848116653</v>
      </c>
      <c r="N6" s="70">
        <v>7740.3952976659693</v>
      </c>
      <c r="O6" s="70">
        <v>7713.4261839922856</v>
      </c>
      <c r="P6" s="70">
        <v>7884.4452001719474</v>
      </c>
      <c r="Q6" s="70">
        <f>SUM(E6:P6)</f>
        <v>172355.9582988933</v>
      </c>
      <c r="S6" s="482" t="s">
        <v>2409</v>
      </c>
    </row>
    <row r="7" spans="1:29" ht="14.4" x14ac:dyDescent="0.25">
      <c r="A7" s="388"/>
      <c r="B7" s="19"/>
      <c r="C7" s="370" t="s">
        <v>460</v>
      </c>
      <c r="D7" s="69"/>
      <c r="E7" s="70">
        <v>1857890.100506227</v>
      </c>
      <c r="F7" s="70">
        <v>3033195.1875496339</v>
      </c>
      <c r="G7" s="70">
        <v>4074191.4045403674</v>
      </c>
      <c r="H7" s="70">
        <v>4036186.88408117</v>
      </c>
      <c r="I7" s="70">
        <v>3365971.5454961974</v>
      </c>
      <c r="J7" s="70">
        <v>3017002.5523569006</v>
      </c>
      <c r="K7" s="70">
        <v>2299267.9226678712</v>
      </c>
      <c r="L7" s="70">
        <v>1584018.8264602106</v>
      </c>
      <c r="M7" s="70">
        <v>1192409.3482169921</v>
      </c>
      <c r="N7" s="70">
        <v>1084110.8488565315</v>
      </c>
      <c r="O7" s="70">
        <v>1082691.4708957486</v>
      </c>
      <c r="P7" s="70">
        <v>1138878.2961516152</v>
      </c>
      <c r="Q7" s="70">
        <f t="shared" ref="Q7:Q70" si="0">SUM(E7:P7)</f>
        <v>27765814.387779467</v>
      </c>
      <c r="S7" s="482" t="s">
        <v>2410</v>
      </c>
    </row>
    <row r="8" spans="1:29" x14ac:dyDescent="0.25">
      <c r="A8" s="19"/>
      <c r="B8" s="19"/>
      <c r="C8" s="18" t="s">
        <v>461</v>
      </c>
      <c r="D8" s="71"/>
      <c r="E8" s="70">
        <v>2124.7030380230358</v>
      </c>
      <c r="F8" s="70">
        <v>3730.6714385882851</v>
      </c>
      <c r="G8" s="70">
        <v>5224.5599974072038</v>
      </c>
      <c r="H8" s="70">
        <v>5143.9820089068407</v>
      </c>
      <c r="I8" s="70">
        <v>3944.4283116420611</v>
      </c>
      <c r="J8" s="70">
        <v>3548.6790329517016</v>
      </c>
      <c r="K8" s="70">
        <v>2627.6966063833765</v>
      </c>
      <c r="L8" s="70">
        <v>1670.5696972442252</v>
      </c>
      <c r="M8" s="70">
        <v>1216.957225322531</v>
      </c>
      <c r="N8" s="70">
        <v>1356.2034850230591</v>
      </c>
      <c r="O8" s="70">
        <v>1352.6786992077243</v>
      </c>
      <c r="P8" s="70">
        <v>1376.373584093599</v>
      </c>
      <c r="Q8" s="70">
        <f t="shared" si="0"/>
        <v>33317.503124793642</v>
      </c>
    </row>
    <row r="9" spans="1:29" x14ac:dyDescent="0.25">
      <c r="A9" s="19"/>
      <c r="B9" s="19"/>
      <c r="C9" s="18" t="s">
        <v>462</v>
      </c>
      <c r="D9" s="71"/>
      <c r="E9" s="70">
        <v>545071.90415789327</v>
      </c>
      <c r="F9" s="70">
        <v>905564.23812312586</v>
      </c>
      <c r="G9" s="70">
        <v>1239025.0693354062</v>
      </c>
      <c r="H9" s="70">
        <v>1234001.0956286397</v>
      </c>
      <c r="I9" s="70">
        <v>1018675.3857200069</v>
      </c>
      <c r="J9" s="70">
        <v>908581.82576426817</v>
      </c>
      <c r="K9" s="70">
        <v>683833.37003758457</v>
      </c>
      <c r="L9" s="70">
        <v>472245.69492324488</v>
      </c>
      <c r="M9" s="70">
        <v>363921.05994305154</v>
      </c>
      <c r="N9" s="70">
        <v>337495.30049738591</v>
      </c>
      <c r="O9" s="70">
        <v>336100.21455754386</v>
      </c>
      <c r="P9" s="70">
        <v>342219.01702919113</v>
      </c>
      <c r="Q9" s="70">
        <f t="shared" si="0"/>
        <v>8386734.1757173436</v>
      </c>
      <c r="T9" s="51"/>
      <c r="U9" s="52" t="s">
        <v>433</v>
      </c>
      <c r="V9" s="52" t="s">
        <v>434</v>
      </c>
      <c r="W9" s="52" t="s">
        <v>435</v>
      </c>
      <c r="X9" s="52" t="s">
        <v>436</v>
      </c>
      <c r="Y9" s="52" t="s">
        <v>437</v>
      </c>
      <c r="Z9" s="52" t="s">
        <v>438</v>
      </c>
      <c r="AA9" s="52" t="s">
        <v>439</v>
      </c>
      <c r="AB9" s="53" t="s">
        <v>440</v>
      </c>
      <c r="AC9" s="46"/>
    </row>
    <row r="10" spans="1:29" x14ac:dyDescent="0.25">
      <c r="A10" s="19"/>
      <c r="B10" s="19"/>
      <c r="C10" s="18" t="s">
        <v>463</v>
      </c>
      <c r="D10" s="71"/>
      <c r="E10" s="70">
        <v>13800.321676599146</v>
      </c>
      <c r="F10" s="70">
        <v>22523.561186363317</v>
      </c>
      <c r="G10" s="70">
        <v>30786.756931745855</v>
      </c>
      <c r="H10" s="70">
        <v>28594.331682597876</v>
      </c>
      <c r="I10" s="70">
        <v>24407.695082101738</v>
      </c>
      <c r="J10" s="70">
        <v>21672.504358337188</v>
      </c>
      <c r="K10" s="70">
        <v>16486.644677816897</v>
      </c>
      <c r="L10" s="70">
        <v>11271.334900308553</v>
      </c>
      <c r="M10" s="70">
        <v>8713.4629441081524</v>
      </c>
      <c r="N10" s="70">
        <v>5384.9765342721885</v>
      </c>
      <c r="O10" s="70">
        <v>5487.3428608660497</v>
      </c>
      <c r="P10" s="70">
        <v>6131.6835137595444</v>
      </c>
      <c r="Q10" s="70">
        <f t="shared" si="0"/>
        <v>195260.61634887647</v>
      </c>
      <c r="T10" s="61" t="s">
        <v>550</v>
      </c>
      <c r="U10" s="477">
        <f>SUM(U18:U25)</f>
        <v>205673.46142368694</v>
      </c>
      <c r="V10" s="477">
        <f t="shared" ref="V10:AB10" si="1">SUM(V18:V25)</f>
        <v>27765814.387779467</v>
      </c>
      <c r="W10" s="477">
        <f t="shared" si="1"/>
        <v>8598554.5167402085</v>
      </c>
      <c r="X10" s="477">
        <f t="shared" si="1"/>
        <v>195260.61634887647</v>
      </c>
      <c r="Y10" s="477">
        <f t="shared" si="1"/>
        <v>1969924.1764346149</v>
      </c>
      <c r="Z10" s="477">
        <f t="shared" si="1"/>
        <v>2662258.1565499278</v>
      </c>
      <c r="AA10" s="477">
        <f t="shared" si="1"/>
        <v>0</v>
      </c>
      <c r="AB10" s="325">
        <f t="shared" si="1"/>
        <v>239628.12539002372</v>
      </c>
      <c r="AC10" s="56" t="b">
        <f>Q101=SUM(U10:AB10)</f>
        <v>1</v>
      </c>
    </row>
    <row r="11" spans="1:29" x14ac:dyDescent="0.25">
      <c r="A11" s="19"/>
      <c r="B11" s="19"/>
      <c r="C11" s="18"/>
      <c r="D11" s="7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T11" s="42"/>
      <c r="U11" s="32"/>
      <c r="V11" s="32"/>
      <c r="W11" s="32"/>
      <c r="X11" s="32"/>
      <c r="Y11" s="32"/>
      <c r="Z11" s="32"/>
      <c r="AA11" s="32"/>
      <c r="AB11" s="479"/>
      <c r="AC11" s="15"/>
    </row>
    <row r="12" spans="1:29" x14ac:dyDescent="0.25">
      <c r="A12" s="390"/>
      <c r="B12" s="19"/>
      <c r="C12" s="22" t="s">
        <v>478</v>
      </c>
      <c r="D12" s="71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0"/>
        <v>0</v>
      </c>
      <c r="T12" s="42" t="s">
        <v>532</v>
      </c>
      <c r="U12" s="32">
        <f>SUM(U18:U20)</f>
        <v>205673.46142368694</v>
      </c>
      <c r="V12" s="32">
        <f t="shared" ref="V12:AB12" si="2">SUM(V18:V20)</f>
        <v>27765814.387779467</v>
      </c>
      <c r="W12" s="32">
        <f t="shared" si="2"/>
        <v>8598554.5167402085</v>
      </c>
      <c r="X12" s="32">
        <f t="shared" si="2"/>
        <v>195260.61634887647</v>
      </c>
      <c r="Y12" s="32">
        <f t="shared" si="2"/>
        <v>1600261.5327546149</v>
      </c>
      <c r="Z12" s="32">
        <f t="shared" si="2"/>
        <v>687243.23376863834</v>
      </c>
      <c r="AA12" s="32">
        <f t="shared" si="2"/>
        <v>0</v>
      </c>
      <c r="AB12" s="479">
        <f t="shared" si="2"/>
        <v>0</v>
      </c>
      <c r="AC12" s="15"/>
    </row>
    <row r="13" spans="1:29" x14ac:dyDescent="0.25">
      <c r="A13" s="390"/>
      <c r="B13" s="19"/>
      <c r="C13" s="22" t="s">
        <v>479</v>
      </c>
      <c r="D13" s="7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f t="shared" si="0"/>
        <v>0</v>
      </c>
      <c r="T13" s="42" t="s">
        <v>533</v>
      </c>
      <c r="U13" s="32">
        <f>SUM(U21)</f>
        <v>0</v>
      </c>
      <c r="V13" s="32">
        <f t="shared" ref="V13:AB13" si="3">SUM(V21)</f>
        <v>0</v>
      </c>
      <c r="W13" s="32">
        <f t="shared" si="3"/>
        <v>0</v>
      </c>
      <c r="X13" s="32">
        <f t="shared" si="3"/>
        <v>0</v>
      </c>
      <c r="Y13" s="32">
        <f t="shared" si="3"/>
        <v>0</v>
      </c>
      <c r="Z13" s="32">
        <f t="shared" si="3"/>
        <v>223201.92517128921</v>
      </c>
      <c r="AA13" s="32">
        <f t="shared" si="3"/>
        <v>0</v>
      </c>
      <c r="AB13" s="479">
        <f t="shared" si="3"/>
        <v>0</v>
      </c>
      <c r="AC13" s="15"/>
    </row>
    <row r="14" spans="1:29" x14ac:dyDescent="0.25">
      <c r="A14" s="390"/>
      <c r="B14" s="19"/>
      <c r="C14" s="18" t="s">
        <v>464</v>
      </c>
      <c r="D14" s="71"/>
      <c r="E14" s="70">
        <v>96838.064360850578</v>
      </c>
      <c r="F14" s="70">
        <v>138240.78561611584</v>
      </c>
      <c r="G14" s="70">
        <v>178321.45320380817</v>
      </c>
      <c r="H14" s="70">
        <v>174446.42918135895</v>
      </c>
      <c r="I14" s="70">
        <v>149768.16910248122</v>
      </c>
      <c r="J14" s="70">
        <v>138865.35468054807</v>
      </c>
      <c r="K14" s="70">
        <v>113572.71748055413</v>
      </c>
      <c r="L14" s="70">
        <v>90854.965568472137</v>
      </c>
      <c r="M14" s="70">
        <v>75752.73397702587</v>
      </c>
      <c r="N14" s="70">
        <v>66816.316321536957</v>
      </c>
      <c r="O14" s="70">
        <v>66735.618405325207</v>
      </c>
      <c r="P14" s="70">
        <v>66712.666522121988</v>
      </c>
      <c r="Q14" s="70">
        <f t="shared" si="0"/>
        <v>1356925.2744201988</v>
      </c>
      <c r="T14" s="42"/>
      <c r="U14" s="32"/>
      <c r="V14" s="32"/>
      <c r="W14" s="32"/>
      <c r="X14" s="32"/>
      <c r="Y14" s="32"/>
      <c r="Z14" s="32"/>
      <c r="AA14" s="32"/>
      <c r="AB14" s="479"/>
      <c r="AC14" s="15"/>
    </row>
    <row r="15" spans="1:29" x14ac:dyDescent="0.25">
      <c r="A15" s="390"/>
      <c r="B15" s="19"/>
      <c r="C15" s="18"/>
      <c r="D15" s="71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T15" s="42" t="s">
        <v>535</v>
      </c>
      <c r="U15" s="32">
        <f>SUM(U23:U24)</f>
        <v>0</v>
      </c>
      <c r="V15" s="32">
        <f t="shared" ref="V15:AB15" si="4">SUM(V23:V24)</f>
        <v>0</v>
      </c>
      <c r="W15" s="32">
        <f t="shared" si="4"/>
        <v>0</v>
      </c>
      <c r="X15" s="32">
        <f t="shared" si="4"/>
        <v>0</v>
      </c>
      <c r="Y15" s="32">
        <f t="shared" si="4"/>
        <v>369662.64367999998</v>
      </c>
      <c r="Z15" s="32">
        <f t="shared" si="4"/>
        <v>812690.27712999994</v>
      </c>
      <c r="AA15" s="32">
        <f t="shared" si="4"/>
        <v>0</v>
      </c>
      <c r="AB15" s="479">
        <f t="shared" si="4"/>
        <v>0</v>
      </c>
      <c r="AC15" s="15"/>
    </row>
    <row r="16" spans="1:29" x14ac:dyDescent="0.25">
      <c r="A16" s="390"/>
      <c r="B16" s="19"/>
      <c r="C16" s="22" t="s">
        <v>480</v>
      </c>
      <c r="D16" s="71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0"/>
        <v>0</v>
      </c>
      <c r="T16" s="42" t="s">
        <v>534</v>
      </c>
      <c r="U16" s="32">
        <f>SUM(U25)</f>
        <v>0</v>
      </c>
      <c r="V16" s="32">
        <f t="shared" ref="V16:AB16" si="5">SUM(V25)</f>
        <v>0</v>
      </c>
      <c r="W16" s="32">
        <f t="shared" si="5"/>
        <v>0</v>
      </c>
      <c r="X16" s="32">
        <f t="shared" si="5"/>
        <v>0</v>
      </c>
      <c r="Y16" s="32">
        <f t="shared" si="5"/>
        <v>0</v>
      </c>
      <c r="Z16" s="32">
        <f t="shared" si="5"/>
        <v>939122.72048000002</v>
      </c>
      <c r="AA16" s="32">
        <f t="shared" si="5"/>
        <v>0</v>
      </c>
      <c r="AB16" s="479">
        <f t="shared" si="5"/>
        <v>239628.12539002372</v>
      </c>
      <c r="AC16" s="15"/>
    </row>
    <row r="17" spans="1:29" x14ac:dyDescent="0.25">
      <c r="A17" s="390"/>
      <c r="B17" s="19"/>
      <c r="C17" s="22" t="s">
        <v>481</v>
      </c>
      <c r="D17" s="71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0"/>
        <v>0</v>
      </c>
      <c r="T17" s="42"/>
      <c r="U17" s="32"/>
      <c r="V17" s="32"/>
      <c r="W17" s="32"/>
      <c r="X17" s="32"/>
      <c r="Y17" s="32"/>
      <c r="Z17" s="32"/>
      <c r="AA17" s="32"/>
      <c r="AB17" s="479"/>
      <c r="AC17" s="15"/>
    </row>
    <row r="18" spans="1:29" x14ac:dyDescent="0.25">
      <c r="A18" s="390"/>
      <c r="B18" s="19"/>
      <c r="C18" s="22" t="s">
        <v>482</v>
      </c>
      <c r="D18" s="7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0"/>
        <v>0</v>
      </c>
      <c r="T18" s="42" t="s">
        <v>537</v>
      </c>
      <c r="U18" s="32">
        <f>Q6</f>
        <v>172355.9582988933</v>
      </c>
      <c r="V18" s="32">
        <f>Q7</f>
        <v>27765814.387779467</v>
      </c>
      <c r="W18" s="32"/>
      <c r="X18" s="32"/>
      <c r="Y18" s="32"/>
      <c r="Z18" s="32"/>
      <c r="AA18" s="32"/>
      <c r="AB18" s="479"/>
      <c r="AC18" s="15"/>
    </row>
    <row r="19" spans="1:29" x14ac:dyDescent="0.25">
      <c r="A19" s="390"/>
      <c r="B19" s="19"/>
      <c r="C19" s="22" t="s">
        <v>483</v>
      </c>
      <c r="D19" s="7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0"/>
        <v>0</v>
      </c>
      <c r="T19" s="42" t="s">
        <v>538</v>
      </c>
      <c r="U19" s="32">
        <f>Q8</f>
        <v>33317.503124793642</v>
      </c>
      <c r="V19" s="32"/>
      <c r="W19" s="32">
        <f>Q9</f>
        <v>8386734.1757173436</v>
      </c>
      <c r="X19" s="32">
        <f>Q10</f>
        <v>195260.61634887647</v>
      </c>
      <c r="Y19" s="32">
        <f>Q14</f>
        <v>1356925.2744201988</v>
      </c>
      <c r="Z19" s="32">
        <f>Q22</f>
        <v>211704.38481373186</v>
      </c>
      <c r="AA19" s="32"/>
      <c r="AB19" s="479"/>
      <c r="AC19" s="15"/>
    </row>
    <row r="20" spans="1:29" x14ac:dyDescent="0.25">
      <c r="A20" s="390"/>
      <c r="B20" s="19"/>
      <c r="C20" s="22" t="s">
        <v>484</v>
      </c>
      <c r="D20" s="71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0"/>
        <v>0</v>
      </c>
      <c r="T20" s="42" t="s">
        <v>539</v>
      </c>
      <c r="U20" s="32"/>
      <c r="V20" s="32"/>
      <c r="W20" s="32">
        <f>Q24</f>
        <v>211820.34102286573</v>
      </c>
      <c r="X20" s="32"/>
      <c r="Y20" s="32">
        <f>Q28</f>
        <v>243336.25833441611</v>
      </c>
      <c r="Z20" s="32">
        <f>Q36</f>
        <v>475538.84895490651</v>
      </c>
      <c r="AA20" s="32"/>
      <c r="AB20" s="479"/>
      <c r="AC20" s="15"/>
    </row>
    <row r="21" spans="1:29" x14ac:dyDescent="0.25">
      <c r="A21" s="390"/>
      <c r="B21" s="19"/>
      <c r="C21" s="22" t="s">
        <v>485</v>
      </c>
      <c r="D21" s="7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>
        <f t="shared" si="0"/>
        <v>0</v>
      </c>
      <c r="T21" s="42" t="s">
        <v>536</v>
      </c>
      <c r="U21" s="32"/>
      <c r="V21" s="32"/>
      <c r="W21" s="32"/>
      <c r="X21" s="32"/>
      <c r="Y21" s="32"/>
      <c r="Z21" s="32">
        <f>Q48</f>
        <v>223201.92517128921</v>
      </c>
      <c r="AA21" s="32"/>
      <c r="AB21" s="479"/>
      <c r="AC21" s="15"/>
    </row>
    <row r="22" spans="1:29" x14ac:dyDescent="0.25">
      <c r="A22" s="390"/>
      <c r="B22" s="19"/>
      <c r="C22" s="18" t="s">
        <v>465</v>
      </c>
      <c r="D22" s="71"/>
      <c r="E22" s="70">
        <v>17077.867430433515</v>
      </c>
      <c r="F22" s="70">
        <v>20582.697959288518</v>
      </c>
      <c r="G22" s="70">
        <v>23894.494271676245</v>
      </c>
      <c r="H22" s="70">
        <v>23720.431740066633</v>
      </c>
      <c r="I22" s="70">
        <v>21361.241860130089</v>
      </c>
      <c r="J22" s="70">
        <v>20487.408336491804</v>
      </c>
      <c r="K22" s="70">
        <v>18200.118009676487</v>
      </c>
      <c r="L22" s="70">
        <v>16217.690596183136</v>
      </c>
      <c r="M22" s="70">
        <v>15083.733851926205</v>
      </c>
      <c r="N22" s="70">
        <v>13535.368693549917</v>
      </c>
      <c r="O22" s="70">
        <v>9835.8343315793099</v>
      </c>
      <c r="P22" s="70">
        <v>11707.49773273</v>
      </c>
      <c r="Q22" s="70">
        <f t="shared" si="0"/>
        <v>211704.38481373186</v>
      </c>
      <c r="T22" s="42"/>
      <c r="U22" s="32"/>
      <c r="V22" s="32"/>
      <c r="W22" s="32"/>
      <c r="X22" s="32"/>
      <c r="Y22" s="32"/>
      <c r="Z22" s="32"/>
      <c r="AA22" s="32"/>
      <c r="AB22" s="479"/>
      <c r="AC22" s="15"/>
    </row>
    <row r="23" spans="1:29" x14ac:dyDescent="0.25">
      <c r="A23" s="369"/>
      <c r="B23" s="19"/>
      <c r="C23" s="18"/>
      <c r="D23" s="71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T23" s="42" t="s">
        <v>540</v>
      </c>
      <c r="U23" s="32"/>
      <c r="V23" s="32"/>
      <c r="W23" s="32"/>
      <c r="X23" s="32"/>
      <c r="Y23" s="32">
        <f>Q53</f>
        <v>369662.64367999998</v>
      </c>
      <c r="Z23" s="32">
        <f>Q61</f>
        <v>288298.92524000001</v>
      </c>
      <c r="AA23" s="32"/>
      <c r="AB23" s="479"/>
      <c r="AC23" s="15"/>
    </row>
    <row r="24" spans="1:29" x14ac:dyDescent="0.25">
      <c r="A24" s="369"/>
      <c r="B24" s="19"/>
      <c r="C24" s="18" t="s">
        <v>486</v>
      </c>
      <c r="D24" s="71"/>
      <c r="E24" s="70">
        <v>11285.933480321037</v>
      </c>
      <c r="F24" s="70">
        <v>17443.977793337694</v>
      </c>
      <c r="G24" s="70">
        <v>23796.695187085847</v>
      </c>
      <c r="H24" s="70">
        <v>31374.731415553841</v>
      </c>
      <c r="I24" s="70">
        <v>25187.237852989194</v>
      </c>
      <c r="J24" s="70">
        <v>25007.85353751864</v>
      </c>
      <c r="K24" s="70">
        <v>20134.821613317778</v>
      </c>
      <c r="L24" s="70">
        <v>14589.373183147989</v>
      </c>
      <c r="M24" s="70">
        <v>11831.418053550049</v>
      </c>
      <c r="N24" s="70">
        <v>11110.48827861563</v>
      </c>
      <c r="O24" s="70">
        <v>9890.2403590262693</v>
      </c>
      <c r="P24" s="70">
        <v>10167.57026840172</v>
      </c>
      <c r="Q24" s="70">
        <f t="shared" si="0"/>
        <v>211820.34102286573</v>
      </c>
      <c r="T24" s="42" t="s">
        <v>541</v>
      </c>
      <c r="U24" s="32"/>
      <c r="V24" s="32"/>
      <c r="W24" s="32"/>
      <c r="X24" s="32"/>
      <c r="Y24" s="32"/>
      <c r="Z24" s="32">
        <f>Q73</f>
        <v>524391.35188999993</v>
      </c>
      <c r="AA24" s="32"/>
      <c r="AB24" s="479"/>
      <c r="AC24" s="15"/>
    </row>
    <row r="25" spans="1:29" x14ac:dyDescent="0.25">
      <c r="A25" s="369"/>
      <c r="B25" s="19"/>
      <c r="C25" s="18"/>
      <c r="D25" s="71"/>
      <c r="T25" s="62" t="s">
        <v>542</v>
      </c>
      <c r="U25" s="36"/>
      <c r="V25" s="36"/>
      <c r="W25" s="36"/>
      <c r="X25" s="36"/>
      <c r="Y25" s="36"/>
      <c r="Z25" s="36">
        <f>Q81</f>
        <v>939122.72048000002</v>
      </c>
      <c r="AA25" s="36"/>
      <c r="AB25" s="480">
        <f>Q83</f>
        <v>239628.12539002372</v>
      </c>
      <c r="AC25" s="15"/>
    </row>
    <row r="26" spans="1:29" x14ac:dyDescent="0.25">
      <c r="A26" s="369"/>
      <c r="B26" s="19"/>
      <c r="C26" s="22" t="s">
        <v>487</v>
      </c>
      <c r="D26" s="7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0"/>
        <v>0</v>
      </c>
    </row>
    <row r="27" spans="1:29" x14ac:dyDescent="0.25">
      <c r="A27" s="369"/>
      <c r="B27" s="19"/>
      <c r="C27" s="22" t="s">
        <v>488</v>
      </c>
      <c r="D27" s="7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f t="shared" si="0"/>
        <v>0</v>
      </c>
    </row>
    <row r="28" spans="1:29" x14ac:dyDescent="0.25">
      <c r="A28" s="19"/>
      <c r="B28" s="19"/>
      <c r="C28" s="18" t="s">
        <v>489</v>
      </c>
      <c r="D28" s="71"/>
      <c r="E28" s="70">
        <v>17050.757814733595</v>
      </c>
      <c r="F28" s="70">
        <v>19544.017779760892</v>
      </c>
      <c r="G28" s="70">
        <v>24780.498979127085</v>
      </c>
      <c r="H28" s="70">
        <v>27537.218777481088</v>
      </c>
      <c r="I28" s="70">
        <v>25516.877142176876</v>
      </c>
      <c r="J28" s="70">
        <v>26344.612875836101</v>
      </c>
      <c r="K28" s="70">
        <v>23378.937974454297</v>
      </c>
      <c r="L28" s="70">
        <v>19277.713430350086</v>
      </c>
      <c r="M28" s="70">
        <v>15619.354693259429</v>
      </c>
      <c r="N28" s="70">
        <v>15316.707433065778</v>
      </c>
      <c r="O28" s="70">
        <v>14132.845169212898</v>
      </c>
      <c r="P28" s="70">
        <v>14836.71626495797</v>
      </c>
      <c r="Q28" s="70">
        <f t="shared" si="0"/>
        <v>243336.25833441611</v>
      </c>
    </row>
    <row r="29" spans="1:29" x14ac:dyDescent="0.25">
      <c r="A29" s="19"/>
      <c r="B29" s="19"/>
      <c r="C29" s="18"/>
      <c r="D29" s="7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29" x14ac:dyDescent="0.25">
      <c r="A30" s="19"/>
      <c r="B30" s="19"/>
      <c r="C30" s="22" t="s">
        <v>490</v>
      </c>
      <c r="D30" s="71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>
        <f t="shared" si="0"/>
        <v>0</v>
      </c>
    </row>
    <row r="31" spans="1:29" x14ac:dyDescent="0.25">
      <c r="A31" s="19"/>
      <c r="B31" s="19"/>
      <c r="C31" s="22" t="s">
        <v>491</v>
      </c>
      <c r="D31" s="71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f t="shared" si="0"/>
        <v>0</v>
      </c>
    </row>
    <row r="32" spans="1:29" x14ac:dyDescent="0.25">
      <c r="A32" s="19"/>
      <c r="B32" s="19"/>
      <c r="C32" s="22" t="s">
        <v>492</v>
      </c>
      <c r="D32" s="71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>
        <f t="shared" si="0"/>
        <v>0</v>
      </c>
    </row>
    <row r="33" spans="1:17" x14ac:dyDescent="0.25">
      <c r="A33" s="19"/>
      <c r="B33" s="19"/>
      <c r="C33" s="22" t="s">
        <v>493</v>
      </c>
      <c r="D33" s="71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>
        <f t="shared" si="0"/>
        <v>0</v>
      </c>
    </row>
    <row r="34" spans="1:17" x14ac:dyDescent="0.25">
      <c r="A34" s="19"/>
      <c r="B34" s="19"/>
      <c r="C34" s="22" t="s">
        <v>494</v>
      </c>
      <c r="D34" s="71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>
        <f t="shared" si="0"/>
        <v>0</v>
      </c>
    </row>
    <row r="35" spans="1:17" x14ac:dyDescent="0.25">
      <c r="A35" s="19"/>
      <c r="B35" s="19"/>
      <c r="C35" s="22" t="s">
        <v>495</v>
      </c>
      <c r="D35" s="7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>
        <f t="shared" si="0"/>
        <v>0</v>
      </c>
    </row>
    <row r="36" spans="1:17" x14ac:dyDescent="0.25">
      <c r="A36" s="19"/>
      <c r="B36" s="19"/>
      <c r="C36" s="18" t="s">
        <v>496</v>
      </c>
      <c r="D36" s="71"/>
      <c r="E36" s="70">
        <v>37696.477997312191</v>
      </c>
      <c r="F36" s="70">
        <v>40521.276761197878</v>
      </c>
      <c r="G36" s="70">
        <v>44735.047816675156</v>
      </c>
      <c r="H36" s="70">
        <v>48176.694086754665</v>
      </c>
      <c r="I36" s="70">
        <v>43930.297788520809</v>
      </c>
      <c r="J36" s="70">
        <v>44541.439982023643</v>
      </c>
      <c r="K36" s="70">
        <v>42464.050279744159</v>
      </c>
      <c r="L36" s="70">
        <v>37190.249193721116</v>
      </c>
      <c r="M36" s="70">
        <v>35187.082411073905</v>
      </c>
      <c r="N36" s="70">
        <v>33485.547619848134</v>
      </c>
      <c r="O36" s="70">
        <v>33712.076339515261</v>
      </c>
      <c r="P36" s="70">
        <v>33898.608678519551</v>
      </c>
      <c r="Q36" s="70">
        <f t="shared" si="0"/>
        <v>475538.84895490651</v>
      </c>
    </row>
    <row r="37" spans="1:17" x14ac:dyDescent="0.25">
      <c r="A37" s="19"/>
      <c r="B37" s="19"/>
      <c r="C37" s="18"/>
      <c r="D37" s="71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x14ac:dyDescent="0.25">
      <c r="A38" s="19"/>
      <c r="B38" s="25"/>
      <c r="C38" s="22"/>
      <c r="D38" s="71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>
        <f t="shared" si="0"/>
        <v>0</v>
      </c>
    </row>
    <row r="39" spans="1:17" x14ac:dyDescent="0.25">
      <c r="A39" s="19"/>
      <c r="B39" s="19"/>
      <c r="C39" s="22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>
        <f t="shared" si="0"/>
        <v>0</v>
      </c>
    </row>
    <row r="40" spans="1:17" x14ac:dyDescent="0.25">
      <c r="A40" s="19"/>
      <c r="B40" s="19"/>
      <c r="C40" s="370"/>
      <c r="D40" s="406"/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f t="shared" si="0"/>
        <v>0</v>
      </c>
    </row>
    <row r="41" spans="1:17" x14ac:dyDescent="0.25">
      <c r="A41" s="19"/>
      <c r="B41" s="19"/>
      <c r="C41" s="370"/>
      <c r="D41" s="40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x14ac:dyDescent="0.25">
      <c r="A42" s="19"/>
      <c r="B42" s="19"/>
      <c r="C42" s="22" t="s">
        <v>497</v>
      </c>
      <c r="D42" s="71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>
        <f t="shared" si="0"/>
        <v>0</v>
      </c>
    </row>
    <row r="43" spans="1:17" x14ac:dyDescent="0.25">
      <c r="A43" s="19"/>
      <c r="B43" s="19"/>
      <c r="C43" s="22" t="s">
        <v>498</v>
      </c>
      <c r="D43" s="71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>
        <f t="shared" si="0"/>
        <v>0</v>
      </c>
    </row>
    <row r="44" spans="1:17" x14ac:dyDescent="0.25">
      <c r="A44" s="19"/>
      <c r="B44" s="19"/>
      <c r="C44" s="22" t="s">
        <v>499</v>
      </c>
      <c r="D44" s="71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>
        <f t="shared" si="0"/>
        <v>0</v>
      </c>
    </row>
    <row r="45" spans="1:17" x14ac:dyDescent="0.25">
      <c r="A45" s="19"/>
      <c r="B45" s="19"/>
      <c r="C45" s="22" t="s">
        <v>500</v>
      </c>
      <c r="D45" s="71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>
        <f t="shared" si="0"/>
        <v>0</v>
      </c>
    </row>
    <row r="46" spans="1:17" x14ac:dyDescent="0.25">
      <c r="A46" s="19"/>
      <c r="B46" s="19"/>
      <c r="C46" s="22" t="s">
        <v>501</v>
      </c>
      <c r="D46" s="71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>
        <f t="shared" si="0"/>
        <v>0</v>
      </c>
    </row>
    <row r="47" spans="1:17" x14ac:dyDescent="0.25">
      <c r="A47" s="390"/>
      <c r="B47" s="19"/>
      <c r="C47" s="22" t="s">
        <v>502</v>
      </c>
      <c r="D47" s="71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>
        <f t="shared" si="0"/>
        <v>0</v>
      </c>
    </row>
    <row r="48" spans="1:17" x14ac:dyDescent="0.25">
      <c r="A48" s="390"/>
      <c r="B48" s="19"/>
      <c r="C48" s="370" t="s">
        <v>470</v>
      </c>
      <c r="D48" s="406"/>
      <c r="E48" s="70">
        <v>18021.447330439878</v>
      </c>
      <c r="F48" s="70">
        <v>20194.944466932247</v>
      </c>
      <c r="G48" s="70">
        <v>21977.040771145985</v>
      </c>
      <c r="H48" s="70">
        <v>20837.618326106669</v>
      </c>
      <c r="I48" s="70">
        <v>20691.552199061174</v>
      </c>
      <c r="J48" s="70">
        <v>19621.330028955592</v>
      </c>
      <c r="K48" s="70">
        <v>18534.955105402114</v>
      </c>
      <c r="L48" s="70">
        <v>17343.795363693775</v>
      </c>
      <c r="M48" s="70">
        <v>17148.834725185276</v>
      </c>
      <c r="N48" s="70">
        <v>15651.545998290851</v>
      </c>
      <c r="O48" s="70">
        <v>16256.71418489291</v>
      </c>
      <c r="P48" s="70">
        <v>16922.146671182702</v>
      </c>
      <c r="Q48" s="70">
        <f t="shared" si="0"/>
        <v>223201.92517128921</v>
      </c>
    </row>
    <row r="49" spans="1:17" x14ac:dyDescent="0.25">
      <c r="A49" s="390"/>
      <c r="B49" s="19"/>
      <c r="C49" s="370"/>
      <c r="D49" s="40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25">
      <c r="A50" s="390"/>
      <c r="B50" s="26"/>
      <c r="C50" s="18"/>
      <c r="D50" s="71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5">
      <c r="A51" s="390"/>
      <c r="B51" s="371" t="s">
        <v>503</v>
      </c>
      <c r="C51" s="22" t="s">
        <v>504</v>
      </c>
      <c r="D51" s="71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f t="shared" si="0"/>
        <v>0</v>
      </c>
    </row>
    <row r="52" spans="1:17" x14ac:dyDescent="0.25">
      <c r="A52" s="19"/>
      <c r="B52" s="26"/>
      <c r="C52" s="22" t="s">
        <v>505</v>
      </c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>
        <f t="shared" si="0"/>
        <v>0</v>
      </c>
    </row>
    <row r="53" spans="1:17" x14ac:dyDescent="0.25">
      <c r="A53" s="19"/>
      <c r="B53" s="26"/>
      <c r="C53" s="370" t="s">
        <v>464</v>
      </c>
      <c r="D53" s="71"/>
      <c r="E53" s="70">
        <v>30014.670140000002</v>
      </c>
      <c r="F53" s="70">
        <v>37570.595000000001</v>
      </c>
      <c r="G53" s="70">
        <v>48028.875</v>
      </c>
      <c r="H53" s="70">
        <v>41518.620000000003</v>
      </c>
      <c r="I53" s="70">
        <v>41626.949999999997</v>
      </c>
      <c r="J53" s="70">
        <v>39949.235000000001</v>
      </c>
      <c r="K53" s="70">
        <v>31828.750319999999</v>
      </c>
      <c r="L53" s="70">
        <v>22867.361079999999</v>
      </c>
      <c r="M53" s="70">
        <v>21046.143469999999</v>
      </c>
      <c r="N53" s="70">
        <v>17117.177179999999</v>
      </c>
      <c r="O53" s="70">
        <v>17375.670099999999</v>
      </c>
      <c r="P53" s="70">
        <v>20718.596389999999</v>
      </c>
      <c r="Q53" s="70">
        <f t="shared" si="0"/>
        <v>369662.64367999998</v>
      </c>
    </row>
    <row r="54" spans="1:17" x14ac:dyDescent="0.25">
      <c r="A54" s="19"/>
      <c r="B54" s="26"/>
      <c r="C54" s="18"/>
      <c r="D54" s="71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x14ac:dyDescent="0.25">
      <c r="A55" s="19"/>
      <c r="B55" s="371"/>
      <c r="C55" s="22" t="s">
        <v>506</v>
      </c>
      <c r="D55" s="71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>
        <f t="shared" si="0"/>
        <v>0</v>
      </c>
    </row>
    <row r="56" spans="1:17" x14ac:dyDescent="0.25">
      <c r="A56" s="19"/>
      <c r="B56" s="26"/>
      <c r="C56" s="22" t="s">
        <v>507</v>
      </c>
      <c r="D56" s="71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>
        <f t="shared" si="0"/>
        <v>0</v>
      </c>
    </row>
    <row r="57" spans="1:17" x14ac:dyDescent="0.25">
      <c r="A57" s="19"/>
      <c r="B57" s="26"/>
      <c r="C57" s="22" t="s">
        <v>508</v>
      </c>
      <c r="D57" s="71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>
        <f t="shared" si="0"/>
        <v>0</v>
      </c>
    </row>
    <row r="58" spans="1:17" x14ac:dyDescent="0.25">
      <c r="A58" s="19"/>
      <c r="B58" s="26"/>
      <c r="C58" s="22" t="s">
        <v>509</v>
      </c>
      <c r="D58" s="71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>
        <f t="shared" si="0"/>
        <v>0</v>
      </c>
    </row>
    <row r="59" spans="1:17" x14ac:dyDescent="0.25">
      <c r="A59" s="19"/>
      <c r="B59" s="26"/>
      <c r="C59" s="22" t="s">
        <v>510</v>
      </c>
      <c r="D59" s="71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>
        <f t="shared" si="0"/>
        <v>0</v>
      </c>
    </row>
    <row r="60" spans="1:17" x14ac:dyDescent="0.25">
      <c r="A60" s="19"/>
      <c r="B60" s="26"/>
      <c r="C60" s="22" t="s">
        <v>511</v>
      </c>
      <c r="D60" s="71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>
        <f t="shared" si="0"/>
        <v>0</v>
      </c>
    </row>
    <row r="61" spans="1:17" x14ac:dyDescent="0.25">
      <c r="A61" s="19"/>
      <c r="B61" s="371"/>
      <c r="C61" s="370" t="s">
        <v>465</v>
      </c>
      <c r="D61" s="406"/>
      <c r="E61" s="70">
        <v>24024.838169999999</v>
      </c>
      <c r="F61" s="70">
        <v>25489.802349999998</v>
      </c>
      <c r="G61" s="70">
        <v>26705.624059999998</v>
      </c>
      <c r="H61" s="70">
        <v>25153.18763</v>
      </c>
      <c r="I61" s="70">
        <v>24238.777489999997</v>
      </c>
      <c r="J61" s="70">
        <v>24695.893369999998</v>
      </c>
      <c r="K61" s="70">
        <v>23393.326659999999</v>
      </c>
      <c r="L61" s="70">
        <v>22675.76425</v>
      </c>
      <c r="M61" s="70">
        <v>21981.00965</v>
      </c>
      <c r="N61" s="70">
        <v>22190.466220000002</v>
      </c>
      <c r="O61" s="70">
        <v>23746.651819999999</v>
      </c>
      <c r="P61" s="70">
        <v>24003.583569999999</v>
      </c>
      <c r="Q61" s="70">
        <f t="shared" si="0"/>
        <v>288298.92524000001</v>
      </c>
    </row>
    <row r="62" spans="1:17" x14ac:dyDescent="0.25">
      <c r="A62" s="19"/>
      <c r="B62" s="371"/>
      <c r="C62" s="370"/>
      <c r="D62" s="40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25">
      <c r="A63" s="19"/>
      <c r="B63" s="371"/>
      <c r="C63" s="22"/>
      <c r="D63" s="71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>
        <f t="shared" si="0"/>
        <v>0</v>
      </c>
    </row>
    <row r="64" spans="1:17" x14ac:dyDescent="0.25">
      <c r="A64" s="19"/>
      <c r="B64" s="371"/>
      <c r="C64" s="22"/>
      <c r="D64" s="71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>
        <f t="shared" si="0"/>
        <v>0</v>
      </c>
    </row>
    <row r="65" spans="1:17" x14ac:dyDescent="0.25">
      <c r="A65" s="19"/>
      <c r="B65" s="371"/>
      <c r="C65" s="370"/>
      <c r="D65" s="406"/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f t="shared" si="0"/>
        <v>0</v>
      </c>
    </row>
    <row r="66" spans="1:17" x14ac:dyDescent="0.25">
      <c r="A66" s="19"/>
      <c r="B66" s="371"/>
      <c r="C66" s="370"/>
      <c r="D66" s="40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25">
      <c r="A67" s="19"/>
      <c r="B67" s="371"/>
      <c r="C67" s="22" t="s">
        <v>512</v>
      </c>
      <c r="D67" s="71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>
        <f t="shared" si="0"/>
        <v>0</v>
      </c>
    </row>
    <row r="68" spans="1:17" x14ac:dyDescent="0.25">
      <c r="A68" s="19"/>
      <c r="B68" s="371"/>
      <c r="C68" s="22" t="s">
        <v>513</v>
      </c>
      <c r="D68" s="71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>
        <f t="shared" si="0"/>
        <v>0</v>
      </c>
    </row>
    <row r="69" spans="1:17" x14ac:dyDescent="0.25">
      <c r="A69" s="19"/>
      <c r="B69" s="371"/>
      <c r="C69" s="22" t="s">
        <v>514</v>
      </c>
      <c r="D69" s="71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>
        <f t="shared" si="0"/>
        <v>0</v>
      </c>
    </row>
    <row r="70" spans="1:17" x14ac:dyDescent="0.25">
      <c r="A70" s="19"/>
      <c r="B70" s="371"/>
      <c r="C70" s="22" t="s">
        <v>515</v>
      </c>
      <c r="D70" s="71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>
        <f t="shared" si="0"/>
        <v>0</v>
      </c>
    </row>
    <row r="71" spans="1:17" x14ac:dyDescent="0.25">
      <c r="A71" s="19"/>
      <c r="B71" s="371"/>
      <c r="C71" s="22" t="s">
        <v>516</v>
      </c>
      <c r="D71" s="71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>
        <f t="shared" ref="Q71:Q83" si="6">SUM(E71:P71)</f>
        <v>0</v>
      </c>
    </row>
    <row r="72" spans="1:17" x14ac:dyDescent="0.25">
      <c r="A72" s="19"/>
      <c r="B72" s="371"/>
      <c r="C72" s="22" t="s">
        <v>517</v>
      </c>
      <c r="D72" s="71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>
        <f t="shared" si="6"/>
        <v>0</v>
      </c>
    </row>
    <row r="73" spans="1:17" x14ac:dyDescent="0.25">
      <c r="A73" s="19"/>
      <c r="B73" s="371"/>
      <c r="C73" s="370" t="s">
        <v>468</v>
      </c>
      <c r="D73" s="406"/>
      <c r="E73" s="70">
        <v>42022.794780000004</v>
      </c>
      <c r="F73" s="70">
        <v>45713.683400000002</v>
      </c>
      <c r="G73" s="70">
        <v>48137.505560000005</v>
      </c>
      <c r="H73" s="70">
        <v>47288.372899999995</v>
      </c>
      <c r="I73" s="70">
        <v>46733.112540000002</v>
      </c>
      <c r="J73" s="70">
        <v>47324.863870000001</v>
      </c>
      <c r="K73" s="70">
        <v>44747.625379999998</v>
      </c>
      <c r="L73" s="70">
        <v>41299.933149999997</v>
      </c>
      <c r="M73" s="70">
        <v>40657.982570000007</v>
      </c>
      <c r="N73" s="70">
        <v>40012.555999999997</v>
      </c>
      <c r="O73" s="70">
        <v>39873.4715</v>
      </c>
      <c r="P73" s="70">
        <v>40579.450239999998</v>
      </c>
      <c r="Q73" s="70">
        <f t="shared" si="6"/>
        <v>524391.35188999993</v>
      </c>
    </row>
    <row r="74" spans="1:17" x14ac:dyDescent="0.25">
      <c r="A74" s="19"/>
      <c r="B74" s="371"/>
      <c r="C74" s="370"/>
      <c r="D74" s="40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25">
      <c r="A75" s="19"/>
      <c r="B75" s="371"/>
      <c r="C75" s="22" t="s">
        <v>518</v>
      </c>
      <c r="D75" s="71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>
        <f t="shared" si="6"/>
        <v>0</v>
      </c>
    </row>
    <row r="76" spans="1:17" x14ac:dyDescent="0.25">
      <c r="A76" s="19"/>
      <c r="B76" s="371"/>
      <c r="C76" s="22" t="s">
        <v>519</v>
      </c>
      <c r="D76" s="71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f t="shared" si="6"/>
        <v>0</v>
      </c>
    </row>
    <row r="77" spans="1:17" x14ac:dyDescent="0.25">
      <c r="A77" s="19"/>
      <c r="B77" s="371"/>
      <c r="C77" s="22" t="s">
        <v>520</v>
      </c>
      <c r="D77" s="71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f t="shared" si="6"/>
        <v>0</v>
      </c>
    </row>
    <row r="78" spans="1:17" x14ac:dyDescent="0.25">
      <c r="A78" s="19"/>
      <c r="B78" s="371"/>
      <c r="C78" s="22" t="s">
        <v>521</v>
      </c>
      <c r="D78" s="71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>
        <f t="shared" si="6"/>
        <v>0</v>
      </c>
    </row>
    <row r="79" spans="1:17" x14ac:dyDescent="0.25">
      <c r="A79" s="19"/>
      <c r="B79" s="371"/>
      <c r="C79" s="22" t="s">
        <v>522</v>
      </c>
      <c r="D79" s="71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>
        <f t="shared" si="6"/>
        <v>0</v>
      </c>
    </row>
    <row r="80" spans="1:17" x14ac:dyDescent="0.25">
      <c r="A80" s="19"/>
      <c r="B80" s="371"/>
      <c r="C80" s="22" t="s">
        <v>523</v>
      </c>
      <c r="D80" s="71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>
        <f t="shared" si="6"/>
        <v>0</v>
      </c>
    </row>
    <row r="81" spans="1:20" x14ac:dyDescent="0.25">
      <c r="A81" s="19"/>
      <c r="B81" s="371"/>
      <c r="C81" s="370" t="s">
        <v>470</v>
      </c>
      <c r="D81" s="406"/>
      <c r="E81" s="70">
        <v>93206.00542999999</v>
      </c>
      <c r="F81" s="70">
        <v>76764.720720000012</v>
      </c>
      <c r="G81" s="70">
        <v>78854.79621</v>
      </c>
      <c r="H81" s="70">
        <v>75831.544370000003</v>
      </c>
      <c r="I81" s="70">
        <v>68072.913350000017</v>
      </c>
      <c r="J81" s="70">
        <v>75560.6777</v>
      </c>
      <c r="K81" s="70">
        <v>75853.111089999991</v>
      </c>
      <c r="L81" s="70">
        <v>75363.375180000003</v>
      </c>
      <c r="M81" s="70">
        <v>73282.349660000007</v>
      </c>
      <c r="N81" s="70">
        <v>77484.124349999998</v>
      </c>
      <c r="O81" s="70">
        <v>86778.876909999992</v>
      </c>
      <c r="P81" s="70">
        <v>82070.225510000004</v>
      </c>
      <c r="Q81" s="70">
        <f t="shared" si="6"/>
        <v>939122.72048000002</v>
      </c>
    </row>
    <row r="82" spans="1:20" x14ac:dyDescent="0.25">
      <c r="A82" s="19"/>
      <c r="B82" s="371"/>
      <c r="C82" s="370"/>
      <c r="D82" s="40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1:20" x14ac:dyDescent="0.25">
      <c r="A83" s="19"/>
      <c r="B83" s="371"/>
      <c r="C83" s="370" t="s">
        <v>429</v>
      </c>
      <c r="D83" s="406"/>
      <c r="E83" s="70">
        <v>21358.416191704455</v>
      </c>
      <c r="F83" s="70">
        <v>21513.021591712772</v>
      </c>
      <c r="G83" s="70">
        <v>22717.071597953152</v>
      </c>
      <c r="H83" s="70">
        <v>21617.547946915169</v>
      </c>
      <c r="I83" s="70">
        <v>20982.745350917336</v>
      </c>
      <c r="J83" s="70">
        <v>19838.353371885009</v>
      </c>
      <c r="K83" s="70">
        <v>20371.562591005531</v>
      </c>
      <c r="L83" s="70">
        <v>19251.788908765651</v>
      </c>
      <c r="M83" s="70">
        <v>18994.716478761904</v>
      </c>
      <c r="N83" s="70">
        <v>17585.181179015683</v>
      </c>
      <c r="O83" s="70">
        <v>18904.813412655487</v>
      </c>
      <c r="P83" s="70">
        <v>16492.90676873154</v>
      </c>
      <c r="Q83" s="70">
        <f t="shared" si="6"/>
        <v>239628.12539002372</v>
      </c>
    </row>
    <row r="84" spans="1:20" x14ac:dyDescent="0.25">
      <c r="A84" s="19"/>
      <c r="B84" s="371"/>
      <c r="C84" s="370"/>
      <c r="D84" s="406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</row>
    <row r="85" spans="1:20" ht="13.8" x14ac:dyDescent="0.25">
      <c r="A85" s="27"/>
      <c r="B85" s="371"/>
      <c r="C85" s="370"/>
      <c r="D85" s="40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20" x14ac:dyDescent="0.25">
      <c r="A86" s="17"/>
      <c r="B86" s="19"/>
      <c r="C86" s="18"/>
      <c r="D86" s="71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20" ht="15" x14ac:dyDescent="0.25">
      <c r="A87" s="389" t="s">
        <v>546</v>
      </c>
      <c r="B87" s="28"/>
      <c r="C87" s="29"/>
      <c r="D87" s="73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20" x14ac:dyDescent="0.25">
      <c r="A88" s="19"/>
      <c r="B88" s="26"/>
      <c r="C88" s="18"/>
      <c r="D88" s="74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20" ht="13.8" x14ac:dyDescent="0.25">
      <c r="A89" s="388"/>
      <c r="B89" s="19" t="s">
        <v>458</v>
      </c>
      <c r="C89" s="18" t="s">
        <v>525</v>
      </c>
      <c r="D89" s="74"/>
      <c r="E89" s="16">
        <f t="shared" ref="E89:P89" si="7">+E6+E7</f>
        <v>1869849.8621865881</v>
      </c>
      <c r="F89" s="16">
        <f t="shared" si="7"/>
        <v>3051277.6189164342</v>
      </c>
      <c r="G89" s="16">
        <f t="shared" si="7"/>
        <v>4097813.799298557</v>
      </c>
      <c r="H89" s="16">
        <f t="shared" si="7"/>
        <v>4059714.3485427452</v>
      </c>
      <c r="I89" s="16">
        <f t="shared" si="7"/>
        <v>3385777.3313891366</v>
      </c>
      <c r="J89" s="16">
        <f t="shared" si="7"/>
        <v>3035249.3643482402</v>
      </c>
      <c r="K89" s="16">
        <f t="shared" si="7"/>
        <v>2313704.0946083288</v>
      </c>
      <c r="L89" s="16">
        <f t="shared" si="7"/>
        <v>1594739.6702007994</v>
      </c>
      <c r="M89" s="16">
        <f t="shared" si="7"/>
        <v>1201025.3740018038</v>
      </c>
      <c r="N89" s="16">
        <f t="shared" si="7"/>
        <v>1091851.2441541976</v>
      </c>
      <c r="O89" s="16">
        <f t="shared" si="7"/>
        <v>1090404.8970797409</v>
      </c>
      <c r="P89" s="16">
        <f t="shared" si="7"/>
        <v>1146762.7413517872</v>
      </c>
      <c r="Q89" s="21">
        <f>SUM(E89:P89)</f>
        <v>27938170.346078359</v>
      </c>
      <c r="S89" s="386"/>
      <c r="T89" s="386"/>
    </row>
    <row r="90" spans="1:20" ht="13.8" x14ac:dyDescent="0.25">
      <c r="A90" s="27"/>
      <c r="B90" s="26"/>
      <c r="C90" s="18" t="s">
        <v>526</v>
      </c>
      <c r="D90" s="74"/>
      <c r="E90" s="16">
        <f t="shared" ref="E90:P90" si="8">+E8+E14+E22+E10+E9</f>
        <v>674912.86066379957</v>
      </c>
      <c r="F90" s="16">
        <f t="shared" si="8"/>
        <v>1090641.9543234818</v>
      </c>
      <c r="G90" s="16">
        <f t="shared" si="8"/>
        <v>1477252.3337400437</v>
      </c>
      <c r="H90" s="16">
        <f t="shared" si="8"/>
        <v>1465906.27024157</v>
      </c>
      <c r="I90" s="16">
        <f t="shared" si="8"/>
        <v>1218156.9200763619</v>
      </c>
      <c r="J90" s="16">
        <f t="shared" si="8"/>
        <v>1093155.772172597</v>
      </c>
      <c r="K90" s="16">
        <f t="shared" si="8"/>
        <v>834720.54681201547</v>
      </c>
      <c r="L90" s="16">
        <f t="shared" si="8"/>
        <v>592260.25568545295</v>
      </c>
      <c r="M90" s="16">
        <f t="shared" si="8"/>
        <v>464687.94794143434</v>
      </c>
      <c r="N90" s="16">
        <f t="shared" si="8"/>
        <v>424588.165531768</v>
      </c>
      <c r="O90" s="16">
        <f t="shared" si="8"/>
        <v>419511.68885452219</v>
      </c>
      <c r="P90" s="16">
        <f t="shared" si="8"/>
        <v>428147.23838189628</v>
      </c>
      <c r="Q90" s="21">
        <f>SUM(E90:P90)</f>
        <v>10183941.954424942</v>
      </c>
      <c r="S90" s="386"/>
      <c r="T90" s="386"/>
    </row>
    <row r="91" spans="1:20" ht="13.8" x14ac:dyDescent="0.25">
      <c r="A91" s="27"/>
      <c r="B91" s="26"/>
      <c r="C91" s="18" t="s">
        <v>527</v>
      </c>
      <c r="D91" s="74"/>
      <c r="E91" s="16">
        <f t="shared" ref="E91:P91" si="9">+E24+E28+E36</f>
        <v>66033.169292366831</v>
      </c>
      <c r="F91" s="16">
        <f t="shared" si="9"/>
        <v>77509.27233429646</v>
      </c>
      <c r="G91" s="16">
        <f t="shared" si="9"/>
        <v>93312.241982888081</v>
      </c>
      <c r="H91" s="16">
        <f t="shared" si="9"/>
        <v>107088.64427978959</v>
      </c>
      <c r="I91" s="16">
        <f t="shared" si="9"/>
        <v>94634.412783686887</v>
      </c>
      <c r="J91" s="16">
        <f t="shared" si="9"/>
        <v>95893.906395378377</v>
      </c>
      <c r="K91" s="16">
        <f t="shared" si="9"/>
        <v>85977.809867516233</v>
      </c>
      <c r="L91" s="16">
        <f t="shared" si="9"/>
        <v>71057.335807219191</v>
      </c>
      <c r="M91" s="16">
        <f t="shared" si="9"/>
        <v>62637.855157883387</v>
      </c>
      <c r="N91" s="16">
        <f t="shared" si="9"/>
        <v>59912.743331529542</v>
      </c>
      <c r="O91" s="16">
        <f t="shared" si="9"/>
        <v>57735.161867754432</v>
      </c>
      <c r="P91" s="16">
        <f t="shared" si="9"/>
        <v>58902.895211879237</v>
      </c>
      <c r="Q91" s="21">
        <f>SUM(E91:P91)</f>
        <v>930695.44831218827</v>
      </c>
      <c r="S91" s="386"/>
      <c r="T91" s="386"/>
    </row>
    <row r="92" spans="1:20" ht="13.8" x14ac:dyDescent="0.25">
      <c r="A92" s="27"/>
      <c r="B92" s="19"/>
      <c r="C92" s="18" t="s">
        <v>528</v>
      </c>
      <c r="D92" s="74"/>
      <c r="E92" s="20">
        <f t="shared" ref="E92:P92" si="10">+E40+E48</f>
        <v>18021.447330439878</v>
      </c>
      <c r="F92" s="20">
        <f t="shared" si="10"/>
        <v>20194.944466932247</v>
      </c>
      <c r="G92" s="20">
        <f t="shared" si="10"/>
        <v>21977.040771145985</v>
      </c>
      <c r="H92" s="20">
        <f t="shared" si="10"/>
        <v>20837.618326106669</v>
      </c>
      <c r="I92" s="20">
        <f t="shared" si="10"/>
        <v>20691.552199061174</v>
      </c>
      <c r="J92" s="20">
        <f t="shared" si="10"/>
        <v>19621.330028955592</v>
      </c>
      <c r="K92" s="20">
        <f t="shared" si="10"/>
        <v>18534.955105402114</v>
      </c>
      <c r="L92" s="20">
        <f t="shared" si="10"/>
        <v>17343.795363693775</v>
      </c>
      <c r="M92" s="20">
        <f t="shared" si="10"/>
        <v>17148.834725185276</v>
      </c>
      <c r="N92" s="20">
        <f t="shared" si="10"/>
        <v>15651.545998290851</v>
      </c>
      <c r="O92" s="20">
        <f t="shared" si="10"/>
        <v>16256.71418489291</v>
      </c>
      <c r="P92" s="20">
        <f t="shared" si="10"/>
        <v>16922.146671182702</v>
      </c>
      <c r="Q92" s="20">
        <f>+Q40+Q48</f>
        <v>223201.92517128921</v>
      </c>
      <c r="S92" s="386"/>
      <c r="T92" s="386"/>
    </row>
    <row r="93" spans="1:20" ht="13.8" x14ac:dyDescent="0.25">
      <c r="A93" s="27"/>
      <c r="B93" s="19"/>
      <c r="C93" s="18"/>
      <c r="D93" s="74"/>
      <c r="E93" s="16">
        <f t="shared" ref="E93:Q93" si="11">SUM(E89:E92)</f>
        <v>2628817.3394731949</v>
      </c>
      <c r="F93" s="16">
        <f t="shared" si="11"/>
        <v>4239623.7900411449</v>
      </c>
      <c r="G93" s="16">
        <f t="shared" si="11"/>
        <v>5690355.4157926356</v>
      </c>
      <c r="H93" s="16">
        <f t="shared" si="11"/>
        <v>5653546.8813902112</v>
      </c>
      <c r="I93" s="16">
        <f t="shared" si="11"/>
        <v>4719260.2164482465</v>
      </c>
      <c r="J93" s="16">
        <f t="shared" si="11"/>
        <v>4243920.3729451718</v>
      </c>
      <c r="K93" s="16">
        <f t="shared" si="11"/>
        <v>3252937.4063932626</v>
      </c>
      <c r="L93" s="16">
        <f t="shared" si="11"/>
        <v>2275401.0570571655</v>
      </c>
      <c r="M93" s="16">
        <f t="shared" si="11"/>
        <v>1745500.0118263068</v>
      </c>
      <c r="N93" s="16">
        <f t="shared" si="11"/>
        <v>1592003.6990157859</v>
      </c>
      <c r="O93" s="16">
        <f t="shared" si="11"/>
        <v>1583908.4619869106</v>
      </c>
      <c r="P93" s="16">
        <f t="shared" si="11"/>
        <v>1650735.0216167455</v>
      </c>
      <c r="Q93" s="16">
        <f t="shared" si="11"/>
        <v>39276009.67398677</v>
      </c>
      <c r="S93" s="386"/>
      <c r="T93" s="386"/>
    </row>
    <row r="94" spans="1:20" ht="13.8" x14ac:dyDescent="0.25">
      <c r="A94" s="27"/>
      <c r="B94" s="19"/>
      <c r="C94" s="18"/>
      <c r="D94" s="74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S94" s="386"/>
      <c r="T94" s="386"/>
    </row>
    <row r="95" spans="1:20" ht="13.8" x14ac:dyDescent="0.25">
      <c r="A95" s="27"/>
      <c r="B95" s="371" t="s">
        <v>503</v>
      </c>
      <c r="C95" s="18" t="s">
        <v>526</v>
      </c>
      <c r="D95" s="74"/>
      <c r="E95" s="16">
        <f t="shared" ref="E95:P95" si="12">E61+E53</f>
        <v>54039.508310000005</v>
      </c>
      <c r="F95" s="16">
        <f t="shared" si="12"/>
        <v>63060.397349999999</v>
      </c>
      <c r="G95" s="16">
        <f t="shared" si="12"/>
        <v>74734.499060000002</v>
      </c>
      <c r="H95" s="16">
        <f t="shared" si="12"/>
        <v>66671.807629999996</v>
      </c>
      <c r="I95" s="16">
        <f t="shared" si="12"/>
        <v>65865.72748999999</v>
      </c>
      <c r="J95" s="16">
        <f t="shared" si="12"/>
        <v>64645.128369999999</v>
      </c>
      <c r="K95" s="16">
        <f t="shared" si="12"/>
        <v>55222.076979999998</v>
      </c>
      <c r="L95" s="16">
        <f t="shared" si="12"/>
        <v>45543.125329999995</v>
      </c>
      <c r="M95" s="16">
        <f t="shared" si="12"/>
        <v>43027.153120000003</v>
      </c>
      <c r="N95" s="16">
        <f t="shared" si="12"/>
        <v>39307.643400000001</v>
      </c>
      <c r="O95" s="16">
        <f t="shared" si="12"/>
        <v>41122.321920000002</v>
      </c>
      <c r="P95" s="16">
        <f t="shared" si="12"/>
        <v>44722.179959999994</v>
      </c>
      <c r="Q95" s="16">
        <f t="shared" ref="Q95:Q98" si="13">SUM(E95:P95)</f>
        <v>657961.56892000011</v>
      </c>
      <c r="S95" s="386"/>
      <c r="T95" s="386"/>
    </row>
    <row r="96" spans="1:20" ht="13.8" x14ac:dyDescent="0.25">
      <c r="A96" s="27"/>
      <c r="B96" s="371"/>
      <c r="C96" s="18" t="s">
        <v>527</v>
      </c>
      <c r="D96" s="74"/>
      <c r="E96" s="16">
        <f t="shared" ref="E96:P96" si="14">+E65+E73</f>
        <v>42022.794780000004</v>
      </c>
      <c r="F96" s="16">
        <f t="shared" si="14"/>
        <v>45713.683400000002</v>
      </c>
      <c r="G96" s="16">
        <f t="shared" si="14"/>
        <v>48137.505560000005</v>
      </c>
      <c r="H96" s="16">
        <f t="shared" si="14"/>
        <v>47288.372899999995</v>
      </c>
      <c r="I96" s="16">
        <f t="shared" si="14"/>
        <v>46733.112540000002</v>
      </c>
      <c r="J96" s="16">
        <f t="shared" si="14"/>
        <v>47324.863870000001</v>
      </c>
      <c r="K96" s="16">
        <f t="shared" si="14"/>
        <v>44747.625379999998</v>
      </c>
      <c r="L96" s="16">
        <f t="shared" si="14"/>
        <v>41299.933149999997</v>
      </c>
      <c r="M96" s="16">
        <f t="shared" si="14"/>
        <v>40657.982570000007</v>
      </c>
      <c r="N96" s="16">
        <f t="shared" si="14"/>
        <v>40012.555999999997</v>
      </c>
      <c r="O96" s="16">
        <f t="shared" si="14"/>
        <v>39873.4715</v>
      </c>
      <c r="P96" s="16">
        <f t="shared" si="14"/>
        <v>40579.450239999998</v>
      </c>
      <c r="Q96" s="16">
        <f t="shared" si="13"/>
        <v>524391.35188999993</v>
      </c>
      <c r="S96" s="386"/>
      <c r="T96" s="386"/>
    </row>
    <row r="97" spans="1:20" ht="13.8" x14ac:dyDescent="0.25">
      <c r="A97" s="27"/>
      <c r="B97" s="371"/>
      <c r="C97" s="18" t="s">
        <v>528</v>
      </c>
      <c r="D97" s="74"/>
      <c r="E97" s="23">
        <f t="shared" ref="E97:P97" si="15">+E81</f>
        <v>93206.00542999999</v>
      </c>
      <c r="F97" s="23">
        <f t="shared" si="15"/>
        <v>76764.720720000012</v>
      </c>
      <c r="G97" s="23">
        <f t="shared" si="15"/>
        <v>78854.79621</v>
      </c>
      <c r="H97" s="23">
        <f t="shared" si="15"/>
        <v>75831.544370000003</v>
      </c>
      <c r="I97" s="23">
        <f t="shared" si="15"/>
        <v>68072.913350000017</v>
      </c>
      <c r="J97" s="23">
        <f t="shared" si="15"/>
        <v>75560.6777</v>
      </c>
      <c r="K97" s="23">
        <f t="shared" si="15"/>
        <v>75853.111089999991</v>
      </c>
      <c r="L97" s="23">
        <f t="shared" si="15"/>
        <v>75363.375180000003</v>
      </c>
      <c r="M97" s="23">
        <f t="shared" si="15"/>
        <v>73282.349660000007</v>
      </c>
      <c r="N97" s="23">
        <f t="shared" si="15"/>
        <v>77484.124349999998</v>
      </c>
      <c r="O97" s="23">
        <f t="shared" si="15"/>
        <v>86778.876909999992</v>
      </c>
      <c r="P97" s="23">
        <f t="shared" si="15"/>
        <v>82070.225510000004</v>
      </c>
      <c r="Q97" s="23">
        <f t="shared" si="13"/>
        <v>939122.72048000002</v>
      </c>
      <c r="S97" s="386"/>
      <c r="T97" s="386"/>
    </row>
    <row r="98" spans="1:20" ht="13.8" x14ac:dyDescent="0.25">
      <c r="A98" s="27"/>
      <c r="B98" s="371"/>
      <c r="C98" s="370" t="s">
        <v>473</v>
      </c>
      <c r="D98" s="405"/>
      <c r="E98" s="20">
        <f t="shared" ref="E98:P98" si="16">+E83</f>
        <v>21358.416191704455</v>
      </c>
      <c r="F98" s="20">
        <f t="shared" si="16"/>
        <v>21513.021591712772</v>
      </c>
      <c r="G98" s="20">
        <f t="shared" si="16"/>
        <v>22717.071597953152</v>
      </c>
      <c r="H98" s="20">
        <f t="shared" si="16"/>
        <v>21617.547946915169</v>
      </c>
      <c r="I98" s="20">
        <f t="shared" si="16"/>
        <v>20982.745350917336</v>
      </c>
      <c r="J98" s="20">
        <f t="shared" si="16"/>
        <v>19838.353371885009</v>
      </c>
      <c r="K98" s="20">
        <f t="shared" si="16"/>
        <v>20371.562591005531</v>
      </c>
      <c r="L98" s="20">
        <f t="shared" si="16"/>
        <v>19251.788908765651</v>
      </c>
      <c r="M98" s="20">
        <f t="shared" si="16"/>
        <v>18994.716478761904</v>
      </c>
      <c r="N98" s="20">
        <f t="shared" si="16"/>
        <v>17585.181179015683</v>
      </c>
      <c r="O98" s="20">
        <f t="shared" si="16"/>
        <v>18904.813412655487</v>
      </c>
      <c r="P98" s="20">
        <f t="shared" si="16"/>
        <v>16492.90676873154</v>
      </c>
      <c r="Q98" s="20">
        <f t="shared" si="13"/>
        <v>239628.12539002372</v>
      </c>
      <c r="S98" s="386"/>
      <c r="T98" s="386"/>
    </row>
    <row r="99" spans="1:20" ht="13.8" x14ac:dyDescent="0.25">
      <c r="A99" s="27"/>
      <c r="B99" s="371"/>
      <c r="C99" s="18"/>
      <c r="D99" s="74"/>
      <c r="E99" s="16">
        <f t="shared" ref="E99:Q99" si="17">SUM(E95:E98)</f>
        <v>210626.72471170445</v>
      </c>
      <c r="F99" s="16">
        <f t="shared" si="17"/>
        <v>207051.82306171278</v>
      </c>
      <c r="G99" s="16">
        <f t="shared" si="17"/>
        <v>224443.87242795317</v>
      </c>
      <c r="H99" s="16">
        <f t="shared" si="17"/>
        <v>211409.27284691515</v>
      </c>
      <c r="I99" s="16">
        <f t="shared" si="17"/>
        <v>201654.49873091734</v>
      </c>
      <c r="J99" s="16">
        <f t="shared" si="17"/>
        <v>207369.02331188502</v>
      </c>
      <c r="K99" s="16">
        <f t="shared" si="17"/>
        <v>196194.37604100551</v>
      </c>
      <c r="L99" s="16">
        <f t="shared" si="17"/>
        <v>181458.22256876563</v>
      </c>
      <c r="M99" s="16">
        <f t="shared" si="17"/>
        <v>175962.20182876193</v>
      </c>
      <c r="N99" s="16">
        <f t="shared" si="17"/>
        <v>174389.50492901567</v>
      </c>
      <c r="O99" s="16">
        <f t="shared" si="17"/>
        <v>186679.48374265549</v>
      </c>
      <c r="P99" s="16">
        <f t="shared" si="17"/>
        <v>183864.76247873151</v>
      </c>
      <c r="Q99" s="16">
        <f t="shared" si="17"/>
        <v>2361103.7666800241</v>
      </c>
      <c r="S99" s="386"/>
      <c r="T99" s="386"/>
    </row>
    <row r="100" spans="1:20" ht="13.8" x14ac:dyDescent="0.25">
      <c r="A100" s="27"/>
      <c r="B100" s="371"/>
      <c r="C100" s="18"/>
      <c r="D100" s="74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4"/>
      <c r="S100" s="386"/>
      <c r="T100" s="386"/>
    </row>
    <row r="101" spans="1:20" ht="13.8" x14ac:dyDescent="0.25">
      <c r="A101" s="27"/>
      <c r="B101" s="371"/>
      <c r="C101" s="371" t="s">
        <v>529</v>
      </c>
      <c r="D101" s="404"/>
      <c r="E101" s="16">
        <f t="shared" ref="E101:Q101" si="18">+E99+E93</f>
        <v>2839444.0641848994</v>
      </c>
      <c r="F101" s="16">
        <f t="shared" si="18"/>
        <v>4446675.613102858</v>
      </c>
      <c r="G101" s="16">
        <f t="shared" si="18"/>
        <v>5914799.288220589</v>
      </c>
      <c r="H101" s="16">
        <f t="shared" si="18"/>
        <v>5864956.154237126</v>
      </c>
      <c r="I101" s="16">
        <f t="shared" si="18"/>
        <v>4920914.715179164</v>
      </c>
      <c r="J101" s="16">
        <f t="shared" si="18"/>
        <v>4451289.3962570569</v>
      </c>
      <c r="K101" s="16">
        <f t="shared" si="18"/>
        <v>3449131.7824342679</v>
      </c>
      <c r="L101" s="16">
        <f t="shared" si="18"/>
        <v>2456859.2796259313</v>
      </c>
      <c r="M101" s="16">
        <f t="shared" si="18"/>
        <v>1921462.2136550688</v>
      </c>
      <c r="N101" s="16">
        <f t="shared" si="18"/>
        <v>1766393.2039448016</v>
      </c>
      <c r="O101" s="16">
        <f t="shared" si="18"/>
        <v>1770587.945729566</v>
      </c>
      <c r="P101" s="16">
        <f t="shared" si="18"/>
        <v>1834599.7840954771</v>
      </c>
      <c r="Q101" s="21">
        <f t="shared" si="18"/>
        <v>41637113.440666795</v>
      </c>
      <c r="T101" s="386"/>
    </row>
    <row r="102" spans="1:20" ht="13.8" x14ac:dyDescent="0.25">
      <c r="A102" s="75"/>
      <c r="B102" s="374"/>
      <c r="C102" s="76"/>
      <c r="D102" s="7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20" ht="13.8" x14ac:dyDescent="0.25">
      <c r="A103" s="403"/>
      <c r="B103" s="402"/>
      <c r="C103" s="402" t="s">
        <v>547</v>
      </c>
      <c r="D103" s="74"/>
      <c r="E103" s="16">
        <v>8951</v>
      </c>
      <c r="F103" s="16">
        <v>13647</v>
      </c>
      <c r="G103" s="16">
        <v>18476</v>
      </c>
      <c r="H103" s="16">
        <v>18152</v>
      </c>
      <c r="I103" s="16">
        <v>14961</v>
      </c>
      <c r="J103" s="16">
        <v>13654</v>
      </c>
      <c r="K103" s="16">
        <v>10428</v>
      </c>
      <c r="L103" s="16">
        <v>7183</v>
      </c>
      <c r="M103" s="16">
        <v>5446</v>
      </c>
      <c r="N103" s="16">
        <v>4906</v>
      </c>
      <c r="O103" s="16">
        <v>5110</v>
      </c>
      <c r="P103" s="16">
        <v>5258</v>
      </c>
      <c r="Q103" s="21">
        <f>SUM(E103:P103)</f>
        <v>126172</v>
      </c>
    </row>
    <row r="104" spans="1:20" ht="13.8" x14ac:dyDescent="0.25">
      <c r="A104" s="77"/>
      <c r="B104" s="401"/>
      <c r="C104" s="78"/>
      <c r="D104" s="7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21"/>
    </row>
    <row r="105" spans="1:20" ht="13.8" x14ac:dyDescent="0.25">
      <c r="A105" s="77"/>
      <c r="B105" s="401"/>
      <c r="C105" s="78" t="s">
        <v>548</v>
      </c>
      <c r="D105" s="74"/>
      <c r="E105" s="16">
        <f t="shared" ref="E105:P105" si="19">+E101-E103</f>
        <v>2830493.0641848994</v>
      </c>
      <c r="F105" s="16">
        <f t="shared" si="19"/>
        <v>4433028.613102858</v>
      </c>
      <c r="G105" s="16">
        <f t="shared" si="19"/>
        <v>5896323.288220589</v>
      </c>
      <c r="H105" s="16">
        <f t="shared" si="19"/>
        <v>5846804.154237126</v>
      </c>
      <c r="I105" s="16">
        <f t="shared" si="19"/>
        <v>4905953.715179164</v>
      </c>
      <c r="J105" s="16">
        <f t="shared" si="19"/>
        <v>4437635.3962570569</v>
      </c>
      <c r="K105" s="16">
        <f t="shared" si="19"/>
        <v>3438703.7824342679</v>
      </c>
      <c r="L105" s="16">
        <f t="shared" si="19"/>
        <v>2449676.2796259313</v>
      </c>
      <c r="M105" s="16">
        <f t="shared" si="19"/>
        <v>1916016.2136550688</v>
      </c>
      <c r="N105" s="16">
        <f t="shared" si="19"/>
        <v>1761487.2039448016</v>
      </c>
      <c r="O105" s="16">
        <f t="shared" si="19"/>
        <v>1765477.945729566</v>
      </c>
      <c r="P105" s="16">
        <f t="shared" si="19"/>
        <v>1829341.7840954771</v>
      </c>
      <c r="Q105" s="21">
        <f t="shared" ref="Q105" si="20">SUM(E105:P105)</f>
        <v>41510941.440666802</v>
      </c>
    </row>
  </sheetData>
  <printOptions horizontalCentered="1"/>
  <pageMargins left="0.5" right="0.5" top="0.5" bottom="0.5" header="0.25" footer="0.25"/>
  <pageSetup scale="47" fitToHeight="4" orientation="landscape" r:id="rId1"/>
  <headerFooter alignWithMargins="0">
    <oddFooter>&amp;C&amp;"Tahoma,Regular"&amp;8&amp;F &amp;D &amp;T&amp;R&amp;"Tahoma,Regular"&amp;8&amp;A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0"/>
  <sheetViews>
    <sheetView zoomScale="85" zoomScaleNormal="85" workbookViewId="0">
      <selection activeCell="J9" sqref="J9"/>
    </sheetView>
  </sheetViews>
  <sheetFormatPr defaultRowHeight="14.4" x14ac:dyDescent="0.3"/>
  <cols>
    <col min="1" max="1" width="13.5546875" customWidth="1"/>
    <col min="2" max="2" width="16.88671875" customWidth="1"/>
    <col min="4" max="4" width="13.88671875" customWidth="1"/>
    <col min="7" max="7" width="17.5546875" customWidth="1"/>
    <col min="9" max="9" width="15.109375" customWidth="1"/>
    <col min="10" max="10" width="10.88671875" customWidth="1"/>
    <col min="11" max="11" width="12.5546875" bestFit="1" customWidth="1"/>
    <col min="12" max="12" width="10.44140625" bestFit="1" customWidth="1"/>
    <col min="13" max="13" width="10.109375" customWidth="1"/>
    <col min="14" max="14" width="11.5546875" bestFit="1" customWidth="1"/>
    <col min="15" max="15" width="11.44140625" bestFit="1" customWidth="1"/>
    <col min="16" max="16" width="10.44140625" bestFit="1" customWidth="1"/>
    <col min="17" max="18" width="10.109375" bestFit="1" customWidth="1"/>
    <col min="19" max="30" width="11.109375" bestFit="1" customWidth="1"/>
  </cols>
  <sheetData>
    <row r="1" spans="1:33" ht="23.4" x14ac:dyDescent="0.45">
      <c r="A1" s="172" t="s">
        <v>1955</v>
      </c>
      <c r="B1" s="172"/>
      <c r="C1" s="172"/>
      <c r="AG1" t="s">
        <v>2298</v>
      </c>
    </row>
    <row r="2" spans="1:33" x14ac:dyDescent="0.3">
      <c r="A2" s="105" t="s">
        <v>1956</v>
      </c>
      <c r="AG2" s="9" t="s">
        <v>321</v>
      </c>
    </row>
    <row r="3" spans="1:33" x14ac:dyDescent="0.3">
      <c r="AG3" s="9" t="s">
        <v>1957</v>
      </c>
    </row>
    <row r="4" spans="1:33" x14ac:dyDescent="0.3">
      <c r="A4" s="692" t="s">
        <v>1958</v>
      </c>
      <c r="B4" s="692"/>
      <c r="C4" s="692"/>
      <c r="D4" s="692"/>
      <c r="E4" s="692"/>
      <c r="F4" s="692"/>
      <c r="G4" s="692"/>
      <c r="AG4" s="9" t="s">
        <v>1959</v>
      </c>
    </row>
    <row r="5" spans="1:33" ht="28.8" x14ac:dyDescent="0.3">
      <c r="A5" s="173" t="s">
        <v>1960</v>
      </c>
      <c r="B5" s="173" t="s">
        <v>1961</v>
      </c>
      <c r="C5" s="173" t="s">
        <v>1962</v>
      </c>
      <c r="D5" s="173" t="s">
        <v>1963</v>
      </c>
      <c r="E5" s="173" t="s">
        <v>1964</v>
      </c>
      <c r="F5" s="173" t="s">
        <v>1965</v>
      </c>
      <c r="G5" s="173" t="s">
        <v>1966</v>
      </c>
      <c r="AG5" s="9" t="s">
        <v>1907</v>
      </c>
    </row>
    <row r="6" spans="1:33" x14ac:dyDescent="0.3">
      <c r="A6" s="692" t="s">
        <v>1967</v>
      </c>
      <c r="B6" s="692"/>
      <c r="AG6" s="9" t="s">
        <v>1990</v>
      </c>
    </row>
    <row r="7" spans="1:33" x14ac:dyDescent="0.3">
      <c r="A7" s="84" t="s">
        <v>1991</v>
      </c>
      <c r="B7" s="84">
        <v>250</v>
      </c>
      <c r="C7" s="84" t="s">
        <v>49</v>
      </c>
      <c r="D7" s="84" t="s">
        <v>1992</v>
      </c>
      <c r="E7" s="84">
        <v>250</v>
      </c>
      <c r="F7" s="84">
        <v>3</v>
      </c>
      <c r="G7" s="84">
        <v>225</v>
      </c>
    </row>
    <row r="8" spans="1:33" x14ac:dyDescent="0.3">
      <c r="A8" s="84" t="s">
        <v>1993</v>
      </c>
      <c r="B8" s="84"/>
      <c r="C8" s="84"/>
      <c r="D8" s="84"/>
      <c r="E8" s="84"/>
      <c r="F8" s="84"/>
      <c r="G8" s="84"/>
    </row>
    <row r="9" spans="1:33" x14ac:dyDescent="0.3">
      <c r="A9" s="84" t="s">
        <v>1994</v>
      </c>
      <c r="B9" s="84" t="s">
        <v>1995</v>
      </c>
      <c r="C9" s="84" t="s">
        <v>49</v>
      </c>
      <c r="D9" s="84">
        <v>2</v>
      </c>
      <c r="E9" s="84">
        <v>602</v>
      </c>
      <c r="F9" s="84">
        <v>6</v>
      </c>
      <c r="G9" s="84">
        <v>208</v>
      </c>
    </row>
    <row r="10" spans="1:33" x14ac:dyDescent="0.3">
      <c r="A10" s="84" t="s">
        <v>1996</v>
      </c>
      <c r="B10" s="84" t="s">
        <v>1997</v>
      </c>
      <c r="C10" s="84" t="s">
        <v>49</v>
      </c>
      <c r="D10" s="84" t="s">
        <v>1998</v>
      </c>
      <c r="E10" s="84">
        <v>602</v>
      </c>
      <c r="F10" s="84">
        <v>6</v>
      </c>
      <c r="G10" s="84">
        <v>228</v>
      </c>
    </row>
    <row r="11" spans="1:33" x14ac:dyDescent="0.3">
      <c r="B11" s="84" t="s">
        <v>2000</v>
      </c>
      <c r="C11" s="84" t="s">
        <v>49</v>
      </c>
      <c r="D11" s="84" t="s">
        <v>1998</v>
      </c>
      <c r="E11" s="84">
        <v>602</v>
      </c>
      <c r="F11" s="84">
        <v>6</v>
      </c>
      <c r="G11" s="84">
        <v>105</v>
      </c>
    </row>
    <row r="12" spans="1:33" x14ac:dyDescent="0.3">
      <c r="A12" s="692" t="s">
        <v>2002</v>
      </c>
      <c r="B12" s="692"/>
    </row>
    <row r="13" spans="1:33" x14ac:dyDescent="0.3">
      <c r="A13" s="84" t="s">
        <v>2004</v>
      </c>
      <c r="B13" s="84" t="s">
        <v>2005</v>
      </c>
      <c r="C13" s="84" t="s">
        <v>49</v>
      </c>
      <c r="D13" s="84">
        <v>2</v>
      </c>
      <c r="E13" s="124">
        <v>1516</v>
      </c>
      <c r="F13" s="84">
        <v>16</v>
      </c>
      <c r="G13" s="84">
        <v>607</v>
      </c>
    </row>
    <row r="14" spans="1:33" x14ac:dyDescent="0.3">
      <c r="A14" s="84" t="s">
        <v>2007</v>
      </c>
      <c r="B14" s="84" t="s">
        <v>2008</v>
      </c>
      <c r="C14" s="84" t="s">
        <v>49</v>
      </c>
      <c r="D14" s="84" t="s">
        <v>1998</v>
      </c>
      <c r="E14" s="124">
        <v>1516</v>
      </c>
      <c r="F14" s="84">
        <v>16</v>
      </c>
      <c r="G14" s="84">
        <v>582</v>
      </c>
    </row>
    <row r="15" spans="1:33" x14ac:dyDescent="0.3">
      <c r="A15" s="692" t="s">
        <v>2010</v>
      </c>
      <c r="B15" s="692"/>
    </row>
    <row r="16" spans="1:33" x14ac:dyDescent="0.3">
      <c r="A16" s="84" t="s">
        <v>2012</v>
      </c>
      <c r="B16" s="84" t="s">
        <v>2013</v>
      </c>
      <c r="C16" s="84" t="s">
        <v>49</v>
      </c>
      <c r="D16" s="84" t="s">
        <v>1998</v>
      </c>
      <c r="E16" s="124">
        <v>2407</v>
      </c>
      <c r="F16" s="84">
        <v>25</v>
      </c>
      <c r="G16" s="84">
        <v>998</v>
      </c>
    </row>
    <row r="17" spans="1:31" x14ac:dyDescent="0.3">
      <c r="A17" s="84" t="s">
        <v>2015</v>
      </c>
      <c r="B17" s="84" t="s">
        <v>2016</v>
      </c>
      <c r="C17" s="84" t="s">
        <v>49</v>
      </c>
      <c r="D17" s="84" t="s">
        <v>1998</v>
      </c>
      <c r="E17" s="124">
        <v>2407</v>
      </c>
      <c r="F17" s="84">
        <v>25</v>
      </c>
      <c r="G17" s="124">
        <v>1079</v>
      </c>
    </row>
    <row r="18" spans="1:31" x14ac:dyDescent="0.3">
      <c r="A18" s="692" t="s">
        <v>2018</v>
      </c>
      <c r="B18" s="692"/>
    </row>
    <row r="19" spans="1:31" x14ac:dyDescent="0.3">
      <c r="A19" s="84" t="s">
        <v>2020</v>
      </c>
      <c r="B19" s="84" t="s">
        <v>2021</v>
      </c>
      <c r="C19" s="84" t="s">
        <v>49</v>
      </c>
      <c r="D19" s="84">
        <v>2</v>
      </c>
      <c r="E19" s="84">
        <v>864</v>
      </c>
      <c r="F19" s="84">
        <v>9</v>
      </c>
      <c r="G19" s="124">
        <v>1662</v>
      </c>
    </row>
    <row r="20" spans="1:31" x14ac:dyDescent="0.3">
      <c r="A20" s="84" t="s">
        <v>2023</v>
      </c>
      <c r="B20" s="84" t="s">
        <v>2024</v>
      </c>
      <c r="C20" s="84" t="s">
        <v>49</v>
      </c>
      <c r="D20" s="84">
        <v>2</v>
      </c>
      <c r="E20" s="124">
        <v>1729</v>
      </c>
      <c r="F20" s="84">
        <v>18</v>
      </c>
      <c r="G20" s="124">
        <v>1748</v>
      </c>
      <c r="I20" s="163"/>
      <c r="J20" s="163"/>
    </row>
    <row r="21" spans="1:31" ht="21.6" thickBot="1" x14ac:dyDescent="0.45">
      <c r="A21" s="84" t="s">
        <v>2025</v>
      </c>
      <c r="B21" s="84" t="s">
        <v>2026</v>
      </c>
      <c r="C21" s="84" t="s">
        <v>49</v>
      </c>
      <c r="D21" s="84">
        <v>2</v>
      </c>
      <c r="E21" s="124">
        <v>3361</v>
      </c>
      <c r="F21" s="84">
        <v>35</v>
      </c>
      <c r="G21" s="124">
        <v>2102</v>
      </c>
      <c r="I21" s="174" t="s">
        <v>2299</v>
      </c>
    </row>
    <row r="22" spans="1:31" x14ac:dyDescent="0.3">
      <c r="A22" s="84" t="s">
        <v>2027</v>
      </c>
      <c r="B22" s="84" t="s">
        <v>2026</v>
      </c>
      <c r="C22" s="84" t="s">
        <v>49</v>
      </c>
      <c r="D22" s="84">
        <v>2</v>
      </c>
      <c r="E22" s="124">
        <v>5666</v>
      </c>
      <c r="F22" s="84">
        <v>59</v>
      </c>
      <c r="G22" s="124">
        <v>4150</v>
      </c>
      <c r="I22" s="101"/>
      <c r="J22" s="188" t="s">
        <v>1968</v>
      </c>
      <c r="K22" s="176" t="s">
        <v>1969</v>
      </c>
      <c r="L22" s="176" t="s">
        <v>1970</v>
      </c>
      <c r="M22" s="176" t="s">
        <v>1971</v>
      </c>
      <c r="N22" s="176" t="s">
        <v>1972</v>
      </c>
      <c r="O22" s="176" t="s">
        <v>1973</v>
      </c>
      <c r="P22" s="176" t="s">
        <v>1974</v>
      </c>
      <c r="Q22" s="176" t="s">
        <v>1975</v>
      </c>
      <c r="R22" s="176" t="s">
        <v>1976</v>
      </c>
      <c r="S22" s="176" t="s">
        <v>1977</v>
      </c>
      <c r="T22" s="176" t="s">
        <v>1978</v>
      </c>
      <c r="U22" s="176" t="s">
        <v>1979</v>
      </c>
      <c r="V22" s="176" t="s">
        <v>1980</v>
      </c>
      <c r="W22" s="176" t="s">
        <v>1981</v>
      </c>
      <c r="X22" s="176" t="s">
        <v>1982</v>
      </c>
      <c r="Y22" s="176" t="s">
        <v>1983</v>
      </c>
      <c r="Z22" s="176" t="s">
        <v>1984</v>
      </c>
      <c r="AA22" s="176" t="s">
        <v>1985</v>
      </c>
      <c r="AB22" s="176" t="s">
        <v>1986</v>
      </c>
      <c r="AC22" s="176" t="s">
        <v>1987</v>
      </c>
      <c r="AD22" s="177" t="s">
        <v>1988</v>
      </c>
      <c r="AE22" s="177" t="s">
        <v>1989</v>
      </c>
    </row>
    <row r="23" spans="1:31" ht="15" thickBot="1" x14ac:dyDescent="0.35">
      <c r="A23" s="84" t="s">
        <v>2029</v>
      </c>
      <c r="B23" s="84" t="s">
        <v>2028</v>
      </c>
      <c r="C23" s="84" t="s">
        <v>49</v>
      </c>
      <c r="D23" s="84">
        <v>2</v>
      </c>
      <c r="E23" s="124">
        <v>5666</v>
      </c>
      <c r="F23" s="84">
        <v>59</v>
      </c>
      <c r="G23" s="124">
        <v>4008</v>
      </c>
      <c r="I23" s="189"/>
      <c r="J23" s="190">
        <f t="shared" ref="J23:AE23" si="0">SUMPRODUCT(J$35:J$47,J$89:J$101)+SUMPRODUCT(J$53:J$65,J$108:J$120)+SUMPRODUCT(J$71:J$83,J$127:J$139)*$X$28/$V$28</f>
        <v>180629.16666666666</v>
      </c>
      <c r="K23" s="190">
        <f t="shared" si="0"/>
        <v>15969994</v>
      </c>
      <c r="L23" s="190">
        <f t="shared" si="0"/>
        <v>22938.5</v>
      </c>
      <c r="M23" s="190">
        <f>SUMPRODUCT(M$35:M$47,M$89:M$101)+SUMPRODUCT(M$53:M$65,M$108:M$120)+SUMPRODUCT(M$71:M$83,M$127:M$139)*$X$28/$V$28</f>
        <v>11010.5</v>
      </c>
      <c r="N23" s="190">
        <f t="shared" si="0"/>
        <v>3102932.4640613138</v>
      </c>
      <c r="O23" s="190">
        <f t="shared" si="0"/>
        <v>85684.764061313836</v>
      </c>
      <c r="P23" s="190">
        <f t="shared" si="0"/>
        <v>163843.5</v>
      </c>
      <c r="Q23" s="190">
        <f t="shared" si="0"/>
        <v>292785.37565192342</v>
      </c>
      <c r="R23" s="190">
        <f t="shared" si="0"/>
        <v>64085</v>
      </c>
      <c r="S23" s="190">
        <f t="shared" si="0"/>
        <v>73782.3</v>
      </c>
      <c r="T23" s="190">
        <f t="shared" si="0"/>
        <v>0</v>
      </c>
      <c r="U23" s="190">
        <f t="shared" si="0"/>
        <v>0</v>
      </c>
      <c r="V23" s="190">
        <f t="shared" si="0"/>
        <v>69262.857908760197</v>
      </c>
      <c r="W23" s="190">
        <f t="shared" si="0"/>
        <v>136349.46520777023</v>
      </c>
      <c r="X23" s="190">
        <f t="shared" si="0"/>
        <v>75901.792636301252</v>
      </c>
      <c r="Y23" s="190">
        <f t="shared" si="0"/>
        <v>24384.957908760196</v>
      </c>
      <c r="Z23" s="190">
        <f t="shared" si="0"/>
        <v>22160.04631815062</v>
      </c>
      <c r="AA23" s="190">
        <f t="shared" si="0"/>
        <v>55243.746043044142</v>
      </c>
      <c r="AB23" s="190">
        <f t="shared" si="0"/>
        <v>37129.4024762146</v>
      </c>
      <c r="AC23" s="190">
        <f t="shared" si="0"/>
        <v>0</v>
      </c>
      <c r="AD23" s="190">
        <f t="shared" si="0"/>
        <v>92695.526726437951</v>
      </c>
      <c r="AE23" s="190">
        <f t="shared" si="0"/>
        <v>17338.269092784234</v>
      </c>
    </row>
    <row r="24" spans="1:31" x14ac:dyDescent="0.3">
      <c r="A24" s="84" t="s">
        <v>2030</v>
      </c>
      <c r="B24" s="84" t="s">
        <v>2031</v>
      </c>
      <c r="C24" s="84" t="s">
        <v>49</v>
      </c>
      <c r="D24" s="84">
        <v>2</v>
      </c>
      <c r="E24" s="124">
        <v>7875</v>
      </c>
      <c r="F24" s="84">
        <v>82</v>
      </c>
      <c r="G24" s="124">
        <v>4333</v>
      </c>
      <c r="I24" s="191" t="s">
        <v>2033</v>
      </c>
      <c r="J24" s="189"/>
    </row>
    <row r="25" spans="1:31" x14ac:dyDescent="0.3">
      <c r="A25" s="84" t="s">
        <v>2032</v>
      </c>
      <c r="B25" s="84" t="s">
        <v>2031</v>
      </c>
      <c r="C25" s="84" t="s">
        <v>49</v>
      </c>
      <c r="D25" s="84">
        <v>2</v>
      </c>
      <c r="E25" s="124">
        <v>7875</v>
      </c>
      <c r="F25" s="84">
        <v>82</v>
      </c>
      <c r="G25" s="124">
        <v>4191</v>
      </c>
      <c r="J25" s="189"/>
      <c r="L25" s="101"/>
      <c r="M25" s="101"/>
    </row>
    <row r="26" spans="1:31" x14ac:dyDescent="0.3">
      <c r="A26" s="84" t="s">
        <v>2034</v>
      </c>
      <c r="B26" s="84" t="s">
        <v>2035</v>
      </c>
      <c r="C26" s="84" t="s">
        <v>49</v>
      </c>
      <c r="D26" s="84">
        <v>2</v>
      </c>
      <c r="E26" s="124">
        <v>12478</v>
      </c>
      <c r="F26" s="84">
        <v>129</v>
      </c>
      <c r="G26" s="124">
        <v>4757</v>
      </c>
      <c r="I26" s="45"/>
      <c r="J26" s="37" t="s">
        <v>2061</v>
      </c>
      <c r="K26" s="37" t="s">
        <v>2062</v>
      </c>
      <c r="L26" s="37" t="s">
        <v>2063</v>
      </c>
      <c r="M26" s="37" t="s">
        <v>2064</v>
      </c>
      <c r="N26" s="37" t="s">
        <v>2065</v>
      </c>
      <c r="O26" s="38" t="s">
        <v>2066</v>
      </c>
      <c r="T26" s="193" t="s">
        <v>2057</v>
      </c>
      <c r="U26" s="194"/>
      <c r="V26" s="195"/>
      <c r="W26" s="195"/>
      <c r="X26" s="196"/>
    </row>
    <row r="27" spans="1:31" x14ac:dyDescent="0.3">
      <c r="A27" s="84" t="s">
        <v>2036</v>
      </c>
      <c r="B27" s="84" t="s">
        <v>2035</v>
      </c>
      <c r="C27" s="84" t="s">
        <v>49</v>
      </c>
      <c r="D27" s="14">
        <v>2</v>
      </c>
      <c r="E27" s="124">
        <v>12478</v>
      </c>
      <c r="F27" s="84">
        <v>129</v>
      </c>
      <c r="G27" s="124">
        <v>4699</v>
      </c>
      <c r="I27" s="61" t="s">
        <v>448</v>
      </c>
      <c r="J27" s="57">
        <f>SUM(J29:J31)</f>
        <v>191639.66666666666</v>
      </c>
      <c r="K27" s="57">
        <f t="shared" ref="K27:O27" si="1">SUM(K29:K31)</f>
        <v>15969994</v>
      </c>
      <c r="L27" s="57">
        <f t="shared" si="1"/>
        <v>3211555.7281226278</v>
      </c>
      <c r="M27" s="57">
        <f t="shared" si="1"/>
        <v>163843.5</v>
      </c>
      <c r="N27" s="57">
        <f t="shared" si="1"/>
        <v>430652.6756519234</v>
      </c>
      <c r="O27" s="484">
        <f t="shared" si="1"/>
        <v>513127.79522543924</v>
      </c>
      <c r="T27" s="197" t="s">
        <v>2058</v>
      </c>
      <c r="U27" s="189"/>
      <c r="V27" s="101">
        <v>2017</v>
      </c>
      <c r="W27" s="101">
        <v>2018</v>
      </c>
      <c r="X27" s="102">
        <v>2019</v>
      </c>
    </row>
    <row r="28" spans="1:31" x14ac:dyDescent="0.3">
      <c r="A28" s="692" t="s">
        <v>2037</v>
      </c>
      <c r="B28" s="692"/>
      <c r="I28" s="40"/>
      <c r="J28" s="39"/>
      <c r="K28" s="39"/>
      <c r="L28" s="39"/>
      <c r="M28" s="39"/>
      <c r="N28" s="39"/>
      <c r="O28" s="41"/>
      <c r="T28" s="198" t="s">
        <v>2059</v>
      </c>
      <c r="U28" s="189"/>
      <c r="V28" s="199">
        <v>390.17619999999999</v>
      </c>
      <c r="W28" s="199">
        <v>392.46469999999999</v>
      </c>
      <c r="X28" s="199">
        <v>396.5172</v>
      </c>
    </row>
    <row r="29" spans="1:31" x14ac:dyDescent="0.3">
      <c r="A29" s="84" t="s">
        <v>2038</v>
      </c>
      <c r="B29" s="84" t="s">
        <v>1995</v>
      </c>
      <c r="C29" s="84" t="s">
        <v>49</v>
      </c>
      <c r="D29" s="84">
        <v>2</v>
      </c>
      <c r="E29" s="84">
        <v>602</v>
      </c>
      <c r="F29" s="84">
        <v>6</v>
      </c>
      <c r="G29" s="84">
        <v>208</v>
      </c>
      <c r="I29" s="204" t="s">
        <v>525</v>
      </c>
      <c r="J29" s="23">
        <f>J23</f>
        <v>180629.16666666666</v>
      </c>
      <c r="K29" s="23">
        <f>K23</f>
        <v>15969994</v>
      </c>
      <c r="L29" s="23">
        <f>L23</f>
        <v>22938.5</v>
      </c>
      <c r="M29" s="23"/>
      <c r="N29" s="23"/>
      <c r="O29" s="43"/>
      <c r="T29" s="200" t="s">
        <v>2060</v>
      </c>
      <c r="U29" s="201"/>
      <c r="V29" s="202"/>
      <c r="W29" s="202"/>
      <c r="X29" s="203"/>
    </row>
    <row r="30" spans="1:31" x14ac:dyDescent="0.3">
      <c r="A30" s="84" t="s">
        <v>2039</v>
      </c>
      <c r="B30" s="84" t="s">
        <v>2005</v>
      </c>
      <c r="C30" s="84" t="s">
        <v>49</v>
      </c>
      <c r="D30" s="84">
        <v>2</v>
      </c>
      <c r="E30" s="124">
        <v>1516</v>
      </c>
      <c r="F30" s="84">
        <v>16</v>
      </c>
      <c r="G30" s="84">
        <v>576</v>
      </c>
      <c r="I30" s="99" t="s">
        <v>526</v>
      </c>
      <c r="J30" s="23">
        <f>M23</f>
        <v>11010.5</v>
      </c>
      <c r="K30" s="23"/>
      <c r="L30" s="23">
        <f>N23</f>
        <v>3102932.4640613138</v>
      </c>
      <c r="M30" s="23">
        <f>P23</f>
        <v>163843.5</v>
      </c>
      <c r="N30" s="23">
        <f>SUM(Q23:R23)</f>
        <v>356870.37565192342</v>
      </c>
      <c r="O30" s="43">
        <f>SUM(U23:V23,Y23,AA23,AC23)</f>
        <v>148891.56186056454</v>
      </c>
    </row>
    <row r="31" spans="1:31" x14ac:dyDescent="0.3">
      <c r="I31" s="103" t="s">
        <v>1898</v>
      </c>
      <c r="J31" s="20"/>
      <c r="K31" s="20"/>
      <c r="L31" s="20">
        <f>O23</f>
        <v>85684.764061313836</v>
      </c>
      <c r="M31" s="20"/>
      <c r="N31" s="20">
        <f>SUM(S23:T23)</f>
        <v>73782.3</v>
      </c>
      <c r="O31" s="473">
        <f>SUM(W23:X23,Z23,AB23,AD23)</f>
        <v>364236.23336487467</v>
      </c>
    </row>
    <row r="32" spans="1:31" x14ac:dyDescent="0.3">
      <c r="A32" s="692" t="s">
        <v>2040</v>
      </c>
      <c r="B32" s="692"/>
      <c r="C32" s="692"/>
      <c r="D32" s="692"/>
      <c r="E32" s="692"/>
      <c r="F32" s="692"/>
      <c r="G32" s="692"/>
      <c r="I32" s="95"/>
      <c r="J32" s="322">
        <f>J27/SUM($J27:$O27)</f>
        <v>9.3570339832267091E-3</v>
      </c>
      <c r="K32" s="322">
        <f>K27/SUM($J27:$O27)</f>
        <v>0.7797538952613845</v>
      </c>
      <c r="L32" s="322">
        <f t="shared" ref="L32:O32" si="2">L27/SUM($J27:$O27)</f>
        <v>0.1568080168879607</v>
      </c>
      <c r="M32" s="322">
        <f t="shared" si="2"/>
        <v>7.9998531833048066E-3</v>
      </c>
      <c r="N32" s="322">
        <f t="shared" si="2"/>
        <v>2.1027127583412047E-2</v>
      </c>
      <c r="O32" s="322">
        <f t="shared" si="2"/>
        <v>2.505407310071139E-2</v>
      </c>
      <c r="P32" s="322"/>
      <c r="Q32" s="322"/>
      <c r="R32" s="220" t="b">
        <f>SUM(J27:Q27)=SUM(J23:AD23)</f>
        <v>1</v>
      </c>
      <c r="U32" s="101"/>
      <c r="V32" s="101"/>
      <c r="W32" s="101"/>
    </row>
    <row r="33" spans="1:31" ht="30.6" thickBot="1" x14ac:dyDescent="0.45">
      <c r="A33" s="173" t="s">
        <v>1960</v>
      </c>
      <c r="B33" s="173" t="s">
        <v>1961</v>
      </c>
      <c r="C33" s="173" t="s">
        <v>1962</v>
      </c>
      <c r="D33" s="173" t="s">
        <v>1963</v>
      </c>
      <c r="E33" s="173" t="s">
        <v>1964</v>
      </c>
      <c r="F33" s="173" t="s">
        <v>1965</v>
      </c>
      <c r="G33" s="173" t="s">
        <v>1966</v>
      </c>
      <c r="I33" s="174" t="s">
        <v>2300</v>
      </c>
      <c r="J33" s="174"/>
    </row>
    <row r="34" spans="1:31" x14ac:dyDescent="0.3">
      <c r="A34" s="84" t="s">
        <v>2041</v>
      </c>
      <c r="B34" s="84" t="s">
        <v>2035</v>
      </c>
      <c r="C34" s="84" t="s">
        <v>49</v>
      </c>
      <c r="D34" s="84">
        <v>5</v>
      </c>
      <c r="E34" s="124">
        <v>14716</v>
      </c>
      <c r="F34" s="84">
        <v>152</v>
      </c>
      <c r="G34" s="124">
        <v>9304</v>
      </c>
      <c r="I34" s="175"/>
      <c r="J34" s="176" t="s">
        <v>1968</v>
      </c>
      <c r="K34" s="176" t="s">
        <v>1969</v>
      </c>
      <c r="L34" s="176" t="s">
        <v>1970</v>
      </c>
      <c r="M34" s="176" t="s">
        <v>1971</v>
      </c>
      <c r="N34" s="176" t="s">
        <v>1972</v>
      </c>
      <c r="O34" s="176" t="s">
        <v>1973</v>
      </c>
      <c r="P34" s="176" t="s">
        <v>1974</v>
      </c>
      <c r="Q34" s="176" t="s">
        <v>1975</v>
      </c>
      <c r="R34" s="176" t="s">
        <v>1976</v>
      </c>
      <c r="S34" s="176" t="s">
        <v>1977</v>
      </c>
      <c r="T34" s="176" t="s">
        <v>1978</v>
      </c>
      <c r="U34" s="176" t="s">
        <v>1979</v>
      </c>
      <c r="V34" s="176" t="s">
        <v>1980</v>
      </c>
      <c r="W34" s="176" t="s">
        <v>1981</v>
      </c>
      <c r="X34" s="176" t="s">
        <v>1982</v>
      </c>
      <c r="Y34" s="176" t="s">
        <v>1983</v>
      </c>
      <c r="Z34" s="176" t="s">
        <v>1984</v>
      </c>
      <c r="AA34" s="176" t="s">
        <v>1985</v>
      </c>
      <c r="AB34" s="176" t="s">
        <v>1986</v>
      </c>
      <c r="AC34" s="176" t="s">
        <v>1987</v>
      </c>
      <c r="AD34" s="177" t="s">
        <v>1988</v>
      </c>
      <c r="AE34" s="177" t="s">
        <v>1989</v>
      </c>
    </row>
    <row r="35" spans="1:31" x14ac:dyDescent="0.3">
      <c r="A35" s="84" t="s">
        <v>2041</v>
      </c>
      <c r="B35" s="84" t="s">
        <v>2042</v>
      </c>
      <c r="C35" s="84" t="s">
        <v>49</v>
      </c>
      <c r="D35" s="84">
        <v>5</v>
      </c>
      <c r="E35" s="124">
        <v>21405</v>
      </c>
      <c r="F35" s="84">
        <v>221</v>
      </c>
      <c r="G35" s="124">
        <v>9903</v>
      </c>
      <c r="I35" s="178">
        <v>250</v>
      </c>
      <c r="J35" s="179">
        <f>AVERAGE($G$7,$G$9,$G$29)</f>
        <v>213.66666666666666</v>
      </c>
      <c r="K35" s="179">
        <f>AVERAGE($G$7,$G$9,$G$29)</f>
        <v>213.66666666666666</v>
      </c>
      <c r="L35" s="179">
        <f>AVERAGE($G$10,$G$7)</f>
        <v>226.5</v>
      </c>
      <c r="M35" s="179">
        <f>AVERAGE($G$10,$G$7)</f>
        <v>226.5</v>
      </c>
      <c r="N35" s="179">
        <f>AVERAGE($G$10,$G$7)</f>
        <v>226.5</v>
      </c>
      <c r="O35" s="179">
        <f>AVERAGE($G$10,$G$7)</f>
        <v>226.5</v>
      </c>
      <c r="P35" s="179">
        <f>AVERAGE($G$7,$G$9,$G$29)</f>
        <v>213.66666666666666</v>
      </c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1"/>
      <c r="AE35" s="181"/>
    </row>
    <row r="36" spans="1:31" x14ac:dyDescent="0.3">
      <c r="A36" s="84" t="s">
        <v>2041</v>
      </c>
      <c r="B36" s="84" t="s">
        <v>2043</v>
      </c>
      <c r="C36" s="84" t="s">
        <v>49</v>
      </c>
      <c r="D36" s="84">
        <v>5</v>
      </c>
      <c r="E36" s="124">
        <v>30769</v>
      </c>
      <c r="F36" s="84">
        <v>318</v>
      </c>
      <c r="G36" s="124">
        <v>11763</v>
      </c>
      <c r="I36" s="178">
        <v>630</v>
      </c>
      <c r="J36" s="179">
        <f>AVERAGE($G$13,$G$30)</f>
        <v>591.5</v>
      </c>
      <c r="K36" s="179">
        <f>AVERAGE($G$13,$G$30)</f>
        <v>591.5</v>
      </c>
      <c r="L36" s="179">
        <f>AVERAGE($G$14)</f>
        <v>582</v>
      </c>
      <c r="M36" s="179">
        <f>AVERAGE($G$14)</f>
        <v>582</v>
      </c>
      <c r="N36" s="179">
        <f>AVERAGE($G$14)</f>
        <v>582</v>
      </c>
      <c r="O36" s="179">
        <f>AVERAGE($G$14)</f>
        <v>582</v>
      </c>
      <c r="P36" s="179">
        <f>AVERAGE($G$13,$G$30)</f>
        <v>591.5</v>
      </c>
      <c r="Q36" s="180">
        <f>AVERAGE($G$14)</f>
        <v>582</v>
      </c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1"/>
      <c r="AE36" s="181"/>
    </row>
    <row r="37" spans="1:31" x14ac:dyDescent="0.3">
      <c r="A37" s="84" t="s">
        <v>2044</v>
      </c>
      <c r="B37" s="84" t="s">
        <v>2035</v>
      </c>
      <c r="C37" s="84" t="s">
        <v>49</v>
      </c>
      <c r="D37" s="84" t="s">
        <v>2045</v>
      </c>
      <c r="E37" s="124">
        <v>37092</v>
      </c>
      <c r="F37" s="84">
        <v>383</v>
      </c>
      <c r="G37" s="124">
        <v>11698</v>
      </c>
      <c r="I37" s="178">
        <v>1000</v>
      </c>
      <c r="J37" s="179">
        <f>AVERAGE($G$16)</f>
        <v>998</v>
      </c>
      <c r="K37" s="179">
        <f>AVERAGE($G$16)</f>
        <v>998</v>
      </c>
      <c r="L37" s="179">
        <f>AVERAGE($G$17)</f>
        <v>1079</v>
      </c>
      <c r="M37" s="179">
        <f>AVERAGE($G$17)</f>
        <v>1079</v>
      </c>
      <c r="N37" s="179">
        <f>AVERAGE($G$17)</f>
        <v>1079</v>
      </c>
      <c r="O37" s="179">
        <f>AVERAGE($G$17)</f>
        <v>1079</v>
      </c>
      <c r="P37" s="179">
        <f>AVERAGE($G$16)</f>
        <v>998</v>
      </c>
      <c r="Q37" s="180">
        <f>AVERAGE($G$17)</f>
        <v>1079</v>
      </c>
      <c r="R37" s="180">
        <f>AVERAGE($G$17)</f>
        <v>1079</v>
      </c>
      <c r="S37" s="180">
        <f>AVERAGE($G$17)</f>
        <v>1079</v>
      </c>
      <c r="T37" s="180">
        <f t="shared" ref="T37:AD37" si="3">AVERAGE($G$17)</f>
        <v>1079</v>
      </c>
      <c r="U37" s="180">
        <f t="shared" si="3"/>
        <v>1079</v>
      </c>
      <c r="V37" s="180">
        <f t="shared" si="3"/>
        <v>1079</v>
      </c>
      <c r="W37" s="180">
        <f t="shared" si="3"/>
        <v>1079</v>
      </c>
      <c r="X37" s="180">
        <f t="shared" si="3"/>
        <v>1079</v>
      </c>
      <c r="Y37" s="180">
        <f t="shared" si="3"/>
        <v>1079</v>
      </c>
      <c r="Z37" s="180">
        <f t="shared" si="3"/>
        <v>1079</v>
      </c>
      <c r="AA37" s="180">
        <f t="shared" si="3"/>
        <v>1079</v>
      </c>
      <c r="AB37" s="180">
        <f t="shared" si="3"/>
        <v>1079</v>
      </c>
      <c r="AC37" s="180">
        <f t="shared" si="3"/>
        <v>1079</v>
      </c>
      <c r="AD37" s="181">
        <f t="shared" si="3"/>
        <v>1079</v>
      </c>
      <c r="AE37" s="181"/>
    </row>
    <row r="38" spans="1:31" x14ac:dyDescent="0.3">
      <c r="A38" s="84" t="s">
        <v>2044</v>
      </c>
      <c r="B38" s="84" t="s">
        <v>2042</v>
      </c>
      <c r="C38" s="84" t="s">
        <v>49</v>
      </c>
      <c r="D38" s="84" t="s">
        <v>2045</v>
      </c>
      <c r="E38" s="124">
        <v>53951</v>
      </c>
      <c r="F38" s="84">
        <v>557</v>
      </c>
      <c r="G38" s="124">
        <v>12297</v>
      </c>
      <c r="I38" s="178" t="s">
        <v>1999</v>
      </c>
      <c r="J38" s="179">
        <f>IFERROR(AVERAGEIF($B$19:$B$27,"*"&amp;$I38&amp;"*",$G$19:$G$27),"N/A")</f>
        <v>3126</v>
      </c>
      <c r="K38" s="179">
        <f>IFERROR(AVERAGEIF($B$19:$B$27,"*"&amp;$I38&amp;"*",$G$19:$G$27),"N/A")</f>
        <v>3126</v>
      </c>
      <c r="L38" s="179">
        <f>IFERROR(AVERAGEIF($B$19:$B$27,"*"&amp;$I38&amp;"*",$G$19:$G$27),"N/A")</f>
        <v>3126</v>
      </c>
      <c r="M38" s="179">
        <f>IFERROR(AVERAGEIF($B$19:$B$27,"*"&amp;$I38&amp;"*",$G$19:$G$27),"N/A")</f>
        <v>3126</v>
      </c>
      <c r="N38" s="179">
        <f>IFERROR(AVERAGEIF($B$19:$B$27,"*"&amp;$I38&amp;"*",$G$19:$G$27),"N/A")</f>
        <v>3126</v>
      </c>
      <c r="O38" s="179">
        <f>IFERROR(AVERAGEIF($B$19:$B$30,"*"&amp;$I38&amp;"*",$G$19:$G$30),"N/A")</f>
        <v>3126</v>
      </c>
      <c r="P38" s="179">
        <f>IFERROR(AVERAGEIF($B$19:$B$27,"*"&amp;$I38&amp;"*",$G$19:$G$27),"N/A")</f>
        <v>3126</v>
      </c>
      <c r="Q38" s="180">
        <f>IFERROR(AVERAGEIF($B$19:$B$27,"*"&amp;$I38&amp;"*",$G$19:$G$27),"N/A")</f>
        <v>3126</v>
      </c>
      <c r="R38" s="180">
        <f>IFERROR(AVERAGEIF($B$19:$B$27,"*"&amp;$I38&amp;"*",$G$19:$G$27),"N/A")</f>
        <v>3126</v>
      </c>
      <c r="S38" s="180">
        <f>IFERROR(AVERAGEIF($B$19:$B$30,"*"&amp;$I38&amp;"*",$G$19:$G$30),"N/A")</f>
        <v>3126</v>
      </c>
      <c r="T38" s="180">
        <f t="shared" ref="T38:AE47" si="4">IFERROR(AVERAGEIF($B$19:$B$30,"*"&amp;$I38&amp;"*",$G$19:$G$30),"N/A")</f>
        <v>3126</v>
      </c>
      <c r="U38" s="180">
        <f t="shared" si="4"/>
        <v>3126</v>
      </c>
      <c r="V38" s="180">
        <f t="shared" si="4"/>
        <v>3126</v>
      </c>
      <c r="W38" s="180"/>
      <c r="X38" s="180"/>
      <c r="Y38" s="180"/>
      <c r="Z38" s="180"/>
      <c r="AA38" s="180"/>
      <c r="AB38" s="180"/>
      <c r="AC38" s="180"/>
      <c r="AD38" s="181"/>
      <c r="AE38" s="181"/>
    </row>
    <row r="39" spans="1:31" x14ac:dyDescent="0.3">
      <c r="A39" s="84" t="s">
        <v>2044</v>
      </c>
      <c r="B39" s="84" t="s">
        <v>2043</v>
      </c>
      <c r="C39" s="84" t="s">
        <v>49</v>
      </c>
      <c r="D39" s="84" t="s">
        <v>2045</v>
      </c>
      <c r="E39" s="124">
        <v>77555</v>
      </c>
      <c r="F39" s="84">
        <v>800</v>
      </c>
      <c r="G39" s="124">
        <v>14157</v>
      </c>
      <c r="I39" s="178" t="s">
        <v>2001</v>
      </c>
      <c r="J39" s="179">
        <f t="shared" ref="J39:R43" si="5">IFERROR(AVERAGEIF($B$19:$B$27,"*"&amp;$I39&amp;"*",$G$19:$G$27),"N/A")</f>
        <v>4008</v>
      </c>
      <c r="K39" s="179">
        <f t="shared" si="5"/>
        <v>4008</v>
      </c>
      <c r="L39" s="179">
        <f t="shared" si="5"/>
        <v>4008</v>
      </c>
      <c r="M39" s="179">
        <f t="shared" si="5"/>
        <v>4008</v>
      </c>
      <c r="N39" s="179">
        <f t="shared" si="5"/>
        <v>4008</v>
      </c>
      <c r="O39" s="179">
        <f t="shared" ref="O39:O47" si="6">IFERROR(AVERAGEIF($B$19:$B$30,"*"&amp;$I39&amp;"*",$G$19:$G$30),"N/A")</f>
        <v>4008</v>
      </c>
      <c r="P39" s="179">
        <f t="shared" si="5"/>
        <v>4008</v>
      </c>
      <c r="Q39" s="180">
        <f t="shared" si="5"/>
        <v>4008</v>
      </c>
      <c r="R39" s="180">
        <f t="shared" si="5"/>
        <v>4008</v>
      </c>
      <c r="S39" s="180">
        <f t="shared" ref="S39:S47" si="7">IFERROR(AVERAGEIF($B$19:$B$30,"*"&amp;$I39&amp;"*",$G$19:$G$30),"N/A")</f>
        <v>4008</v>
      </c>
      <c r="T39" s="180">
        <f t="shared" si="4"/>
        <v>4008</v>
      </c>
      <c r="U39" s="180">
        <f t="shared" si="4"/>
        <v>4008</v>
      </c>
      <c r="V39" s="180">
        <f t="shared" si="4"/>
        <v>4008</v>
      </c>
      <c r="W39" s="180">
        <f t="shared" si="4"/>
        <v>4008</v>
      </c>
      <c r="X39" s="180">
        <f t="shared" si="4"/>
        <v>4008</v>
      </c>
      <c r="Y39" s="180">
        <f t="shared" si="4"/>
        <v>4008</v>
      </c>
      <c r="Z39" s="180">
        <f t="shared" si="4"/>
        <v>4008</v>
      </c>
      <c r="AA39" s="180">
        <f t="shared" si="4"/>
        <v>4008</v>
      </c>
      <c r="AB39" s="180">
        <f t="shared" si="4"/>
        <v>4008</v>
      </c>
      <c r="AC39" s="180">
        <f t="shared" si="4"/>
        <v>4008</v>
      </c>
      <c r="AD39" s="181">
        <f t="shared" si="4"/>
        <v>4008</v>
      </c>
      <c r="AE39" s="181">
        <f t="shared" si="4"/>
        <v>4008</v>
      </c>
    </row>
    <row r="40" spans="1:31" x14ac:dyDescent="0.3">
      <c r="A40" s="84" t="s">
        <v>2046</v>
      </c>
      <c r="B40" s="84" t="s">
        <v>2028</v>
      </c>
      <c r="C40" s="84" t="s">
        <v>49</v>
      </c>
      <c r="D40" s="84">
        <v>5</v>
      </c>
      <c r="E40" s="124">
        <v>6689</v>
      </c>
      <c r="F40" s="84">
        <v>69</v>
      </c>
      <c r="G40" s="124">
        <v>4291</v>
      </c>
      <c r="I40" s="178" t="s">
        <v>2003</v>
      </c>
      <c r="J40" s="179">
        <f t="shared" si="5"/>
        <v>4262</v>
      </c>
      <c r="K40" s="179">
        <f t="shared" si="5"/>
        <v>4262</v>
      </c>
      <c r="L40" s="179">
        <f t="shared" si="5"/>
        <v>4262</v>
      </c>
      <c r="M40" s="179">
        <f t="shared" si="5"/>
        <v>4262</v>
      </c>
      <c r="N40" s="179">
        <f t="shared" si="5"/>
        <v>4262</v>
      </c>
      <c r="O40" s="179">
        <f t="shared" si="6"/>
        <v>4262</v>
      </c>
      <c r="P40" s="179">
        <f t="shared" si="5"/>
        <v>4262</v>
      </c>
      <c r="Q40" s="180">
        <f t="shared" si="5"/>
        <v>4262</v>
      </c>
      <c r="R40" s="180">
        <f t="shared" si="5"/>
        <v>4262</v>
      </c>
      <c r="S40" s="180">
        <f t="shared" si="7"/>
        <v>4262</v>
      </c>
      <c r="T40" s="180">
        <f t="shared" si="4"/>
        <v>4262</v>
      </c>
      <c r="U40" s="180">
        <f t="shared" si="4"/>
        <v>4262</v>
      </c>
      <c r="V40" s="180">
        <f t="shared" si="4"/>
        <v>4262</v>
      </c>
      <c r="W40" s="180">
        <f t="shared" si="4"/>
        <v>4262</v>
      </c>
      <c r="X40" s="180">
        <f t="shared" si="4"/>
        <v>4262</v>
      </c>
      <c r="Y40" s="180">
        <f t="shared" si="4"/>
        <v>4262</v>
      </c>
      <c r="Z40" s="180">
        <f t="shared" si="4"/>
        <v>4262</v>
      </c>
      <c r="AA40" s="180">
        <f t="shared" si="4"/>
        <v>4262</v>
      </c>
      <c r="AB40" s="180">
        <f t="shared" si="4"/>
        <v>4262</v>
      </c>
      <c r="AC40" s="180">
        <f t="shared" si="4"/>
        <v>4262</v>
      </c>
      <c r="AD40" s="181">
        <f t="shared" si="4"/>
        <v>4262</v>
      </c>
      <c r="AE40" s="181">
        <f t="shared" si="4"/>
        <v>4262</v>
      </c>
    </row>
    <row r="41" spans="1:31" x14ac:dyDescent="0.3">
      <c r="A41" s="84" t="s">
        <v>2047</v>
      </c>
      <c r="B41" s="84" t="s">
        <v>2031</v>
      </c>
      <c r="C41" s="84" t="s">
        <v>49</v>
      </c>
      <c r="D41" s="84">
        <v>5</v>
      </c>
      <c r="E41" s="124">
        <v>9365</v>
      </c>
      <c r="F41" s="84">
        <v>97</v>
      </c>
      <c r="G41" s="124">
        <v>4475</v>
      </c>
      <c r="I41" s="178" t="s">
        <v>2006</v>
      </c>
      <c r="J41" s="179">
        <f t="shared" si="5"/>
        <v>1662</v>
      </c>
      <c r="K41" s="179">
        <f t="shared" si="5"/>
        <v>1662</v>
      </c>
      <c r="L41" s="179">
        <f t="shared" si="5"/>
        <v>1662</v>
      </c>
      <c r="M41" s="179">
        <f t="shared" si="5"/>
        <v>1662</v>
      </c>
      <c r="N41" s="179">
        <f t="shared" si="5"/>
        <v>1662</v>
      </c>
      <c r="O41" s="179">
        <f t="shared" si="6"/>
        <v>1662</v>
      </c>
      <c r="P41" s="179">
        <f t="shared" si="5"/>
        <v>1662</v>
      </c>
      <c r="Q41" s="180">
        <f t="shared" si="5"/>
        <v>1662</v>
      </c>
      <c r="R41" s="180">
        <f t="shared" si="5"/>
        <v>1662</v>
      </c>
      <c r="S41" s="180">
        <f t="shared" si="7"/>
        <v>1662</v>
      </c>
      <c r="T41" s="180">
        <f t="shared" si="4"/>
        <v>1662</v>
      </c>
      <c r="U41" s="180">
        <f t="shared" si="4"/>
        <v>1662</v>
      </c>
      <c r="V41" s="180">
        <f t="shared" si="4"/>
        <v>1662</v>
      </c>
      <c r="W41" s="180">
        <f t="shared" si="4"/>
        <v>1662</v>
      </c>
      <c r="X41" s="180">
        <f t="shared" si="4"/>
        <v>1662</v>
      </c>
      <c r="Y41" s="180">
        <f t="shared" si="4"/>
        <v>1662</v>
      </c>
      <c r="Z41" s="180">
        <f t="shared" si="4"/>
        <v>1662</v>
      </c>
      <c r="AA41" s="180">
        <f t="shared" si="4"/>
        <v>1662</v>
      </c>
      <c r="AB41" s="180">
        <f t="shared" si="4"/>
        <v>1662</v>
      </c>
      <c r="AC41" s="180">
        <f t="shared" si="4"/>
        <v>1662</v>
      </c>
      <c r="AD41" s="181">
        <f t="shared" si="4"/>
        <v>1662</v>
      </c>
      <c r="AE41" s="181">
        <f t="shared" si="4"/>
        <v>1662</v>
      </c>
    </row>
    <row r="42" spans="1:31" x14ac:dyDescent="0.3">
      <c r="A42" s="84" t="s">
        <v>2048</v>
      </c>
      <c r="B42" s="84" t="s">
        <v>2021</v>
      </c>
      <c r="C42" s="84" t="s">
        <v>49</v>
      </c>
      <c r="D42" s="84">
        <v>5</v>
      </c>
      <c r="E42" s="124">
        <v>1050</v>
      </c>
      <c r="F42" s="84">
        <v>11</v>
      </c>
      <c r="G42" s="124">
        <v>2745</v>
      </c>
      <c r="I42" s="178" t="s">
        <v>2009</v>
      </c>
      <c r="J42" s="179">
        <f t="shared" si="5"/>
        <v>4728</v>
      </c>
      <c r="K42" s="179">
        <f t="shared" si="5"/>
        <v>4728</v>
      </c>
      <c r="L42" s="179">
        <f t="shared" si="5"/>
        <v>4728</v>
      </c>
      <c r="M42" s="179">
        <f t="shared" si="5"/>
        <v>4728</v>
      </c>
      <c r="N42" s="179">
        <f t="shared" si="5"/>
        <v>4728</v>
      </c>
      <c r="O42" s="179">
        <f t="shared" si="6"/>
        <v>4728</v>
      </c>
      <c r="P42" s="179">
        <f t="shared" si="5"/>
        <v>4728</v>
      </c>
      <c r="Q42" s="180">
        <f t="shared" si="5"/>
        <v>4728</v>
      </c>
      <c r="R42" s="180">
        <f t="shared" si="5"/>
        <v>4728</v>
      </c>
      <c r="S42" s="180">
        <f t="shared" si="7"/>
        <v>4728</v>
      </c>
      <c r="T42" s="180">
        <f t="shared" si="4"/>
        <v>4728</v>
      </c>
      <c r="U42" s="180">
        <f t="shared" si="4"/>
        <v>4728</v>
      </c>
      <c r="V42" s="180">
        <f t="shared" si="4"/>
        <v>4728</v>
      </c>
      <c r="W42" s="180">
        <f t="shared" si="4"/>
        <v>4728</v>
      </c>
      <c r="X42" s="180">
        <f t="shared" si="4"/>
        <v>4728</v>
      </c>
      <c r="Y42" s="180">
        <f t="shared" si="4"/>
        <v>4728</v>
      </c>
      <c r="Z42" s="180">
        <f t="shared" si="4"/>
        <v>4728</v>
      </c>
      <c r="AA42" s="180">
        <f t="shared" si="4"/>
        <v>4728</v>
      </c>
      <c r="AB42" s="180">
        <f t="shared" si="4"/>
        <v>4728</v>
      </c>
      <c r="AC42" s="180">
        <f t="shared" si="4"/>
        <v>4728</v>
      </c>
      <c r="AD42" s="181">
        <f t="shared" si="4"/>
        <v>4728</v>
      </c>
      <c r="AE42" s="181">
        <f t="shared" si="4"/>
        <v>4728</v>
      </c>
    </row>
    <row r="43" spans="1:31" x14ac:dyDescent="0.3">
      <c r="A43" s="84" t="s">
        <v>2048</v>
      </c>
      <c r="B43" s="84" t="s">
        <v>2024</v>
      </c>
      <c r="C43" s="84" t="s">
        <v>49</v>
      </c>
      <c r="D43" s="84">
        <v>5</v>
      </c>
      <c r="E43" s="124">
        <v>2000</v>
      </c>
      <c r="F43" s="84">
        <v>21</v>
      </c>
      <c r="G43" s="124">
        <v>2796</v>
      </c>
      <c r="I43" s="178" t="s">
        <v>2011</v>
      </c>
      <c r="J43" s="179">
        <f>IFERROR(AVERAGEIF($B$19:$B$27,"*"&amp;$I43&amp;"*",$G$19:$G$27),"N/A")</f>
        <v>1748</v>
      </c>
      <c r="K43" s="179">
        <f t="shared" si="5"/>
        <v>1748</v>
      </c>
      <c r="L43" s="179">
        <f t="shared" si="5"/>
        <v>1748</v>
      </c>
      <c r="M43" s="179">
        <f t="shared" si="5"/>
        <v>1748</v>
      </c>
      <c r="N43" s="179">
        <f t="shared" si="5"/>
        <v>1748</v>
      </c>
      <c r="O43" s="179">
        <f t="shared" si="6"/>
        <v>1748</v>
      </c>
      <c r="P43" s="179">
        <f t="shared" si="5"/>
        <v>1748</v>
      </c>
      <c r="Q43" s="180">
        <f t="shared" si="5"/>
        <v>1748</v>
      </c>
      <c r="R43" s="180">
        <f t="shared" si="5"/>
        <v>1748</v>
      </c>
      <c r="S43" s="180">
        <f t="shared" si="7"/>
        <v>1748</v>
      </c>
      <c r="T43" s="180">
        <f t="shared" si="4"/>
        <v>1748</v>
      </c>
      <c r="U43" s="180">
        <f t="shared" si="4"/>
        <v>1748</v>
      </c>
      <c r="V43" s="180">
        <f t="shared" si="4"/>
        <v>1748</v>
      </c>
      <c r="W43" s="180">
        <f t="shared" si="4"/>
        <v>1748</v>
      </c>
      <c r="X43" s="180">
        <f t="shared" si="4"/>
        <v>1748</v>
      </c>
      <c r="Y43" s="180">
        <f t="shared" si="4"/>
        <v>1748</v>
      </c>
      <c r="Z43" s="180">
        <f t="shared" si="4"/>
        <v>1748</v>
      </c>
      <c r="AA43" s="180">
        <f t="shared" si="4"/>
        <v>1748</v>
      </c>
      <c r="AB43" s="180">
        <f t="shared" si="4"/>
        <v>1748</v>
      </c>
      <c r="AC43" s="180">
        <f t="shared" si="4"/>
        <v>1748</v>
      </c>
      <c r="AD43" s="181">
        <f t="shared" si="4"/>
        <v>1748</v>
      </c>
      <c r="AE43" s="181">
        <f t="shared" si="4"/>
        <v>1748</v>
      </c>
    </row>
    <row r="44" spans="1:31" x14ac:dyDescent="0.3">
      <c r="A44" s="84" t="s">
        <v>2048</v>
      </c>
      <c r="B44" s="84" t="s">
        <v>2026</v>
      </c>
      <c r="C44" s="84" t="s">
        <v>49</v>
      </c>
      <c r="D44" s="84">
        <v>5</v>
      </c>
      <c r="E44" s="124">
        <v>4013</v>
      </c>
      <c r="F44" s="84">
        <v>41</v>
      </c>
      <c r="G44" s="124">
        <v>2857</v>
      </c>
      <c r="I44" s="178" t="s">
        <v>2014</v>
      </c>
      <c r="J44" s="182"/>
      <c r="K44" s="179"/>
      <c r="L44" s="179"/>
      <c r="M44" s="179"/>
      <c r="N44" s="179"/>
      <c r="O44" s="179" t="str">
        <f t="shared" si="6"/>
        <v>N/A</v>
      </c>
      <c r="P44" s="179"/>
      <c r="Q44" s="180"/>
      <c r="R44" s="180"/>
      <c r="S44" s="180" t="str">
        <f t="shared" si="7"/>
        <v>N/A</v>
      </c>
      <c r="T44" s="180" t="str">
        <f t="shared" si="4"/>
        <v>N/A</v>
      </c>
      <c r="U44" s="180" t="str">
        <f t="shared" si="4"/>
        <v>N/A</v>
      </c>
      <c r="V44" s="180">
        <f>$G$35</f>
        <v>9903</v>
      </c>
      <c r="W44" s="180">
        <f t="shared" ref="W44:AE44" si="8">$G$35</f>
        <v>9903</v>
      </c>
      <c r="X44" s="180">
        <f t="shared" si="8"/>
        <v>9903</v>
      </c>
      <c r="Y44" s="180">
        <f t="shared" si="8"/>
        <v>9903</v>
      </c>
      <c r="Z44" s="180">
        <f t="shared" si="8"/>
        <v>9903</v>
      </c>
      <c r="AA44" s="180">
        <f t="shared" si="8"/>
        <v>9903</v>
      </c>
      <c r="AB44" s="180">
        <f t="shared" si="8"/>
        <v>9903</v>
      </c>
      <c r="AC44" s="180">
        <f t="shared" si="8"/>
        <v>9903</v>
      </c>
      <c r="AD44" s="181">
        <f t="shared" si="8"/>
        <v>9903</v>
      </c>
      <c r="AE44" s="181">
        <f t="shared" si="8"/>
        <v>9903</v>
      </c>
    </row>
    <row r="45" spans="1:31" x14ac:dyDescent="0.3">
      <c r="A45" s="84" t="s">
        <v>2049</v>
      </c>
      <c r="B45" s="84" t="s">
        <v>2028</v>
      </c>
      <c r="C45" s="84" t="s">
        <v>49</v>
      </c>
      <c r="D45" s="84">
        <v>5</v>
      </c>
      <c r="E45" s="124">
        <v>6689</v>
      </c>
      <c r="F45" s="84">
        <v>69</v>
      </c>
      <c r="G45" s="124">
        <v>4149</v>
      </c>
      <c r="I45" s="178" t="s">
        <v>2017</v>
      </c>
      <c r="J45" s="182"/>
      <c r="K45" s="179"/>
      <c r="L45" s="179"/>
      <c r="M45" s="179"/>
      <c r="N45" s="179"/>
      <c r="O45" s="179" t="str">
        <f t="shared" si="6"/>
        <v>N/A</v>
      </c>
      <c r="P45" s="179"/>
      <c r="Q45" s="180"/>
      <c r="R45" s="180"/>
      <c r="S45" s="180" t="str">
        <f t="shared" si="7"/>
        <v>N/A</v>
      </c>
      <c r="T45" s="180" t="str">
        <f t="shared" si="4"/>
        <v>N/A</v>
      </c>
      <c r="U45" s="180" t="str">
        <f t="shared" si="4"/>
        <v>N/A</v>
      </c>
      <c r="V45" s="180" t="str">
        <f t="shared" si="4"/>
        <v>N/A</v>
      </c>
      <c r="W45" s="180" t="str">
        <f t="shared" si="4"/>
        <v>N/A</v>
      </c>
      <c r="X45" s="180" t="str">
        <f t="shared" si="4"/>
        <v>N/A</v>
      </c>
      <c r="Y45" s="180" t="str">
        <f t="shared" si="4"/>
        <v>N/A</v>
      </c>
      <c r="Z45" s="180" t="str">
        <f t="shared" si="4"/>
        <v>N/A</v>
      </c>
      <c r="AA45" s="180" t="str">
        <f t="shared" si="4"/>
        <v>N/A</v>
      </c>
      <c r="AB45" s="180" t="str">
        <f t="shared" si="4"/>
        <v>N/A</v>
      </c>
      <c r="AC45" s="180" t="str">
        <f t="shared" si="4"/>
        <v>N/A</v>
      </c>
      <c r="AD45" s="181" t="str">
        <f t="shared" si="4"/>
        <v>N/A</v>
      </c>
      <c r="AE45" s="181" t="str">
        <f t="shared" si="4"/>
        <v>N/A</v>
      </c>
    </row>
    <row r="46" spans="1:31" x14ac:dyDescent="0.3">
      <c r="A46" s="84" t="s">
        <v>2050</v>
      </c>
      <c r="B46" s="84" t="s">
        <v>2031</v>
      </c>
      <c r="C46" s="84" t="s">
        <v>49</v>
      </c>
      <c r="D46" s="84">
        <v>5</v>
      </c>
      <c r="E46" s="124">
        <v>9365</v>
      </c>
      <c r="F46" s="84">
        <v>97</v>
      </c>
      <c r="G46" s="124">
        <v>4332</v>
      </c>
      <c r="I46" s="178" t="s">
        <v>2019</v>
      </c>
      <c r="J46" s="182"/>
      <c r="K46" s="179"/>
      <c r="L46" s="179"/>
      <c r="M46" s="179"/>
      <c r="N46" s="179"/>
      <c r="O46" s="179" t="str">
        <f t="shared" si="6"/>
        <v>N/A</v>
      </c>
      <c r="P46" s="179"/>
      <c r="Q46" s="180"/>
      <c r="R46" s="180"/>
      <c r="S46" s="180" t="str">
        <f t="shared" si="7"/>
        <v>N/A</v>
      </c>
      <c r="T46" s="180" t="str">
        <f t="shared" si="4"/>
        <v>N/A</v>
      </c>
      <c r="U46" s="180" t="str">
        <f t="shared" si="4"/>
        <v>N/A</v>
      </c>
      <c r="V46" s="180" t="str">
        <f t="shared" si="4"/>
        <v>N/A</v>
      </c>
      <c r="W46" s="180" t="str">
        <f t="shared" si="4"/>
        <v>N/A</v>
      </c>
      <c r="X46" s="180" t="str">
        <f t="shared" si="4"/>
        <v>N/A</v>
      </c>
      <c r="Y46" s="180" t="str">
        <f t="shared" si="4"/>
        <v>N/A</v>
      </c>
      <c r="Z46" s="180" t="str">
        <f t="shared" si="4"/>
        <v>N/A</v>
      </c>
      <c r="AA46" s="180" t="str">
        <f t="shared" si="4"/>
        <v>N/A</v>
      </c>
      <c r="AB46" s="180" t="str">
        <f t="shared" si="4"/>
        <v>N/A</v>
      </c>
      <c r="AC46" s="180" t="str">
        <f t="shared" si="4"/>
        <v>N/A</v>
      </c>
      <c r="AD46" s="181" t="str">
        <f t="shared" si="4"/>
        <v>N/A</v>
      </c>
      <c r="AE46" s="181" t="str">
        <f t="shared" si="4"/>
        <v>N/A</v>
      </c>
    </row>
    <row r="47" spans="1:31" ht="15" thickBot="1" x14ac:dyDescent="0.35">
      <c r="A47" s="84" t="s">
        <v>2051</v>
      </c>
      <c r="B47" s="84" t="s">
        <v>2035</v>
      </c>
      <c r="C47" s="84" t="s">
        <v>49</v>
      </c>
      <c r="D47" s="84">
        <v>5</v>
      </c>
      <c r="E47" s="124">
        <v>14716</v>
      </c>
      <c r="F47" s="84">
        <v>152</v>
      </c>
      <c r="G47" s="124">
        <v>4819</v>
      </c>
      <c r="I47" s="183" t="s">
        <v>2022</v>
      </c>
      <c r="J47" s="184"/>
      <c r="K47" s="185"/>
      <c r="L47" s="185"/>
      <c r="M47" s="185"/>
      <c r="N47" s="185"/>
      <c r="O47" s="185" t="str">
        <f t="shared" si="6"/>
        <v>N/A</v>
      </c>
      <c r="P47" s="185"/>
      <c r="Q47" s="186"/>
      <c r="R47" s="186"/>
      <c r="S47" s="186" t="str">
        <f t="shared" si="7"/>
        <v>N/A</v>
      </c>
      <c r="T47" s="186" t="str">
        <f t="shared" si="4"/>
        <v>N/A</v>
      </c>
      <c r="U47" s="186" t="str">
        <f t="shared" si="4"/>
        <v>N/A</v>
      </c>
      <c r="V47" s="186" t="str">
        <f t="shared" si="4"/>
        <v>N/A</v>
      </c>
      <c r="W47" s="186" t="str">
        <f t="shared" si="4"/>
        <v>N/A</v>
      </c>
      <c r="X47" s="186" t="str">
        <f t="shared" si="4"/>
        <v>N/A</v>
      </c>
      <c r="Y47" s="186" t="str">
        <f t="shared" si="4"/>
        <v>N/A</v>
      </c>
      <c r="Z47" s="186" t="str">
        <f t="shared" si="4"/>
        <v>N/A</v>
      </c>
      <c r="AA47" s="186" t="str">
        <f t="shared" si="4"/>
        <v>N/A</v>
      </c>
      <c r="AB47" s="186" t="str">
        <f t="shared" si="4"/>
        <v>N/A</v>
      </c>
      <c r="AC47" s="186" t="str">
        <f t="shared" si="4"/>
        <v>N/A</v>
      </c>
      <c r="AD47" s="187" t="str">
        <f t="shared" si="4"/>
        <v>N/A</v>
      </c>
      <c r="AE47" s="187" t="str">
        <f t="shared" si="4"/>
        <v>N/A</v>
      </c>
    </row>
    <row r="48" spans="1:31" x14ac:dyDescent="0.3">
      <c r="A48" s="84" t="s">
        <v>2051</v>
      </c>
      <c r="B48" s="84" t="s">
        <v>2042</v>
      </c>
      <c r="C48" s="84" t="s">
        <v>49</v>
      </c>
      <c r="D48" s="84">
        <v>5</v>
      </c>
      <c r="E48" s="124">
        <v>21405</v>
      </c>
      <c r="F48" s="84">
        <v>221</v>
      </c>
      <c r="G48" s="124">
        <v>5418</v>
      </c>
    </row>
    <row r="49" spans="1:31" x14ac:dyDescent="0.3">
      <c r="A49" s="84" t="s">
        <v>2052</v>
      </c>
      <c r="B49" s="84" t="s">
        <v>2035</v>
      </c>
      <c r="C49" s="84" t="s">
        <v>49</v>
      </c>
      <c r="D49" s="84">
        <v>5</v>
      </c>
      <c r="E49" s="124">
        <v>14716</v>
      </c>
      <c r="F49" s="84">
        <v>152</v>
      </c>
      <c r="G49" s="124">
        <v>9557</v>
      </c>
    </row>
    <row r="50" spans="1:31" x14ac:dyDescent="0.3">
      <c r="A50" s="84" t="s">
        <v>2052</v>
      </c>
      <c r="B50" s="84" t="s">
        <v>2035</v>
      </c>
      <c r="C50" s="84" t="s">
        <v>49</v>
      </c>
      <c r="D50" s="84">
        <v>5</v>
      </c>
      <c r="E50" s="124">
        <v>14716</v>
      </c>
      <c r="F50" s="84">
        <v>152</v>
      </c>
      <c r="G50" s="124">
        <v>9943</v>
      </c>
    </row>
    <row r="51" spans="1:31" ht="21.6" thickBot="1" x14ac:dyDescent="0.45">
      <c r="A51" s="84" t="s">
        <v>2052</v>
      </c>
      <c r="B51" s="84" t="s">
        <v>2042</v>
      </c>
      <c r="C51" s="84" t="s">
        <v>49</v>
      </c>
      <c r="D51" s="84">
        <v>5</v>
      </c>
      <c r="E51" s="124">
        <v>21405</v>
      </c>
      <c r="F51" s="84">
        <v>221</v>
      </c>
      <c r="G51" s="124">
        <v>10156</v>
      </c>
      <c r="I51" s="174" t="s">
        <v>2301</v>
      </c>
      <c r="J51" s="174"/>
    </row>
    <row r="52" spans="1:31" x14ac:dyDescent="0.3">
      <c r="A52" s="84" t="s">
        <v>2052</v>
      </c>
      <c r="B52" s="84" t="s">
        <v>2042</v>
      </c>
      <c r="C52" s="84" t="s">
        <v>49</v>
      </c>
      <c r="D52" s="84">
        <v>5</v>
      </c>
      <c r="E52" s="124">
        <v>21405</v>
      </c>
      <c r="F52" s="84">
        <v>221</v>
      </c>
      <c r="G52" s="124">
        <v>10542</v>
      </c>
      <c r="I52" s="175"/>
      <c r="J52" s="176" t="s">
        <v>1968</v>
      </c>
      <c r="K52" s="176" t="s">
        <v>1969</v>
      </c>
      <c r="L52" s="176" t="s">
        <v>1970</v>
      </c>
      <c r="M52" s="176" t="s">
        <v>1971</v>
      </c>
      <c r="N52" s="176" t="s">
        <v>1972</v>
      </c>
      <c r="O52" s="176" t="s">
        <v>1973</v>
      </c>
      <c r="P52" s="176" t="s">
        <v>1974</v>
      </c>
      <c r="Q52" s="176" t="s">
        <v>1975</v>
      </c>
      <c r="R52" s="176" t="s">
        <v>1976</v>
      </c>
      <c r="S52" s="176" t="s">
        <v>1977</v>
      </c>
      <c r="T52" s="176" t="s">
        <v>1978</v>
      </c>
      <c r="U52" s="176" t="s">
        <v>1979</v>
      </c>
      <c r="V52" s="176" t="s">
        <v>1980</v>
      </c>
      <c r="W52" s="176" t="s">
        <v>1981</v>
      </c>
      <c r="X52" s="176" t="s">
        <v>1982</v>
      </c>
      <c r="Y52" s="176" t="s">
        <v>1983</v>
      </c>
      <c r="Z52" s="176" t="s">
        <v>1984</v>
      </c>
      <c r="AA52" s="176" t="s">
        <v>1985</v>
      </c>
      <c r="AB52" s="176" t="s">
        <v>1986</v>
      </c>
      <c r="AC52" s="176" t="s">
        <v>1987</v>
      </c>
      <c r="AD52" s="177" t="s">
        <v>1988</v>
      </c>
      <c r="AE52" s="177" t="s">
        <v>1989</v>
      </c>
    </row>
    <row r="53" spans="1:31" x14ac:dyDescent="0.3">
      <c r="A53" s="84" t="s">
        <v>2052</v>
      </c>
      <c r="B53" s="84" t="s">
        <v>2043</v>
      </c>
      <c r="C53" s="84" t="s">
        <v>49</v>
      </c>
      <c r="D53" s="84">
        <v>5</v>
      </c>
      <c r="E53" s="124">
        <v>30769</v>
      </c>
      <c r="F53" s="84">
        <v>318</v>
      </c>
      <c r="G53" s="124">
        <v>12016</v>
      </c>
      <c r="I53" s="178">
        <v>250</v>
      </c>
      <c r="J53" s="179">
        <f>AVERAGE($G$7,$G$9,$G$29)</f>
        <v>213.66666666666666</v>
      </c>
      <c r="K53" s="179">
        <f>AVERAGE($G$7,$G$9,$G$29)</f>
        <v>213.66666666666666</v>
      </c>
      <c r="L53" s="179">
        <f>AVERAGE($G$10,$G$7)</f>
        <v>226.5</v>
      </c>
      <c r="M53" s="179">
        <f>AVERAGE($G$10,$G$7)</f>
        <v>226.5</v>
      </c>
      <c r="N53" s="179">
        <f>AVERAGE($G$10,$G$7)</f>
        <v>226.5</v>
      </c>
      <c r="O53" s="179">
        <f>AVERAGE($G$10,$G$7)</f>
        <v>226.5</v>
      </c>
      <c r="P53" s="179">
        <f>AVERAGE($G$7,$G$9,$G$29)</f>
        <v>213.66666666666666</v>
      </c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1"/>
      <c r="AE53" s="181"/>
    </row>
    <row r="54" spans="1:31" x14ac:dyDescent="0.3">
      <c r="A54" s="84" t="s">
        <v>2052</v>
      </c>
      <c r="B54" s="84" t="s">
        <v>2043</v>
      </c>
      <c r="C54" s="84" t="s">
        <v>49</v>
      </c>
      <c r="D54" s="84">
        <v>5</v>
      </c>
      <c r="E54" s="124">
        <v>30769</v>
      </c>
      <c r="F54" s="84">
        <v>318</v>
      </c>
      <c r="G54" s="124">
        <v>12402</v>
      </c>
      <c r="I54" s="178">
        <v>630</v>
      </c>
      <c r="J54" s="179">
        <f>AVERAGE($G$13,$G$30)</f>
        <v>591.5</v>
      </c>
      <c r="K54" s="179">
        <f>AVERAGE($G$13,$G$30)</f>
        <v>591.5</v>
      </c>
      <c r="L54" s="179">
        <f>AVERAGE($G$14)</f>
        <v>582</v>
      </c>
      <c r="M54" s="179">
        <f>AVERAGE($G$14)</f>
        <v>582</v>
      </c>
      <c r="N54" s="179">
        <f>AVERAGE($G$14)</f>
        <v>582</v>
      </c>
      <c r="O54" s="179">
        <f>AVERAGE($G$14)</f>
        <v>582</v>
      </c>
      <c r="P54" s="179">
        <f>AVERAGE($G$13,$G$30)</f>
        <v>591.5</v>
      </c>
      <c r="Q54" s="180">
        <f>AVERAGE($G$14)</f>
        <v>582</v>
      </c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1"/>
      <c r="AE54" s="181"/>
    </row>
    <row r="55" spans="1:31" x14ac:dyDescent="0.3">
      <c r="A55" s="84" t="s">
        <v>2053</v>
      </c>
      <c r="B55" s="84" t="s">
        <v>2054</v>
      </c>
      <c r="C55" s="84" t="s">
        <v>49</v>
      </c>
      <c r="D55" s="84" t="s">
        <v>2045</v>
      </c>
      <c r="E55" s="124">
        <v>77555</v>
      </c>
      <c r="F55" s="84">
        <v>800</v>
      </c>
      <c r="G55" s="124">
        <v>17061</v>
      </c>
      <c r="I55" s="178">
        <v>1000</v>
      </c>
      <c r="J55" s="179">
        <f>AVERAGE($G$16)</f>
        <v>998</v>
      </c>
      <c r="K55" s="179">
        <f>AVERAGE($G$16)</f>
        <v>998</v>
      </c>
      <c r="L55" s="179">
        <f>AVERAGE($G$17)</f>
        <v>1079</v>
      </c>
      <c r="M55" s="179">
        <f>AVERAGE($G$17)</f>
        <v>1079</v>
      </c>
      <c r="N55" s="179">
        <f>AVERAGE($G$17)</f>
        <v>1079</v>
      </c>
      <c r="O55" s="179">
        <f>AVERAGE($G$17)</f>
        <v>1079</v>
      </c>
      <c r="P55" s="179">
        <f>AVERAGE($G$16)</f>
        <v>998</v>
      </c>
      <c r="Q55" s="180">
        <f>AVERAGE($G$17)</f>
        <v>1079</v>
      </c>
      <c r="R55" s="180">
        <f>AVERAGE($G$17)</f>
        <v>1079</v>
      </c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1"/>
      <c r="AE55" s="181"/>
    </row>
    <row r="56" spans="1:31" x14ac:dyDescent="0.3">
      <c r="A56" s="84" t="s">
        <v>2055</v>
      </c>
      <c r="B56" s="84" t="s">
        <v>2056</v>
      </c>
      <c r="C56" s="84" t="s">
        <v>49</v>
      </c>
      <c r="D56" s="84" t="s">
        <v>2045</v>
      </c>
      <c r="E56" s="124">
        <v>128134</v>
      </c>
      <c r="F56" s="124">
        <v>1322</v>
      </c>
      <c r="G56" s="124">
        <v>22810</v>
      </c>
      <c r="I56" s="178" t="s">
        <v>1999</v>
      </c>
      <c r="J56" s="179">
        <f>IFERROR(AVERAGEIF($B$19:$B$27,"*"&amp;$I56&amp;"*",$G$19:$G$27),"N/A")</f>
        <v>3126</v>
      </c>
      <c r="K56" s="179">
        <f>IFERROR(AVERAGEIF($B$19:$B$27,"*"&amp;$I56&amp;"*",$G$19:$G$27),"N/A")</f>
        <v>3126</v>
      </c>
      <c r="L56" s="179">
        <f>IFERROR(AVERAGEIF($B$19:$B$27,"*"&amp;$I56&amp;"*",$G$19:$G$27),"N/A")</f>
        <v>3126</v>
      </c>
      <c r="M56" s="179">
        <f>IFERROR(AVERAGEIF($B$19:$B$27,"*"&amp;$I56&amp;"*",$G$19:$G$27),"N/A")</f>
        <v>3126</v>
      </c>
      <c r="N56" s="179">
        <f>IFERROR(AVERAGEIF($B$19:$B$27,"*"&amp;$I56&amp;"*",$G$19:$G$27),"N/A")</f>
        <v>3126</v>
      </c>
      <c r="O56" s="179">
        <f t="shared" ref="O56:O65" si="9">IFERROR(AVERAGEIF($B$34:$B$56,"*"&amp;$I56&amp;"*",$G$34:$G$56),"N/A")</f>
        <v>2857</v>
      </c>
      <c r="P56" s="179">
        <f>IFERROR(AVERAGEIF($B$19:$B$27,"*"&amp;$I56&amp;"*",$G$19:$G$27),"N/A")</f>
        <v>3126</v>
      </c>
      <c r="Q56" s="180">
        <f>IFERROR(AVERAGEIF($B$19:$B$27,"*"&amp;$I56&amp;"*",$G$19:$G$27),"N/A")</f>
        <v>3126</v>
      </c>
      <c r="R56" s="180">
        <f>IFERROR(AVERAGEIF($B$19:$B$27,"*"&amp;$I56&amp;"*",$G$19:$G$27),"N/A")</f>
        <v>3126</v>
      </c>
      <c r="S56" s="180">
        <f t="shared" ref="S56:AE65" si="10">IFERROR(AVERAGEIF($B$34:$B$56,"*"&amp;$I56&amp;"*",$G$34:$G$56),"N/A")</f>
        <v>2857</v>
      </c>
      <c r="T56" s="180">
        <f t="shared" si="10"/>
        <v>2857</v>
      </c>
      <c r="U56" s="180">
        <f t="shared" si="10"/>
        <v>2857</v>
      </c>
      <c r="V56" s="180">
        <f t="shared" si="10"/>
        <v>2857</v>
      </c>
      <c r="W56" s="180"/>
      <c r="X56" s="180"/>
      <c r="Y56" s="180"/>
      <c r="Z56" s="180"/>
      <c r="AA56" s="180"/>
      <c r="AB56" s="180"/>
      <c r="AC56" s="180"/>
      <c r="AD56" s="181"/>
      <c r="AE56" s="181"/>
    </row>
    <row r="57" spans="1:31" x14ac:dyDescent="0.3">
      <c r="I57" s="178" t="s">
        <v>2001</v>
      </c>
      <c r="J57" s="179">
        <f t="shared" ref="J57:R61" si="11">IFERROR(AVERAGEIF($B$19:$B$27,"*"&amp;$I57&amp;"*",$G$19:$G$27),"N/A")</f>
        <v>4008</v>
      </c>
      <c r="K57" s="179">
        <f t="shared" si="11"/>
        <v>4008</v>
      </c>
      <c r="L57" s="179">
        <f t="shared" si="11"/>
        <v>4008</v>
      </c>
      <c r="M57" s="179">
        <f t="shared" si="11"/>
        <v>4008</v>
      </c>
      <c r="N57" s="179">
        <f t="shared" si="11"/>
        <v>4008</v>
      </c>
      <c r="O57" s="179">
        <f t="shared" si="9"/>
        <v>4220</v>
      </c>
      <c r="P57" s="179">
        <f t="shared" si="11"/>
        <v>4008</v>
      </c>
      <c r="Q57" s="180">
        <f t="shared" si="11"/>
        <v>4008</v>
      </c>
      <c r="R57" s="180">
        <f t="shared" si="11"/>
        <v>4008</v>
      </c>
      <c r="S57" s="180">
        <f t="shared" si="10"/>
        <v>4220</v>
      </c>
      <c r="T57" s="180">
        <f t="shared" si="10"/>
        <v>4220</v>
      </c>
      <c r="U57" s="180">
        <f t="shared" si="10"/>
        <v>4220</v>
      </c>
      <c r="V57" s="180">
        <f t="shared" si="10"/>
        <v>4220</v>
      </c>
      <c r="W57" s="180">
        <f t="shared" si="10"/>
        <v>4220</v>
      </c>
      <c r="X57" s="180">
        <f t="shared" si="10"/>
        <v>4220</v>
      </c>
      <c r="Y57" s="180">
        <f t="shared" si="10"/>
        <v>4220</v>
      </c>
      <c r="Z57" s="180">
        <f t="shared" si="10"/>
        <v>4220</v>
      </c>
      <c r="AA57" s="180">
        <f t="shared" si="10"/>
        <v>4220</v>
      </c>
      <c r="AB57" s="180">
        <f t="shared" si="10"/>
        <v>4220</v>
      </c>
      <c r="AC57" s="180">
        <f t="shared" si="10"/>
        <v>4220</v>
      </c>
      <c r="AD57" s="181">
        <f t="shared" si="10"/>
        <v>4220</v>
      </c>
      <c r="AE57" s="181">
        <f t="shared" si="10"/>
        <v>4220</v>
      </c>
    </row>
    <row r="58" spans="1:31" x14ac:dyDescent="0.3">
      <c r="I58" s="178" t="s">
        <v>2003</v>
      </c>
      <c r="J58" s="179">
        <f t="shared" si="11"/>
        <v>4262</v>
      </c>
      <c r="K58" s="179">
        <f t="shared" si="11"/>
        <v>4262</v>
      </c>
      <c r="L58" s="179">
        <f t="shared" si="11"/>
        <v>4262</v>
      </c>
      <c r="M58" s="179">
        <f t="shared" si="11"/>
        <v>4262</v>
      </c>
      <c r="N58" s="179">
        <f t="shared" si="11"/>
        <v>4262</v>
      </c>
      <c r="O58" s="179">
        <f t="shared" si="9"/>
        <v>4403.5</v>
      </c>
      <c r="P58" s="179">
        <f t="shared" si="11"/>
        <v>4262</v>
      </c>
      <c r="Q58" s="180">
        <f t="shared" si="11"/>
        <v>4262</v>
      </c>
      <c r="R58" s="180">
        <f t="shared" si="11"/>
        <v>4262</v>
      </c>
      <c r="S58" s="180">
        <f t="shared" si="10"/>
        <v>4403.5</v>
      </c>
      <c r="T58" s="180">
        <f t="shared" si="10"/>
        <v>4403.5</v>
      </c>
      <c r="U58" s="180">
        <f t="shared" si="10"/>
        <v>4403.5</v>
      </c>
      <c r="V58" s="180">
        <f t="shared" si="10"/>
        <v>4403.5</v>
      </c>
      <c r="W58" s="180">
        <f t="shared" si="10"/>
        <v>4403.5</v>
      </c>
      <c r="X58" s="180">
        <f t="shared" si="10"/>
        <v>4403.5</v>
      </c>
      <c r="Y58" s="180">
        <f t="shared" si="10"/>
        <v>4403.5</v>
      </c>
      <c r="Z58" s="180">
        <f t="shared" si="10"/>
        <v>4403.5</v>
      </c>
      <c r="AA58" s="180">
        <f t="shared" si="10"/>
        <v>4403.5</v>
      </c>
      <c r="AB58" s="180">
        <f t="shared" si="10"/>
        <v>4403.5</v>
      </c>
      <c r="AC58" s="180">
        <f t="shared" si="10"/>
        <v>4403.5</v>
      </c>
      <c r="AD58" s="181">
        <f t="shared" si="10"/>
        <v>4403.5</v>
      </c>
      <c r="AE58" s="181">
        <f t="shared" si="10"/>
        <v>4403.5</v>
      </c>
    </row>
    <row r="59" spans="1:31" x14ac:dyDescent="0.3">
      <c r="I59" s="178" t="s">
        <v>2006</v>
      </c>
      <c r="J59" s="179">
        <f t="shared" si="11"/>
        <v>1662</v>
      </c>
      <c r="K59" s="179">
        <f t="shared" si="11"/>
        <v>1662</v>
      </c>
      <c r="L59" s="179">
        <f t="shared" si="11"/>
        <v>1662</v>
      </c>
      <c r="M59" s="179">
        <f t="shared" si="11"/>
        <v>1662</v>
      </c>
      <c r="N59" s="179">
        <f t="shared" si="11"/>
        <v>1662</v>
      </c>
      <c r="O59" s="179">
        <f t="shared" si="9"/>
        <v>2745</v>
      </c>
      <c r="P59" s="179">
        <f t="shared" si="11"/>
        <v>1662</v>
      </c>
      <c r="Q59" s="180">
        <f t="shared" si="11"/>
        <v>1662</v>
      </c>
      <c r="R59" s="180">
        <f t="shared" si="11"/>
        <v>1662</v>
      </c>
      <c r="S59" s="180">
        <f t="shared" si="10"/>
        <v>2745</v>
      </c>
      <c r="T59" s="180">
        <f t="shared" si="10"/>
        <v>2745</v>
      </c>
      <c r="U59" s="180">
        <f t="shared" si="10"/>
        <v>2745</v>
      </c>
      <c r="V59" s="180">
        <f t="shared" si="10"/>
        <v>2745</v>
      </c>
      <c r="W59" s="180">
        <f t="shared" si="10"/>
        <v>2745</v>
      </c>
      <c r="X59" s="180">
        <f t="shared" si="10"/>
        <v>2745</v>
      </c>
      <c r="Y59" s="180">
        <f t="shared" si="10"/>
        <v>2745</v>
      </c>
      <c r="Z59" s="180">
        <f t="shared" si="10"/>
        <v>2745</v>
      </c>
      <c r="AA59" s="180">
        <f t="shared" si="10"/>
        <v>2745</v>
      </c>
      <c r="AB59" s="180">
        <f t="shared" si="10"/>
        <v>2745</v>
      </c>
      <c r="AC59" s="180">
        <f t="shared" si="10"/>
        <v>2745</v>
      </c>
      <c r="AD59" s="181">
        <f t="shared" si="10"/>
        <v>2745</v>
      </c>
      <c r="AE59" s="181">
        <f t="shared" si="10"/>
        <v>2745</v>
      </c>
    </row>
    <row r="60" spans="1:31" x14ac:dyDescent="0.3">
      <c r="I60" s="178" t="s">
        <v>2009</v>
      </c>
      <c r="J60" s="179">
        <f t="shared" si="11"/>
        <v>4728</v>
      </c>
      <c r="K60" s="179">
        <f t="shared" si="11"/>
        <v>4728</v>
      </c>
      <c r="L60" s="179">
        <f t="shared" si="11"/>
        <v>4728</v>
      </c>
      <c r="M60" s="179">
        <f t="shared" si="11"/>
        <v>4728</v>
      </c>
      <c r="N60" s="179">
        <f t="shared" si="11"/>
        <v>4728</v>
      </c>
      <c r="O60" s="179">
        <f t="shared" si="9"/>
        <v>9064.2000000000007</v>
      </c>
      <c r="P60" s="179">
        <f t="shared" si="11"/>
        <v>4728</v>
      </c>
      <c r="Q60" s="180">
        <f t="shared" si="11"/>
        <v>4728</v>
      </c>
      <c r="R60" s="180">
        <f t="shared" si="11"/>
        <v>4728</v>
      </c>
      <c r="S60" s="180">
        <f t="shared" si="10"/>
        <v>9064.2000000000007</v>
      </c>
      <c r="T60" s="180">
        <f t="shared" si="10"/>
        <v>9064.2000000000007</v>
      </c>
      <c r="U60" s="180">
        <f t="shared" si="10"/>
        <v>9064.2000000000007</v>
      </c>
      <c r="V60" s="180">
        <f t="shared" si="10"/>
        <v>9064.2000000000007</v>
      </c>
      <c r="W60" s="180">
        <f t="shared" si="10"/>
        <v>9064.2000000000007</v>
      </c>
      <c r="X60" s="180">
        <f t="shared" si="10"/>
        <v>9064.2000000000007</v>
      </c>
      <c r="Y60" s="180">
        <f t="shared" si="10"/>
        <v>9064.2000000000007</v>
      </c>
      <c r="Z60" s="180">
        <f t="shared" si="10"/>
        <v>9064.2000000000007</v>
      </c>
      <c r="AA60" s="180">
        <f t="shared" si="10"/>
        <v>9064.2000000000007</v>
      </c>
      <c r="AB60" s="180">
        <f t="shared" si="10"/>
        <v>9064.2000000000007</v>
      </c>
      <c r="AC60" s="180">
        <f t="shared" si="10"/>
        <v>9064.2000000000007</v>
      </c>
      <c r="AD60" s="181">
        <f t="shared" si="10"/>
        <v>9064.2000000000007</v>
      </c>
      <c r="AE60" s="181">
        <f t="shared" si="10"/>
        <v>9064.2000000000007</v>
      </c>
    </row>
    <row r="61" spans="1:31" x14ac:dyDescent="0.3">
      <c r="I61" s="178" t="s">
        <v>2011</v>
      </c>
      <c r="J61" s="179">
        <f t="shared" si="11"/>
        <v>1748</v>
      </c>
      <c r="K61" s="179">
        <f t="shared" si="11"/>
        <v>1748</v>
      </c>
      <c r="L61" s="179">
        <f t="shared" si="11"/>
        <v>1748</v>
      </c>
      <c r="M61" s="179">
        <f t="shared" si="11"/>
        <v>1748</v>
      </c>
      <c r="N61" s="179">
        <f t="shared" si="11"/>
        <v>1748</v>
      </c>
      <c r="O61" s="179">
        <f t="shared" si="9"/>
        <v>2796</v>
      </c>
      <c r="P61" s="179">
        <f t="shared" si="11"/>
        <v>1748</v>
      </c>
      <c r="Q61" s="180">
        <f t="shared" si="11"/>
        <v>1748</v>
      </c>
      <c r="R61" s="180">
        <f t="shared" si="11"/>
        <v>1748</v>
      </c>
      <c r="S61" s="180">
        <f t="shared" si="10"/>
        <v>2796</v>
      </c>
      <c r="T61" s="180">
        <f t="shared" si="10"/>
        <v>2796</v>
      </c>
      <c r="U61" s="180">
        <f t="shared" si="10"/>
        <v>2796</v>
      </c>
      <c r="V61" s="180">
        <f t="shared" si="10"/>
        <v>2796</v>
      </c>
      <c r="W61" s="180">
        <f t="shared" si="10"/>
        <v>2796</v>
      </c>
      <c r="X61" s="180">
        <f t="shared" si="10"/>
        <v>2796</v>
      </c>
      <c r="Y61" s="180">
        <f t="shared" si="10"/>
        <v>2796</v>
      </c>
      <c r="Z61" s="180">
        <f t="shared" si="10"/>
        <v>2796</v>
      </c>
      <c r="AA61" s="180">
        <f t="shared" si="10"/>
        <v>2796</v>
      </c>
      <c r="AB61" s="180">
        <f t="shared" si="10"/>
        <v>2796</v>
      </c>
      <c r="AC61" s="180">
        <f t="shared" si="10"/>
        <v>2796</v>
      </c>
      <c r="AD61" s="181">
        <f t="shared" si="10"/>
        <v>2796</v>
      </c>
      <c r="AE61" s="181">
        <f t="shared" si="10"/>
        <v>2796</v>
      </c>
    </row>
    <row r="62" spans="1:31" x14ac:dyDescent="0.3">
      <c r="I62" s="178" t="s">
        <v>2014</v>
      </c>
      <c r="J62" s="182"/>
      <c r="K62" s="179"/>
      <c r="L62" s="179"/>
      <c r="M62" s="179"/>
      <c r="N62" s="179">
        <f>IFERROR(AVERAGEIF($B$34:$B$56,"*"&amp;$I62&amp;"*",$G$34:$G$56),"N/A")</f>
        <v>9663.2000000000007</v>
      </c>
      <c r="O62" s="179">
        <f t="shared" si="9"/>
        <v>9663.2000000000007</v>
      </c>
      <c r="P62" s="179">
        <f>IFERROR(AVERAGEIF($B$34:$B$56,"*"&amp;$I62&amp;"*",$G$34:$G$56),"N/A")</f>
        <v>9663.2000000000007</v>
      </c>
      <c r="Q62" s="180">
        <f>IFERROR(AVERAGEIF($B$34:$B$56,"*"&amp;$I62&amp;"*",$G$34:$G$56),"N/A")</f>
        <v>9663.2000000000007</v>
      </c>
      <c r="R62" s="180">
        <f>IFERROR(AVERAGEIF($B$34:$B$56,"*"&amp;$I62&amp;"*",$G$34:$G$56),"N/A")</f>
        <v>9663.2000000000007</v>
      </c>
      <c r="S62" s="180">
        <f>IFERROR(AVERAGEIF($B$34:$B$56,"*"&amp;$I62&amp;"*",$G$34:$G$56),"N/A")</f>
        <v>9663.2000000000007</v>
      </c>
      <c r="T62" s="180">
        <f t="shared" si="10"/>
        <v>9663.2000000000007</v>
      </c>
      <c r="U62" s="180">
        <f t="shared" si="10"/>
        <v>9663.2000000000007</v>
      </c>
      <c r="V62" s="180">
        <f t="shared" si="10"/>
        <v>9663.2000000000007</v>
      </c>
      <c r="W62" s="180">
        <f t="shared" si="10"/>
        <v>9663.2000000000007</v>
      </c>
      <c r="X62" s="180">
        <f t="shared" si="10"/>
        <v>9663.2000000000007</v>
      </c>
      <c r="Y62" s="180">
        <f t="shared" si="10"/>
        <v>9663.2000000000007</v>
      </c>
      <c r="Z62" s="180">
        <f t="shared" si="10"/>
        <v>9663.2000000000007</v>
      </c>
      <c r="AA62" s="180">
        <f t="shared" si="10"/>
        <v>9663.2000000000007</v>
      </c>
      <c r="AB62" s="180">
        <f t="shared" si="10"/>
        <v>9663.2000000000007</v>
      </c>
      <c r="AC62" s="180">
        <f t="shared" si="10"/>
        <v>9663.2000000000007</v>
      </c>
      <c r="AD62" s="181">
        <f t="shared" si="10"/>
        <v>9663.2000000000007</v>
      </c>
      <c r="AE62" s="181">
        <f t="shared" si="10"/>
        <v>9663.2000000000007</v>
      </c>
    </row>
    <row r="63" spans="1:31" x14ac:dyDescent="0.3">
      <c r="I63" s="178" t="s">
        <v>2017</v>
      </c>
      <c r="J63" s="182"/>
      <c r="K63" s="179"/>
      <c r="L63" s="179"/>
      <c r="M63" s="179"/>
      <c r="N63" s="179"/>
      <c r="O63" s="179">
        <f t="shared" si="9"/>
        <v>12584.5</v>
      </c>
      <c r="P63" s="179"/>
      <c r="Q63" s="180"/>
      <c r="R63" s="180"/>
      <c r="S63" s="180">
        <f t="shared" si="10"/>
        <v>12584.5</v>
      </c>
      <c r="T63" s="180">
        <f t="shared" si="10"/>
        <v>12584.5</v>
      </c>
      <c r="U63" s="180">
        <f t="shared" si="10"/>
        <v>12584.5</v>
      </c>
      <c r="V63" s="180">
        <f t="shared" si="10"/>
        <v>12584.5</v>
      </c>
      <c r="W63" s="180">
        <f t="shared" si="10"/>
        <v>12584.5</v>
      </c>
      <c r="X63" s="180">
        <f t="shared" si="10"/>
        <v>12584.5</v>
      </c>
      <c r="Y63" s="180">
        <f t="shared" si="10"/>
        <v>12584.5</v>
      </c>
      <c r="Z63" s="180">
        <f t="shared" si="10"/>
        <v>12584.5</v>
      </c>
      <c r="AA63" s="180">
        <f t="shared" si="10"/>
        <v>12584.5</v>
      </c>
      <c r="AB63" s="180">
        <f t="shared" si="10"/>
        <v>12584.5</v>
      </c>
      <c r="AC63" s="180">
        <f t="shared" si="10"/>
        <v>12584.5</v>
      </c>
      <c r="AD63" s="181">
        <f t="shared" si="10"/>
        <v>12584.5</v>
      </c>
      <c r="AE63" s="181">
        <f t="shared" si="10"/>
        <v>12584.5</v>
      </c>
    </row>
    <row r="64" spans="1:31" x14ac:dyDescent="0.3">
      <c r="I64" s="178" t="s">
        <v>2019</v>
      </c>
      <c r="J64" s="182"/>
      <c r="K64" s="179"/>
      <c r="L64" s="179"/>
      <c r="M64" s="179"/>
      <c r="N64" s="179"/>
      <c r="O64" s="179">
        <f t="shared" si="9"/>
        <v>17061</v>
      </c>
      <c r="P64" s="179"/>
      <c r="Q64" s="180"/>
      <c r="R64" s="180"/>
      <c r="S64" s="180">
        <f t="shared" si="10"/>
        <v>17061</v>
      </c>
      <c r="T64" s="180">
        <f t="shared" si="10"/>
        <v>17061</v>
      </c>
      <c r="U64" s="180">
        <f t="shared" si="10"/>
        <v>17061</v>
      </c>
      <c r="V64" s="180">
        <f t="shared" si="10"/>
        <v>17061</v>
      </c>
      <c r="W64" s="180">
        <f t="shared" si="10"/>
        <v>17061</v>
      </c>
      <c r="X64" s="180">
        <f t="shared" si="10"/>
        <v>17061</v>
      </c>
      <c r="Y64" s="180">
        <f t="shared" si="10"/>
        <v>17061</v>
      </c>
      <c r="Z64" s="180">
        <f t="shared" si="10"/>
        <v>17061</v>
      </c>
      <c r="AA64" s="180">
        <f t="shared" si="10"/>
        <v>17061</v>
      </c>
      <c r="AB64" s="180">
        <f t="shared" si="10"/>
        <v>17061</v>
      </c>
      <c r="AC64" s="180">
        <f t="shared" si="10"/>
        <v>17061</v>
      </c>
      <c r="AD64" s="181">
        <f t="shared" si="10"/>
        <v>17061</v>
      </c>
      <c r="AE64" s="181">
        <f t="shared" si="10"/>
        <v>17061</v>
      </c>
    </row>
    <row r="65" spans="9:31" ht="15" thickBot="1" x14ac:dyDescent="0.35">
      <c r="I65" s="183" t="s">
        <v>2022</v>
      </c>
      <c r="J65" s="184"/>
      <c r="K65" s="185"/>
      <c r="L65" s="185"/>
      <c r="M65" s="185"/>
      <c r="N65" s="185"/>
      <c r="O65" s="185">
        <f t="shared" si="9"/>
        <v>22810</v>
      </c>
      <c r="P65" s="185"/>
      <c r="Q65" s="186"/>
      <c r="R65" s="186"/>
      <c r="S65" s="186">
        <f t="shared" si="10"/>
        <v>22810</v>
      </c>
      <c r="T65" s="186">
        <f t="shared" si="10"/>
        <v>22810</v>
      </c>
      <c r="U65" s="186">
        <f t="shared" si="10"/>
        <v>22810</v>
      </c>
      <c r="V65" s="186">
        <f t="shared" si="10"/>
        <v>22810</v>
      </c>
      <c r="W65" s="186">
        <f t="shared" si="10"/>
        <v>22810</v>
      </c>
      <c r="X65" s="186">
        <f t="shared" si="10"/>
        <v>22810</v>
      </c>
      <c r="Y65" s="186">
        <f t="shared" si="10"/>
        <v>22810</v>
      </c>
      <c r="Z65" s="186">
        <f t="shared" si="10"/>
        <v>22810</v>
      </c>
      <c r="AA65" s="186">
        <f t="shared" si="10"/>
        <v>22810</v>
      </c>
      <c r="AB65" s="186">
        <f t="shared" si="10"/>
        <v>22810</v>
      </c>
      <c r="AC65" s="186">
        <f t="shared" si="10"/>
        <v>22810</v>
      </c>
      <c r="AD65" s="187">
        <f t="shared" si="10"/>
        <v>22810</v>
      </c>
      <c r="AE65" s="187">
        <f t="shared" si="10"/>
        <v>22810</v>
      </c>
    </row>
    <row r="69" spans="9:31" ht="21.6" thickBot="1" x14ac:dyDescent="0.45">
      <c r="I69" s="174" t="s">
        <v>2302</v>
      </c>
      <c r="J69" s="174"/>
    </row>
    <row r="70" spans="9:31" x14ac:dyDescent="0.3">
      <c r="I70" s="175"/>
      <c r="J70" s="176" t="s">
        <v>1968</v>
      </c>
      <c r="K70" s="176" t="s">
        <v>1969</v>
      </c>
      <c r="L70" s="176" t="s">
        <v>1970</v>
      </c>
      <c r="M70" s="176" t="s">
        <v>1971</v>
      </c>
      <c r="N70" s="176" t="s">
        <v>1972</v>
      </c>
      <c r="O70" s="176" t="s">
        <v>1973</v>
      </c>
      <c r="P70" s="176" t="s">
        <v>1974</v>
      </c>
      <c r="Q70" s="176" t="s">
        <v>1975</v>
      </c>
      <c r="R70" s="176" t="s">
        <v>1976</v>
      </c>
      <c r="S70" s="176" t="s">
        <v>1977</v>
      </c>
      <c r="T70" s="176" t="s">
        <v>1978</v>
      </c>
      <c r="U70" s="176" t="s">
        <v>1979</v>
      </c>
      <c r="V70" s="176" t="s">
        <v>1980</v>
      </c>
      <c r="W70" s="176" t="s">
        <v>1981</v>
      </c>
      <c r="X70" s="176" t="s">
        <v>1982</v>
      </c>
      <c r="Y70" s="176" t="s">
        <v>1983</v>
      </c>
      <c r="Z70" s="176" t="s">
        <v>1984</v>
      </c>
      <c r="AA70" s="176" t="s">
        <v>1985</v>
      </c>
      <c r="AB70" s="176" t="s">
        <v>1986</v>
      </c>
      <c r="AC70" s="176" t="s">
        <v>1987</v>
      </c>
      <c r="AD70" s="177" t="s">
        <v>1988</v>
      </c>
      <c r="AE70" s="177" t="s">
        <v>1989</v>
      </c>
    </row>
    <row r="71" spans="9:31" x14ac:dyDescent="0.3">
      <c r="I71" s="178">
        <v>250</v>
      </c>
      <c r="J71" s="179"/>
      <c r="K71" s="179"/>
      <c r="L71" s="179"/>
      <c r="M71" s="179"/>
      <c r="N71" s="179"/>
      <c r="O71" s="179"/>
      <c r="P71" s="179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1"/>
      <c r="AE71" s="181"/>
    </row>
    <row r="72" spans="9:31" x14ac:dyDescent="0.3">
      <c r="I72" s="178">
        <v>630</v>
      </c>
      <c r="J72" s="179"/>
      <c r="K72" s="179"/>
      <c r="L72" s="179"/>
      <c r="M72" s="179"/>
      <c r="N72" s="179"/>
      <c r="O72" s="179"/>
      <c r="P72" s="179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1"/>
      <c r="AE72" s="181"/>
    </row>
    <row r="73" spans="9:31" x14ac:dyDescent="0.3">
      <c r="I73" s="178">
        <v>1000</v>
      </c>
      <c r="J73" s="179"/>
      <c r="K73" s="179"/>
      <c r="L73" s="179"/>
      <c r="M73" s="179"/>
      <c r="N73" s="179"/>
      <c r="O73" s="179"/>
      <c r="P73" s="179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1"/>
      <c r="AE73" s="181"/>
    </row>
    <row r="74" spans="9:31" x14ac:dyDescent="0.3">
      <c r="I74" s="178" t="s">
        <v>1999</v>
      </c>
      <c r="J74" s="179"/>
      <c r="K74" s="179"/>
      <c r="L74" s="179"/>
      <c r="M74" s="179"/>
      <c r="N74" s="179"/>
      <c r="O74" s="179"/>
      <c r="P74" s="179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1"/>
      <c r="AE74" s="181"/>
    </row>
    <row r="75" spans="9:31" x14ac:dyDescent="0.3">
      <c r="I75" s="178" t="s">
        <v>2001</v>
      </c>
      <c r="J75" s="179"/>
      <c r="K75" s="179"/>
      <c r="L75" s="179"/>
      <c r="M75" s="179"/>
      <c r="N75" s="179"/>
      <c r="O75" s="179"/>
      <c r="P75" s="179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1"/>
      <c r="AE75" s="181"/>
    </row>
    <row r="76" spans="9:31" x14ac:dyDescent="0.3">
      <c r="I76" s="178" t="s">
        <v>2003</v>
      </c>
      <c r="J76" s="179"/>
      <c r="K76" s="179"/>
      <c r="L76" s="179"/>
      <c r="M76" s="179"/>
      <c r="N76" s="179">
        <f t="shared" ref="N76:AE76" si="12">IFERROR(AVERAGEIF($B$34:$B$56,"*"&amp;$I76&amp;"*",$G$34:$G$56),"N/A")</f>
        <v>4403.5</v>
      </c>
      <c r="O76" s="179">
        <f t="shared" si="12"/>
        <v>4403.5</v>
      </c>
      <c r="P76" s="179">
        <f t="shared" si="12"/>
        <v>4403.5</v>
      </c>
      <c r="Q76" s="180">
        <f t="shared" si="12"/>
        <v>4403.5</v>
      </c>
      <c r="R76" s="180">
        <f t="shared" si="12"/>
        <v>4403.5</v>
      </c>
      <c r="S76" s="180">
        <f t="shared" si="12"/>
        <v>4403.5</v>
      </c>
      <c r="T76" s="180">
        <f t="shared" si="12"/>
        <v>4403.5</v>
      </c>
      <c r="U76" s="180">
        <f t="shared" si="12"/>
        <v>4403.5</v>
      </c>
      <c r="V76" s="180">
        <f t="shared" si="12"/>
        <v>4403.5</v>
      </c>
      <c r="W76" s="180">
        <f t="shared" si="12"/>
        <v>4403.5</v>
      </c>
      <c r="X76" s="180">
        <f t="shared" si="12"/>
        <v>4403.5</v>
      </c>
      <c r="Y76" s="180">
        <f t="shared" si="12"/>
        <v>4403.5</v>
      </c>
      <c r="Z76" s="180">
        <f t="shared" si="12"/>
        <v>4403.5</v>
      </c>
      <c r="AA76" s="180">
        <f t="shared" si="12"/>
        <v>4403.5</v>
      </c>
      <c r="AB76" s="180">
        <f t="shared" si="12"/>
        <v>4403.5</v>
      </c>
      <c r="AC76" s="180">
        <f t="shared" si="12"/>
        <v>4403.5</v>
      </c>
      <c r="AD76" s="181">
        <f t="shared" si="12"/>
        <v>4403.5</v>
      </c>
      <c r="AE76" s="181">
        <f t="shared" si="12"/>
        <v>4403.5</v>
      </c>
    </row>
    <row r="77" spans="9:31" x14ac:dyDescent="0.3">
      <c r="I77" s="178" t="s">
        <v>2006</v>
      </c>
      <c r="J77" s="179"/>
      <c r="K77" s="179"/>
      <c r="L77" s="179"/>
      <c r="M77" s="179"/>
      <c r="N77" s="179"/>
      <c r="O77" s="179"/>
      <c r="P77" s="179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1"/>
      <c r="AE77" s="181"/>
    </row>
    <row r="78" spans="9:31" x14ac:dyDescent="0.3">
      <c r="I78" s="178" t="s">
        <v>2009</v>
      </c>
      <c r="J78" s="179"/>
      <c r="K78" s="179"/>
      <c r="L78" s="179"/>
      <c r="M78" s="179"/>
      <c r="N78" s="179"/>
      <c r="O78" s="179">
        <f>$G$37</f>
        <v>11698</v>
      </c>
      <c r="P78" s="179">
        <f t="shared" ref="P78:AE78" si="13">$G$37</f>
        <v>11698</v>
      </c>
      <c r="Q78" s="180">
        <f t="shared" si="13"/>
        <v>11698</v>
      </c>
      <c r="R78" s="180">
        <f t="shared" si="13"/>
        <v>11698</v>
      </c>
      <c r="S78" s="180">
        <f t="shared" si="13"/>
        <v>11698</v>
      </c>
      <c r="T78" s="180">
        <f t="shared" si="13"/>
        <v>11698</v>
      </c>
      <c r="U78" s="180">
        <f t="shared" si="13"/>
        <v>11698</v>
      </c>
      <c r="V78" s="180">
        <f t="shared" si="13"/>
        <v>11698</v>
      </c>
      <c r="W78" s="180">
        <f t="shared" si="13"/>
        <v>11698</v>
      </c>
      <c r="X78" s="180">
        <f t="shared" si="13"/>
        <v>11698</v>
      </c>
      <c r="Y78" s="180">
        <f t="shared" si="13"/>
        <v>11698</v>
      </c>
      <c r="Z78" s="180">
        <f t="shared" si="13"/>
        <v>11698</v>
      </c>
      <c r="AA78" s="180">
        <f t="shared" si="13"/>
        <v>11698</v>
      </c>
      <c r="AB78" s="180">
        <f t="shared" si="13"/>
        <v>11698</v>
      </c>
      <c r="AC78" s="180">
        <f t="shared" si="13"/>
        <v>11698</v>
      </c>
      <c r="AD78" s="181">
        <f t="shared" si="13"/>
        <v>11698</v>
      </c>
      <c r="AE78" s="181">
        <f t="shared" si="13"/>
        <v>11698</v>
      </c>
    </row>
    <row r="79" spans="9:31" x14ac:dyDescent="0.3">
      <c r="I79" s="178" t="s">
        <v>2011</v>
      </c>
      <c r="J79" s="179"/>
      <c r="K79" s="179"/>
      <c r="L79" s="179"/>
      <c r="M79" s="179"/>
      <c r="N79" s="179"/>
      <c r="O79" s="179"/>
      <c r="P79" s="179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1"/>
      <c r="AE79" s="181"/>
    </row>
    <row r="80" spans="9:31" x14ac:dyDescent="0.3">
      <c r="I80" s="178" t="s">
        <v>2014</v>
      </c>
      <c r="J80" s="182"/>
      <c r="K80" s="179"/>
      <c r="L80" s="179"/>
      <c r="M80" s="179"/>
      <c r="N80" s="179"/>
      <c r="O80" s="179">
        <f>$G$38</f>
        <v>12297</v>
      </c>
      <c r="P80" s="179">
        <f t="shared" ref="P80:AE80" si="14">$G$38</f>
        <v>12297</v>
      </c>
      <c r="Q80" s="180">
        <f t="shared" si="14"/>
        <v>12297</v>
      </c>
      <c r="R80" s="180">
        <f t="shared" si="14"/>
        <v>12297</v>
      </c>
      <c r="S80" s="180">
        <f t="shared" si="14"/>
        <v>12297</v>
      </c>
      <c r="T80" s="180">
        <f t="shared" si="14"/>
        <v>12297</v>
      </c>
      <c r="U80" s="180">
        <f t="shared" si="14"/>
        <v>12297</v>
      </c>
      <c r="V80" s="180">
        <f t="shared" si="14"/>
        <v>12297</v>
      </c>
      <c r="W80" s="180">
        <f t="shared" si="14"/>
        <v>12297</v>
      </c>
      <c r="X80" s="180">
        <f t="shared" si="14"/>
        <v>12297</v>
      </c>
      <c r="Y80" s="180">
        <f t="shared" si="14"/>
        <v>12297</v>
      </c>
      <c r="Z80" s="180">
        <f t="shared" si="14"/>
        <v>12297</v>
      </c>
      <c r="AA80" s="180">
        <f t="shared" si="14"/>
        <v>12297</v>
      </c>
      <c r="AB80" s="180">
        <f t="shared" si="14"/>
        <v>12297</v>
      </c>
      <c r="AC80" s="180">
        <f t="shared" si="14"/>
        <v>12297</v>
      </c>
      <c r="AD80" s="181">
        <f t="shared" si="14"/>
        <v>12297</v>
      </c>
      <c r="AE80" s="181">
        <f t="shared" si="14"/>
        <v>12297</v>
      </c>
    </row>
    <row r="81" spans="9:31" x14ac:dyDescent="0.3">
      <c r="I81" s="178" t="s">
        <v>2017</v>
      </c>
      <c r="J81" s="182"/>
      <c r="K81" s="179"/>
      <c r="L81" s="179"/>
      <c r="M81" s="179"/>
      <c r="N81" s="179"/>
      <c r="O81" s="179">
        <f>$G$39</f>
        <v>14157</v>
      </c>
      <c r="P81" s="179">
        <f t="shared" ref="P81:AE81" si="15">$G$39</f>
        <v>14157</v>
      </c>
      <c r="Q81" s="180">
        <f t="shared" si="15"/>
        <v>14157</v>
      </c>
      <c r="R81" s="180">
        <f t="shared" si="15"/>
        <v>14157</v>
      </c>
      <c r="S81" s="180">
        <f t="shared" si="15"/>
        <v>14157</v>
      </c>
      <c r="T81" s="180">
        <f t="shared" si="15"/>
        <v>14157</v>
      </c>
      <c r="U81" s="180">
        <f t="shared" si="15"/>
        <v>14157</v>
      </c>
      <c r="V81" s="180">
        <f t="shared" si="15"/>
        <v>14157</v>
      </c>
      <c r="W81" s="180">
        <f t="shared" si="15"/>
        <v>14157</v>
      </c>
      <c r="X81" s="180">
        <f t="shared" si="15"/>
        <v>14157</v>
      </c>
      <c r="Y81" s="180">
        <f t="shared" si="15"/>
        <v>14157</v>
      </c>
      <c r="Z81" s="180">
        <f t="shared" si="15"/>
        <v>14157</v>
      </c>
      <c r="AA81" s="180">
        <f t="shared" si="15"/>
        <v>14157</v>
      </c>
      <c r="AB81" s="180">
        <f t="shared" si="15"/>
        <v>14157</v>
      </c>
      <c r="AC81" s="180">
        <f t="shared" si="15"/>
        <v>14157</v>
      </c>
      <c r="AD81" s="181">
        <f t="shared" si="15"/>
        <v>14157</v>
      </c>
      <c r="AE81" s="181">
        <f t="shared" si="15"/>
        <v>14157</v>
      </c>
    </row>
    <row r="82" spans="9:31" x14ac:dyDescent="0.3">
      <c r="I82" s="178" t="s">
        <v>2019</v>
      </c>
      <c r="J82" s="182"/>
      <c r="K82" s="179"/>
      <c r="L82" s="179"/>
      <c r="M82" s="179"/>
      <c r="N82" s="179"/>
      <c r="O82" s="179">
        <f>$G$55</f>
        <v>17061</v>
      </c>
      <c r="P82" s="179">
        <f t="shared" ref="P82:AE82" si="16">$G$55</f>
        <v>17061</v>
      </c>
      <c r="Q82" s="180">
        <f t="shared" si="16"/>
        <v>17061</v>
      </c>
      <c r="R82" s="180">
        <f t="shared" si="16"/>
        <v>17061</v>
      </c>
      <c r="S82" s="180">
        <f t="shared" si="16"/>
        <v>17061</v>
      </c>
      <c r="T82" s="180">
        <f t="shared" si="16"/>
        <v>17061</v>
      </c>
      <c r="U82" s="180">
        <f t="shared" si="16"/>
        <v>17061</v>
      </c>
      <c r="V82" s="180">
        <f t="shared" si="16"/>
        <v>17061</v>
      </c>
      <c r="W82" s="180">
        <f t="shared" si="16"/>
        <v>17061</v>
      </c>
      <c r="X82" s="180">
        <f t="shared" si="16"/>
        <v>17061</v>
      </c>
      <c r="Y82" s="180">
        <f t="shared" si="16"/>
        <v>17061</v>
      </c>
      <c r="Z82" s="180">
        <f t="shared" si="16"/>
        <v>17061</v>
      </c>
      <c r="AA82" s="180">
        <f t="shared" si="16"/>
        <v>17061</v>
      </c>
      <c r="AB82" s="180">
        <f t="shared" si="16"/>
        <v>17061</v>
      </c>
      <c r="AC82" s="180">
        <f t="shared" si="16"/>
        <v>17061</v>
      </c>
      <c r="AD82" s="181">
        <f t="shared" si="16"/>
        <v>17061</v>
      </c>
      <c r="AE82" s="181">
        <f t="shared" si="16"/>
        <v>17061</v>
      </c>
    </row>
    <row r="83" spans="9:31" ht="15" thickBot="1" x14ac:dyDescent="0.35">
      <c r="I83" s="183" t="s">
        <v>2022</v>
      </c>
      <c r="J83" s="184"/>
      <c r="K83" s="185"/>
      <c r="L83" s="185"/>
      <c r="M83" s="185"/>
      <c r="N83" s="185"/>
      <c r="O83" s="185">
        <f>$G$56</f>
        <v>22810</v>
      </c>
      <c r="P83" s="185">
        <f t="shared" ref="P83:AE83" si="17">$G$56</f>
        <v>22810</v>
      </c>
      <c r="Q83" s="186">
        <f t="shared" si="17"/>
        <v>22810</v>
      </c>
      <c r="R83" s="186">
        <f t="shared" si="17"/>
        <v>22810</v>
      </c>
      <c r="S83" s="186">
        <f t="shared" si="17"/>
        <v>22810</v>
      </c>
      <c r="T83" s="186">
        <f t="shared" si="17"/>
        <v>22810</v>
      </c>
      <c r="U83" s="186">
        <f t="shared" si="17"/>
        <v>22810</v>
      </c>
      <c r="V83" s="186">
        <f t="shared" si="17"/>
        <v>22810</v>
      </c>
      <c r="W83" s="186">
        <f t="shared" si="17"/>
        <v>22810</v>
      </c>
      <c r="X83" s="186">
        <f t="shared" si="17"/>
        <v>22810</v>
      </c>
      <c r="Y83" s="186">
        <f t="shared" si="17"/>
        <v>22810</v>
      </c>
      <c r="Z83" s="186">
        <f t="shared" si="17"/>
        <v>22810</v>
      </c>
      <c r="AA83" s="186">
        <f t="shared" si="17"/>
        <v>22810</v>
      </c>
      <c r="AB83" s="186">
        <f t="shared" si="17"/>
        <v>22810</v>
      </c>
      <c r="AC83" s="186">
        <f t="shared" si="17"/>
        <v>22810</v>
      </c>
      <c r="AD83" s="187">
        <f t="shared" si="17"/>
        <v>22810</v>
      </c>
      <c r="AE83" s="187">
        <f t="shared" si="17"/>
        <v>22810</v>
      </c>
    </row>
    <row r="87" spans="9:31" ht="21.6" thickBot="1" x14ac:dyDescent="0.45">
      <c r="I87" s="174" t="s">
        <v>2303</v>
      </c>
    </row>
    <row r="88" spans="9:31" x14ac:dyDescent="0.3">
      <c r="I88" s="311"/>
      <c r="J88" s="312" t="s">
        <v>1968</v>
      </c>
      <c r="K88" s="312" t="s">
        <v>1969</v>
      </c>
      <c r="L88" s="312" t="s">
        <v>1970</v>
      </c>
      <c r="M88" s="312" t="s">
        <v>1971</v>
      </c>
      <c r="N88" s="312" t="s">
        <v>1972</v>
      </c>
      <c r="O88" s="312" t="s">
        <v>1973</v>
      </c>
      <c r="P88" s="312" t="s">
        <v>1974</v>
      </c>
      <c r="Q88" s="312" t="s">
        <v>1975</v>
      </c>
      <c r="R88" s="312" t="s">
        <v>1976</v>
      </c>
      <c r="S88" s="312" t="s">
        <v>1977</v>
      </c>
      <c r="T88" s="312" t="s">
        <v>1978</v>
      </c>
      <c r="U88" s="312" t="s">
        <v>1979</v>
      </c>
      <c r="V88" s="312" t="s">
        <v>1980</v>
      </c>
      <c r="W88" s="312" t="s">
        <v>1981</v>
      </c>
      <c r="X88" s="312" t="s">
        <v>1982</v>
      </c>
      <c r="Y88" s="312" t="s">
        <v>1983</v>
      </c>
      <c r="Z88" s="312" t="s">
        <v>1984</v>
      </c>
      <c r="AA88" s="312" t="s">
        <v>1985</v>
      </c>
      <c r="AB88" s="312" t="s">
        <v>1986</v>
      </c>
      <c r="AC88" s="312" t="s">
        <v>1987</v>
      </c>
      <c r="AD88" s="313" t="s">
        <v>1988</v>
      </c>
      <c r="AE88" s="314" t="s">
        <v>2304</v>
      </c>
    </row>
    <row r="89" spans="9:31" x14ac:dyDescent="0.3">
      <c r="I89" s="178">
        <v>250</v>
      </c>
      <c r="J89" s="315">
        <v>826</v>
      </c>
      <c r="K89" s="315">
        <v>72480</v>
      </c>
      <c r="L89" s="315">
        <v>31</v>
      </c>
      <c r="M89" s="315">
        <v>31</v>
      </c>
      <c r="N89" s="315">
        <v>4026</v>
      </c>
      <c r="O89" s="315">
        <v>1</v>
      </c>
      <c r="P89" s="315">
        <v>681</v>
      </c>
      <c r="Q89" s="315">
        <v>0</v>
      </c>
      <c r="R89" s="315">
        <v>0</v>
      </c>
      <c r="S89" s="315">
        <v>0</v>
      </c>
      <c r="T89" s="315">
        <v>0</v>
      </c>
      <c r="U89" s="315">
        <v>0</v>
      </c>
      <c r="V89" s="315">
        <v>0</v>
      </c>
      <c r="W89" s="315">
        <v>0</v>
      </c>
      <c r="X89" s="315">
        <v>0</v>
      </c>
      <c r="Y89" s="315">
        <v>0</v>
      </c>
      <c r="Z89" s="315">
        <v>0</v>
      </c>
      <c r="AA89" s="315">
        <v>0</v>
      </c>
      <c r="AB89" s="315">
        <v>0</v>
      </c>
      <c r="AC89" s="315">
        <v>0</v>
      </c>
      <c r="AD89" s="316">
        <v>0</v>
      </c>
      <c r="AE89" s="317">
        <v>0</v>
      </c>
    </row>
    <row r="90" spans="9:31" x14ac:dyDescent="0.3">
      <c r="I90" s="178">
        <v>630</v>
      </c>
      <c r="J90" s="315">
        <v>7</v>
      </c>
      <c r="K90" s="315">
        <v>736</v>
      </c>
      <c r="L90" s="315">
        <v>9</v>
      </c>
      <c r="M90" s="315">
        <v>5</v>
      </c>
      <c r="N90" s="315">
        <v>1009</v>
      </c>
      <c r="O90" s="315">
        <v>1</v>
      </c>
      <c r="P90" s="315">
        <v>31</v>
      </c>
      <c r="Q90" s="315">
        <v>1</v>
      </c>
      <c r="R90" s="315">
        <v>0</v>
      </c>
      <c r="S90" s="315">
        <v>0</v>
      </c>
      <c r="T90" s="315">
        <v>0</v>
      </c>
      <c r="U90" s="315">
        <v>0</v>
      </c>
      <c r="V90" s="315">
        <v>0</v>
      </c>
      <c r="W90" s="315">
        <v>0</v>
      </c>
      <c r="X90" s="315">
        <v>0</v>
      </c>
      <c r="Y90" s="315">
        <v>0</v>
      </c>
      <c r="Z90" s="315">
        <v>0</v>
      </c>
      <c r="AA90" s="315">
        <v>0</v>
      </c>
      <c r="AB90" s="315">
        <v>0</v>
      </c>
      <c r="AC90" s="315">
        <v>0</v>
      </c>
      <c r="AD90" s="316">
        <v>0</v>
      </c>
      <c r="AE90" s="317">
        <v>0</v>
      </c>
    </row>
    <row r="91" spans="9:31" x14ac:dyDescent="0.3">
      <c r="I91" s="178">
        <v>1000</v>
      </c>
      <c r="J91" s="315">
        <v>0</v>
      </c>
      <c r="K91" s="315">
        <v>22</v>
      </c>
      <c r="L91" s="315">
        <v>7</v>
      </c>
      <c r="M91" s="315">
        <v>1</v>
      </c>
      <c r="N91" s="315">
        <v>472</v>
      </c>
      <c r="O91" s="315">
        <v>4</v>
      </c>
      <c r="P91" s="315">
        <v>0</v>
      </c>
      <c r="Q91" s="315">
        <v>13</v>
      </c>
      <c r="R91" s="315">
        <v>1</v>
      </c>
      <c r="S91" s="315">
        <v>1</v>
      </c>
      <c r="T91" s="315">
        <v>0</v>
      </c>
      <c r="U91" s="315">
        <v>0</v>
      </c>
      <c r="V91" s="315">
        <v>0</v>
      </c>
      <c r="W91" s="315">
        <v>0</v>
      </c>
      <c r="X91" s="315">
        <v>1</v>
      </c>
      <c r="Y91" s="315">
        <v>0</v>
      </c>
      <c r="Z91" s="315">
        <v>0</v>
      </c>
      <c r="AA91" s="315">
        <v>0</v>
      </c>
      <c r="AB91" s="315">
        <v>0</v>
      </c>
      <c r="AC91" s="315">
        <v>0</v>
      </c>
      <c r="AD91" s="316">
        <v>0</v>
      </c>
      <c r="AE91" s="317">
        <v>0</v>
      </c>
    </row>
    <row r="92" spans="9:31" x14ac:dyDescent="0.3">
      <c r="I92" s="178" t="s">
        <v>1999</v>
      </c>
      <c r="J92" s="315">
        <v>0</v>
      </c>
      <c r="K92" s="315">
        <v>3</v>
      </c>
      <c r="L92" s="315">
        <v>1</v>
      </c>
      <c r="M92" s="315">
        <v>0</v>
      </c>
      <c r="N92" s="315">
        <v>154</v>
      </c>
      <c r="O92" s="315">
        <v>3</v>
      </c>
      <c r="P92" s="315">
        <v>0</v>
      </c>
      <c r="Q92" s="315">
        <v>18</v>
      </c>
      <c r="R92" s="315">
        <v>3</v>
      </c>
      <c r="S92" s="315">
        <v>2</v>
      </c>
      <c r="T92" s="315">
        <v>0</v>
      </c>
      <c r="U92" s="315">
        <v>0</v>
      </c>
      <c r="V92" s="315">
        <v>0</v>
      </c>
      <c r="W92" s="315">
        <v>0</v>
      </c>
      <c r="X92" s="315">
        <v>0</v>
      </c>
      <c r="Y92" s="315">
        <v>0</v>
      </c>
      <c r="Z92" s="315">
        <v>0</v>
      </c>
      <c r="AA92" s="315">
        <v>0</v>
      </c>
      <c r="AB92" s="315">
        <v>0</v>
      </c>
      <c r="AC92" s="315">
        <v>0</v>
      </c>
      <c r="AD92" s="316">
        <v>0</v>
      </c>
      <c r="AE92" s="317">
        <v>0</v>
      </c>
    </row>
    <row r="93" spans="9:31" x14ac:dyDescent="0.3">
      <c r="I93" s="178" t="s">
        <v>2001</v>
      </c>
      <c r="J93" s="315">
        <v>0</v>
      </c>
      <c r="K93" s="315">
        <v>2</v>
      </c>
      <c r="L93" s="315">
        <v>0</v>
      </c>
      <c r="M93" s="315">
        <v>0</v>
      </c>
      <c r="N93" s="315">
        <v>72</v>
      </c>
      <c r="O93" s="315">
        <v>0</v>
      </c>
      <c r="P93" s="315">
        <v>0</v>
      </c>
      <c r="Q93" s="315">
        <v>19</v>
      </c>
      <c r="R93" s="315">
        <v>6</v>
      </c>
      <c r="S93" s="315">
        <v>1</v>
      </c>
      <c r="T93" s="315">
        <v>0</v>
      </c>
      <c r="U93" s="315">
        <v>0</v>
      </c>
      <c r="V93" s="315">
        <v>0</v>
      </c>
      <c r="W93" s="315">
        <v>0</v>
      </c>
      <c r="X93" s="315">
        <v>1</v>
      </c>
      <c r="Y93" s="315">
        <v>0</v>
      </c>
      <c r="Z93" s="315">
        <v>0</v>
      </c>
      <c r="AA93" s="315">
        <v>0</v>
      </c>
      <c r="AB93" s="315">
        <v>0</v>
      </c>
      <c r="AC93" s="315">
        <v>0</v>
      </c>
      <c r="AD93" s="316">
        <v>0</v>
      </c>
      <c r="AE93" s="317">
        <v>0</v>
      </c>
    </row>
    <row r="94" spans="9:31" x14ac:dyDescent="0.3">
      <c r="I94" s="178" t="s">
        <v>2003</v>
      </c>
      <c r="J94" s="315">
        <v>0</v>
      </c>
      <c r="K94" s="315">
        <v>0</v>
      </c>
      <c r="L94" s="315">
        <v>0</v>
      </c>
      <c r="M94" s="315">
        <v>0</v>
      </c>
      <c r="N94" s="315">
        <v>28</v>
      </c>
      <c r="O94" s="315">
        <v>0</v>
      </c>
      <c r="P94" s="315">
        <v>0</v>
      </c>
      <c r="Q94" s="315">
        <v>6</v>
      </c>
      <c r="R94" s="315">
        <v>4</v>
      </c>
      <c r="S94" s="315">
        <v>2</v>
      </c>
      <c r="T94" s="315">
        <v>0</v>
      </c>
      <c r="U94" s="315">
        <v>0</v>
      </c>
      <c r="V94" s="315">
        <v>1</v>
      </c>
      <c r="W94" s="315">
        <v>0</v>
      </c>
      <c r="X94" s="315">
        <v>0</v>
      </c>
      <c r="Y94" s="315">
        <v>0</v>
      </c>
      <c r="Z94" s="315">
        <v>0</v>
      </c>
      <c r="AA94" s="315">
        <v>0</v>
      </c>
      <c r="AB94" s="315">
        <v>0</v>
      </c>
      <c r="AC94" s="315">
        <v>0</v>
      </c>
      <c r="AD94" s="316">
        <v>0</v>
      </c>
      <c r="AE94" s="317">
        <v>0</v>
      </c>
    </row>
    <row r="95" spans="9:31" x14ac:dyDescent="0.3">
      <c r="I95" s="178" t="s">
        <v>2006</v>
      </c>
      <c r="J95" s="315">
        <v>0</v>
      </c>
      <c r="K95" s="315">
        <v>0</v>
      </c>
      <c r="L95" s="315">
        <v>0</v>
      </c>
      <c r="M95" s="315">
        <v>0</v>
      </c>
      <c r="N95" s="315">
        <v>0</v>
      </c>
      <c r="O95" s="315">
        <v>0</v>
      </c>
      <c r="P95" s="315">
        <v>0</v>
      </c>
      <c r="Q95" s="315">
        <v>0</v>
      </c>
      <c r="R95" s="315">
        <v>0</v>
      </c>
      <c r="S95" s="315">
        <v>0</v>
      </c>
      <c r="T95" s="315">
        <v>0</v>
      </c>
      <c r="U95" s="315">
        <v>0</v>
      </c>
      <c r="V95" s="315">
        <v>0</v>
      </c>
      <c r="W95" s="315">
        <v>0</v>
      </c>
      <c r="X95" s="315">
        <v>0</v>
      </c>
      <c r="Y95" s="315">
        <v>0</v>
      </c>
      <c r="Z95" s="315">
        <v>0</v>
      </c>
      <c r="AA95" s="315">
        <v>0</v>
      </c>
      <c r="AB95" s="315">
        <v>0</v>
      </c>
      <c r="AC95" s="315">
        <v>0</v>
      </c>
      <c r="AD95" s="316">
        <v>0</v>
      </c>
      <c r="AE95" s="317">
        <v>0</v>
      </c>
    </row>
    <row r="96" spans="9:31" x14ac:dyDescent="0.3">
      <c r="I96" s="178" t="s">
        <v>2009</v>
      </c>
      <c r="J96" s="315">
        <v>0</v>
      </c>
      <c r="K96" s="315">
        <v>0</v>
      </c>
      <c r="L96" s="315">
        <v>0</v>
      </c>
      <c r="M96" s="315">
        <v>0</v>
      </c>
      <c r="N96" s="315">
        <v>3</v>
      </c>
      <c r="O96" s="315">
        <v>0</v>
      </c>
      <c r="P96" s="315">
        <v>0</v>
      </c>
      <c r="Q96" s="315">
        <v>2</v>
      </c>
      <c r="R96" s="315">
        <v>0</v>
      </c>
      <c r="S96" s="315">
        <v>0</v>
      </c>
      <c r="T96" s="315">
        <v>0</v>
      </c>
      <c r="U96" s="315">
        <v>0</v>
      </c>
      <c r="V96" s="315">
        <v>0</v>
      </c>
      <c r="W96" s="315">
        <v>0</v>
      </c>
      <c r="X96" s="315">
        <v>0</v>
      </c>
      <c r="Y96" s="315">
        <v>0</v>
      </c>
      <c r="Z96" s="315">
        <v>0</v>
      </c>
      <c r="AA96" s="315">
        <v>0</v>
      </c>
      <c r="AB96" s="315">
        <v>1</v>
      </c>
      <c r="AC96" s="315">
        <v>0</v>
      </c>
      <c r="AD96" s="316">
        <v>0</v>
      </c>
      <c r="AE96" s="317">
        <v>0</v>
      </c>
    </row>
    <row r="97" spans="8:31" x14ac:dyDescent="0.3">
      <c r="I97" s="178" t="s">
        <v>2011</v>
      </c>
      <c r="J97" s="315">
        <v>0</v>
      </c>
      <c r="K97" s="315">
        <v>5</v>
      </c>
      <c r="L97" s="315">
        <v>0</v>
      </c>
      <c r="M97" s="315">
        <v>0</v>
      </c>
      <c r="N97" s="315">
        <v>62</v>
      </c>
      <c r="O97" s="315">
        <v>1</v>
      </c>
      <c r="P97" s="315">
        <v>0</v>
      </c>
      <c r="Q97" s="315">
        <v>2</v>
      </c>
      <c r="R97" s="315">
        <v>0</v>
      </c>
      <c r="S97" s="315">
        <v>0</v>
      </c>
      <c r="T97" s="315">
        <v>0</v>
      </c>
      <c r="U97" s="315">
        <v>0</v>
      </c>
      <c r="V97" s="315">
        <v>0</v>
      </c>
      <c r="W97" s="315">
        <v>0</v>
      </c>
      <c r="X97" s="315">
        <v>0</v>
      </c>
      <c r="Y97" s="315">
        <v>0</v>
      </c>
      <c r="Z97" s="315">
        <v>0</v>
      </c>
      <c r="AA97" s="315">
        <v>0</v>
      </c>
      <c r="AB97" s="315">
        <v>0</v>
      </c>
      <c r="AC97" s="315">
        <v>0</v>
      </c>
      <c r="AD97" s="316">
        <v>0</v>
      </c>
      <c r="AE97" s="317">
        <v>0</v>
      </c>
    </row>
    <row r="98" spans="8:31" x14ac:dyDescent="0.3">
      <c r="I98" s="178" t="s">
        <v>2014</v>
      </c>
      <c r="J98" s="315">
        <v>0</v>
      </c>
      <c r="K98" s="315">
        <v>0</v>
      </c>
      <c r="L98" s="315">
        <v>0</v>
      </c>
      <c r="M98" s="315">
        <v>0</v>
      </c>
      <c r="N98" s="315">
        <v>0</v>
      </c>
      <c r="O98" s="315">
        <v>0</v>
      </c>
      <c r="P98" s="315">
        <v>0</v>
      </c>
      <c r="Q98" s="315">
        <v>0</v>
      </c>
      <c r="R98" s="315">
        <v>0</v>
      </c>
      <c r="S98" s="315">
        <v>0</v>
      </c>
      <c r="T98" s="315">
        <v>0</v>
      </c>
      <c r="U98" s="315">
        <v>0</v>
      </c>
      <c r="V98" s="315">
        <v>1</v>
      </c>
      <c r="W98" s="315">
        <v>0</v>
      </c>
      <c r="X98" s="315">
        <v>0</v>
      </c>
      <c r="Y98" s="315">
        <v>0</v>
      </c>
      <c r="Z98" s="315">
        <v>0</v>
      </c>
      <c r="AA98" s="315">
        <v>1</v>
      </c>
      <c r="AB98" s="315">
        <v>0</v>
      </c>
      <c r="AC98" s="315">
        <v>0</v>
      </c>
      <c r="AD98" s="316">
        <v>0</v>
      </c>
      <c r="AE98" s="317">
        <v>0</v>
      </c>
    </row>
    <row r="99" spans="8:31" x14ac:dyDescent="0.3">
      <c r="I99" s="178" t="s">
        <v>2017</v>
      </c>
      <c r="J99" s="315">
        <v>0</v>
      </c>
      <c r="K99" s="315">
        <v>0</v>
      </c>
      <c r="L99" s="315">
        <v>0</v>
      </c>
      <c r="M99" s="315">
        <v>0</v>
      </c>
      <c r="N99" s="315">
        <v>0</v>
      </c>
      <c r="O99" s="315">
        <v>0</v>
      </c>
      <c r="P99" s="315">
        <v>0</v>
      </c>
      <c r="Q99" s="315">
        <v>0</v>
      </c>
      <c r="R99" s="315">
        <v>0</v>
      </c>
      <c r="S99" s="315">
        <v>0</v>
      </c>
      <c r="T99" s="315">
        <v>0</v>
      </c>
      <c r="U99" s="315">
        <v>0</v>
      </c>
      <c r="V99" s="315">
        <v>0</v>
      </c>
      <c r="W99" s="315">
        <v>0</v>
      </c>
      <c r="X99" s="315">
        <v>0</v>
      </c>
      <c r="Y99" s="315">
        <v>0</v>
      </c>
      <c r="Z99" s="315">
        <v>0</v>
      </c>
      <c r="AA99" s="315">
        <v>0</v>
      </c>
      <c r="AB99" s="315">
        <v>0</v>
      </c>
      <c r="AC99" s="315">
        <v>0</v>
      </c>
      <c r="AD99" s="316">
        <v>0</v>
      </c>
      <c r="AE99" s="317">
        <v>0</v>
      </c>
    </row>
    <row r="100" spans="8:31" x14ac:dyDescent="0.3">
      <c r="I100" s="178" t="s">
        <v>2019</v>
      </c>
      <c r="J100" s="315">
        <v>0</v>
      </c>
      <c r="K100" s="315">
        <v>0</v>
      </c>
      <c r="L100" s="315">
        <v>0</v>
      </c>
      <c r="M100" s="315">
        <v>0</v>
      </c>
      <c r="N100" s="315">
        <v>0</v>
      </c>
      <c r="O100" s="315">
        <v>0</v>
      </c>
      <c r="P100" s="315">
        <v>0</v>
      </c>
      <c r="Q100" s="315">
        <v>0</v>
      </c>
      <c r="R100" s="315">
        <v>0</v>
      </c>
      <c r="S100" s="315">
        <v>0</v>
      </c>
      <c r="T100" s="315">
        <v>0</v>
      </c>
      <c r="U100" s="315">
        <v>0</v>
      </c>
      <c r="V100" s="315">
        <v>0</v>
      </c>
      <c r="W100" s="315">
        <v>0</v>
      </c>
      <c r="X100" s="315">
        <v>0</v>
      </c>
      <c r="Y100" s="315">
        <v>0</v>
      </c>
      <c r="Z100" s="315">
        <v>0</v>
      </c>
      <c r="AA100" s="315">
        <v>0</v>
      </c>
      <c r="AB100" s="315">
        <v>0</v>
      </c>
      <c r="AC100" s="315">
        <v>0</v>
      </c>
      <c r="AD100" s="316">
        <v>0</v>
      </c>
      <c r="AE100" s="317">
        <v>0</v>
      </c>
    </row>
    <row r="101" spans="8:31" ht="15" thickBot="1" x14ac:dyDescent="0.35">
      <c r="I101" s="183" t="s">
        <v>2022</v>
      </c>
      <c r="J101" s="315">
        <v>0</v>
      </c>
      <c r="K101" s="315">
        <v>0</v>
      </c>
      <c r="L101" s="315">
        <v>0</v>
      </c>
      <c r="M101" s="315">
        <v>0</v>
      </c>
      <c r="N101" s="315">
        <v>0</v>
      </c>
      <c r="O101" s="315">
        <v>0</v>
      </c>
      <c r="P101" s="315">
        <v>0</v>
      </c>
      <c r="Q101" s="315">
        <v>0</v>
      </c>
      <c r="R101" s="315">
        <v>0</v>
      </c>
      <c r="S101" s="315">
        <v>0</v>
      </c>
      <c r="T101" s="315">
        <v>0</v>
      </c>
      <c r="U101" s="315">
        <v>0</v>
      </c>
      <c r="V101" s="315">
        <v>0</v>
      </c>
      <c r="W101" s="315">
        <v>0</v>
      </c>
      <c r="X101" s="315">
        <v>0</v>
      </c>
      <c r="Y101" s="315">
        <v>0</v>
      </c>
      <c r="Z101" s="315">
        <v>0</v>
      </c>
      <c r="AA101" s="315">
        <v>0</v>
      </c>
      <c r="AB101" s="315">
        <v>0</v>
      </c>
      <c r="AC101" s="315">
        <v>0</v>
      </c>
      <c r="AD101" s="316">
        <v>0</v>
      </c>
      <c r="AE101" s="318">
        <v>0</v>
      </c>
    </row>
    <row r="102" spans="8:31" ht="15" thickBot="1" x14ac:dyDescent="0.35">
      <c r="H102" s="11">
        <f>SUM(J102:AE102)</f>
        <v>80801</v>
      </c>
      <c r="J102" s="319">
        <f>SUM(J89:J101)</f>
        <v>833</v>
      </c>
      <c r="K102" s="320">
        <f t="shared" ref="K102:AE102" si="18">SUM(K89:K101)</f>
        <v>73248</v>
      </c>
      <c r="L102" s="320">
        <f t="shared" si="18"/>
        <v>48</v>
      </c>
      <c r="M102" s="320">
        <f t="shared" si="18"/>
        <v>37</v>
      </c>
      <c r="N102" s="320">
        <f t="shared" si="18"/>
        <v>5826</v>
      </c>
      <c r="O102" s="320">
        <f t="shared" si="18"/>
        <v>10</v>
      </c>
      <c r="P102" s="320">
        <f t="shared" si="18"/>
        <v>712</v>
      </c>
      <c r="Q102" s="320">
        <f t="shared" si="18"/>
        <v>61</v>
      </c>
      <c r="R102" s="320">
        <f t="shared" si="18"/>
        <v>14</v>
      </c>
      <c r="S102" s="320">
        <f t="shared" si="18"/>
        <v>6</v>
      </c>
      <c r="T102" s="320">
        <f t="shared" si="18"/>
        <v>0</v>
      </c>
      <c r="U102" s="320">
        <f t="shared" si="18"/>
        <v>0</v>
      </c>
      <c r="V102" s="320">
        <f t="shared" si="18"/>
        <v>2</v>
      </c>
      <c r="W102" s="320">
        <f t="shared" si="18"/>
        <v>0</v>
      </c>
      <c r="X102" s="320">
        <f t="shared" si="18"/>
        <v>2</v>
      </c>
      <c r="Y102" s="320">
        <f t="shared" si="18"/>
        <v>0</v>
      </c>
      <c r="Z102" s="320">
        <f t="shared" si="18"/>
        <v>0</v>
      </c>
      <c r="AA102" s="320">
        <f t="shared" si="18"/>
        <v>1</v>
      </c>
      <c r="AB102" s="320">
        <f t="shared" si="18"/>
        <v>1</v>
      </c>
      <c r="AC102" s="320">
        <f t="shared" si="18"/>
        <v>0</v>
      </c>
      <c r="AD102" s="320">
        <f t="shared" si="18"/>
        <v>0</v>
      </c>
      <c r="AE102" s="321">
        <f t="shared" si="18"/>
        <v>0</v>
      </c>
    </row>
    <row r="103" spans="8:31" x14ac:dyDescent="0.3"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8:31" x14ac:dyDescent="0.3"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8:31" x14ac:dyDescent="0.3"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8:31" ht="21.6" thickBot="1" x14ac:dyDescent="0.45">
      <c r="I106" s="174" t="s">
        <v>2305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8:31" x14ac:dyDescent="0.3">
      <c r="I107" s="311"/>
      <c r="J107" s="312" t="s">
        <v>1968</v>
      </c>
      <c r="K107" s="312" t="s">
        <v>1969</v>
      </c>
      <c r="L107" s="312" t="s">
        <v>1970</v>
      </c>
      <c r="M107" s="312" t="s">
        <v>1971</v>
      </c>
      <c r="N107" s="312" t="s">
        <v>1972</v>
      </c>
      <c r="O107" s="312" t="s">
        <v>1973</v>
      </c>
      <c r="P107" s="312" t="s">
        <v>1974</v>
      </c>
      <c r="Q107" s="312" t="s">
        <v>1975</v>
      </c>
      <c r="R107" s="312" t="s">
        <v>1976</v>
      </c>
      <c r="S107" s="312" t="s">
        <v>1977</v>
      </c>
      <c r="T107" s="312" t="s">
        <v>1978</v>
      </c>
      <c r="U107" s="312" t="s">
        <v>1979</v>
      </c>
      <c r="V107" s="312" t="s">
        <v>1980</v>
      </c>
      <c r="W107" s="312" t="s">
        <v>1981</v>
      </c>
      <c r="X107" s="312" t="s">
        <v>1982</v>
      </c>
      <c r="Y107" s="312" t="s">
        <v>1983</v>
      </c>
      <c r="Z107" s="312" t="s">
        <v>1984</v>
      </c>
      <c r="AA107" s="312" t="s">
        <v>1985</v>
      </c>
      <c r="AB107" s="312" t="s">
        <v>1986</v>
      </c>
      <c r="AC107" s="312" t="s">
        <v>1987</v>
      </c>
      <c r="AD107" s="313" t="s">
        <v>1988</v>
      </c>
      <c r="AE107" s="314" t="s">
        <v>2304</v>
      </c>
    </row>
    <row r="108" spans="8:31" x14ac:dyDescent="0.3">
      <c r="I108" s="178">
        <v>250</v>
      </c>
      <c r="J108" s="315">
        <v>0</v>
      </c>
      <c r="K108" s="315">
        <v>0</v>
      </c>
      <c r="L108" s="315">
        <v>0</v>
      </c>
      <c r="M108" s="315">
        <v>0</v>
      </c>
      <c r="N108" s="315">
        <v>0</v>
      </c>
      <c r="O108" s="315">
        <v>0</v>
      </c>
      <c r="P108" s="315">
        <v>0</v>
      </c>
      <c r="Q108" s="315">
        <v>0</v>
      </c>
      <c r="R108" s="315">
        <v>0</v>
      </c>
      <c r="S108" s="315">
        <v>0</v>
      </c>
      <c r="T108" s="315">
        <v>0</v>
      </c>
      <c r="U108" s="315">
        <v>0</v>
      </c>
      <c r="V108" s="315">
        <v>0</v>
      </c>
      <c r="W108" s="315">
        <v>0</v>
      </c>
      <c r="X108" s="315">
        <v>0</v>
      </c>
      <c r="Y108" s="315">
        <v>0</v>
      </c>
      <c r="Z108" s="315">
        <v>0</v>
      </c>
      <c r="AA108" s="315">
        <v>0</v>
      </c>
      <c r="AB108" s="315">
        <v>0</v>
      </c>
      <c r="AC108" s="315">
        <v>0</v>
      </c>
      <c r="AD108" s="316">
        <v>0</v>
      </c>
      <c r="AE108" s="317">
        <v>0</v>
      </c>
    </row>
    <row r="109" spans="8:31" x14ac:dyDescent="0.3">
      <c r="I109" s="178">
        <v>630</v>
      </c>
      <c r="J109" s="315">
        <v>0</v>
      </c>
      <c r="K109" s="315">
        <v>0</v>
      </c>
      <c r="L109" s="315">
        <v>0</v>
      </c>
      <c r="M109" s="315">
        <v>0</v>
      </c>
      <c r="N109" s="315">
        <v>0</v>
      </c>
      <c r="O109" s="315">
        <v>0</v>
      </c>
      <c r="P109" s="315">
        <v>0</v>
      </c>
      <c r="Q109" s="315">
        <v>0</v>
      </c>
      <c r="R109" s="315">
        <v>0</v>
      </c>
      <c r="S109" s="315">
        <v>0</v>
      </c>
      <c r="T109" s="315">
        <v>0</v>
      </c>
      <c r="U109" s="315">
        <v>0</v>
      </c>
      <c r="V109" s="315">
        <v>0</v>
      </c>
      <c r="W109" s="315">
        <v>0</v>
      </c>
      <c r="X109" s="315">
        <v>0</v>
      </c>
      <c r="Y109" s="315">
        <v>0</v>
      </c>
      <c r="Z109" s="315">
        <v>0</v>
      </c>
      <c r="AA109" s="315">
        <v>0</v>
      </c>
      <c r="AB109" s="315">
        <v>0</v>
      </c>
      <c r="AC109" s="315">
        <v>0</v>
      </c>
      <c r="AD109" s="316">
        <v>0</v>
      </c>
      <c r="AE109" s="317">
        <v>0</v>
      </c>
    </row>
    <row r="110" spans="8:31" x14ac:dyDescent="0.3">
      <c r="I110" s="178">
        <v>1000</v>
      </c>
      <c r="J110" s="315">
        <v>0</v>
      </c>
      <c r="K110" s="315">
        <v>0</v>
      </c>
      <c r="L110" s="315">
        <v>0</v>
      </c>
      <c r="M110" s="315">
        <v>0</v>
      </c>
      <c r="N110" s="315">
        <v>0</v>
      </c>
      <c r="O110" s="315">
        <v>0</v>
      </c>
      <c r="P110" s="315">
        <v>0</v>
      </c>
      <c r="Q110" s="315">
        <v>0</v>
      </c>
      <c r="R110" s="315">
        <v>0</v>
      </c>
      <c r="S110" s="315">
        <v>0</v>
      </c>
      <c r="T110" s="315">
        <v>0</v>
      </c>
      <c r="U110" s="315">
        <v>0</v>
      </c>
      <c r="V110" s="315">
        <v>0</v>
      </c>
      <c r="W110" s="315">
        <v>0</v>
      </c>
      <c r="X110" s="315">
        <v>0</v>
      </c>
      <c r="Y110" s="315">
        <v>0</v>
      </c>
      <c r="Z110" s="315">
        <v>0</v>
      </c>
      <c r="AA110" s="315">
        <v>0</v>
      </c>
      <c r="AB110" s="315">
        <v>0</v>
      </c>
      <c r="AC110" s="315">
        <v>0</v>
      </c>
      <c r="AD110" s="316">
        <v>0</v>
      </c>
      <c r="AE110" s="317">
        <v>0</v>
      </c>
    </row>
    <row r="111" spans="8:31" x14ac:dyDescent="0.3">
      <c r="I111" s="178" t="s">
        <v>1999</v>
      </c>
      <c r="J111" s="315">
        <v>0</v>
      </c>
      <c r="K111" s="315">
        <v>0</v>
      </c>
      <c r="L111" s="315">
        <v>0</v>
      </c>
      <c r="M111" s="315">
        <v>0</v>
      </c>
      <c r="N111" s="315">
        <v>4</v>
      </c>
      <c r="O111" s="315">
        <v>1</v>
      </c>
      <c r="P111" s="315">
        <v>0</v>
      </c>
      <c r="Q111" s="315">
        <v>2</v>
      </c>
      <c r="R111" s="315">
        <v>0</v>
      </c>
      <c r="S111" s="315">
        <v>0</v>
      </c>
      <c r="T111" s="315">
        <v>0</v>
      </c>
      <c r="U111" s="315">
        <v>0</v>
      </c>
      <c r="V111" s="315">
        <v>0</v>
      </c>
      <c r="W111" s="315">
        <v>0</v>
      </c>
      <c r="X111" s="315">
        <v>0</v>
      </c>
      <c r="Y111" s="315">
        <v>0</v>
      </c>
      <c r="Z111" s="315">
        <v>0</v>
      </c>
      <c r="AA111" s="315">
        <v>0</v>
      </c>
      <c r="AB111" s="315">
        <v>0</v>
      </c>
      <c r="AC111" s="315">
        <v>0</v>
      </c>
      <c r="AD111" s="316">
        <v>0</v>
      </c>
      <c r="AE111" s="317">
        <v>0</v>
      </c>
    </row>
    <row r="112" spans="8:31" x14ac:dyDescent="0.3">
      <c r="I112" s="178" t="s">
        <v>2001</v>
      </c>
      <c r="J112" s="315">
        <v>0</v>
      </c>
      <c r="K112" s="315">
        <v>0</v>
      </c>
      <c r="L112" s="315">
        <v>0</v>
      </c>
      <c r="M112" s="315">
        <v>0</v>
      </c>
      <c r="N112" s="315">
        <v>5</v>
      </c>
      <c r="O112" s="315">
        <v>5</v>
      </c>
      <c r="P112" s="315">
        <v>0</v>
      </c>
      <c r="Q112" s="315">
        <v>3</v>
      </c>
      <c r="R112" s="315">
        <v>1</v>
      </c>
      <c r="S112" s="315">
        <v>3</v>
      </c>
      <c r="T112" s="315">
        <v>0</v>
      </c>
      <c r="U112" s="315">
        <v>0</v>
      </c>
      <c r="V112" s="315">
        <v>0</v>
      </c>
      <c r="W112" s="315">
        <v>0</v>
      </c>
      <c r="X112" s="315">
        <v>1</v>
      </c>
      <c r="Y112" s="315">
        <v>0</v>
      </c>
      <c r="Z112" s="315">
        <v>0</v>
      </c>
      <c r="AA112" s="315">
        <v>0</v>
      </c>
      <c r="AB112" s="315">
        <v>0</v>
      </c>
      <c r="AC112" s="315">
        <v>0</v>
      </c>
      <c r="AD112" s="316">
        <v>0</v>
      </c>
      <c r="AE112" s="317">
        <v>0</v>
      </c>
    </row>
    <row r="113" spans="8:31" x14ac:dyDescent="0.3">
      <c r="I113" s="178" t="s">
        <v>2003</v>
      </c>
      <c r="J113" s="315">
        <v>0</v>
      </c>
      <c r="K113" s="315">
        <v>0</v>
      </c>
      <c r="L113" s="315">
        <v>0</v>
      </c>
      <c r="M113" s="315">
        <v>0</v>
      </c>
      <c r="N113" s="315">
        <v>5</v>
      </c>
      <c r="O113" s="315">
        <v>4</v>
      </c>
      <c r="P113" s="315">
        <v>0</v>
      </c>
      <c r="Q113" s="315">
        <v>7</v>
      </c>
      <c r="R113" s="315">
        <v>2</v>
      </c>
      <c r="S113" s="315">
        <v>1</v>
      </c>
      <c r="T113" s="315">
        <v>0</v>
      </c>
      <c r="U113" s="315">
        <v>0</v>
      </c>
      <c r="V113" s="315">
        <v>0</v>
      </c>
      <c r="W113" s="315">
        <v>0</v>
      </c>
      <c r="X113" s="315">
        <v>3</v>
      </c>
      <c r="Y113" s="315">
        <v>0</v>
      </c>
      <c r="Z113" s="315">
        <v>0</v>
      </c>
      <c r="AA113" s="315">
        <v>0</v>
      </c>
      <c r="AB113" s="315">
        <v>0</v>
      </c>
      <c r="AC113" s="315">
        <v>0</v>
      </c>
      <c r="AD113" s="316">
        <v>0</v>
      </c>
      <c r="AE113" s="317">
        <v>0</v>
      </c>
    </row>
    <row r="114" spans="8:31" x14ac:dyDescent="0.3">
      <c r="I114" s="178" t="s">
        <v>2006</v>
      </c>
      <c r="J114" s="315">
        <v>0</v>
      </c>
      <c r="K114" s="315">
        <v>0</v>
      </c>
      <c r="L114" s="315">
        <v>0</v>
      </c>
      <c r="M114" s="315">
        <v>0</v>
      </c>
      <c r="N114" s="315">
        <v>3</v>
      </c>
      <c r="O114" s="315">
        <v>5</v>
      </c>
      <c r="P114" s="315">
        <v>0</v>
      </c>
      <c r="Q114" s="315">
        <v>0</v>
      </c>
      <c r="R114" s="315">
        <v>0</v>
      </c>
      <c r="S114" s="315">
        <v>0</v>
      </c>
      <c r="T114" s="315">
        <v>0</v>
      </c>
      <c r="U114" s="315">
        <v>0</v>
      </c>
      <c r="V114" s="315">
        <v>0</v>
      </c>
      <c r="W114" s="315">
        <v>0</v>
      </c>
      <c r="X114" s="315">
        <v>0</v>
      </c>
      <c r="Y114" s="315">
        <v>0</v>
      </c>
      <c r="Z114" s="315">
        <v>0</v>
      </c>
      <c r="AA114" s="315">
        <v>0</v>
      </c>
      <c r="AB114" s="315">
        <v>0</v>
      </c>
      <c r="AC114" s="315">
        <v>0</v>
      </c>
      <c r="AD114" s="316">
        <v>0</v>
      </c>
      <c r="AE114" s="317">
        <v>0</v>
      </c>
    </row>
    <row r="115" spans="8:31" x14ac:dyDescent="0.3">
      <c r="I115" s="178" t="s">
        <v>2009</v>
      </c>
      <c r="J115" s="315">
        <v>0</v>
      </c>
      <c r="K115" s="315">
        <v>0</v>
      </c>
      <c r="L115" s="315">
        <v>0</v>
      </c>
      <c r="M115" s="315">
        <v>0</v>
      </c>
      <c r="N115" s="315">
        <v>0</v>
      </c>
      <c r="O115" s="315">
        <v>0</v>
      </c>
      <c r="P115" s="315">
        <v>0</v>
      </c>
      <c r="Q115" s="315">
        <v>7</v>
      </c>
      <c r="R115" s="315">
        <v>0</v>
      </c>
      <c r="S115" s="315">
        <v>3</v>
      </c>
      <c r="T115" s="315">
        <v>0</v>
      </c>
      <c r="U115" s="315">
        <v>0</v>
      </c>
      <c r="V115" s="315">
        <v>2</v>
      </c>
      <c r="W115" s="315">
        <v>0</v>
      </c>
      <c r="X115" s="315">
        <v>1</v>
      </c>
      <c r="Y115" s="315">
        <v>0</v>
      </c>
      <c r="Z115" s="315">
        <v>0</v>
      </c>
      <c r="AA115" s="315">
        <v>0</v>
      </c>
      <c r="AB115" s="315">
        <v>1</v>
      </c>
      <c r="AC115" s="315">
        <v>0</v>
      </c>
      <c r="AD115" s="316">
        <v>2</v>
      </c>
      <c r="AE115" s="317">
        <v>0</v>
      </c>
    </row>
    <row r="116" spans="8:31" x14ac:dyDescent="0.3">
      <c r="I116" s="178" t="s">
        <v>2011</v>
      </c>
      <c r="J116" s="315">
        <v>0</v>
      </c>
      <c r="K116" s="315">
        <v>0</v>
      </c>
      <c r="L116" s="315">
        <v>0</v>
      </c>
      <c r="M116" s="315">
        <v>0</v>
      </c>
      <c r="N116" s="315">
        <v>0</v>
      </c>
      <c r="O116" s="315">
        <v>0</v>
      </c>
      <c r="P116" s="315">
        <v>0</v>
      </c>
      <c r="Q116" s="315">
        <v>0</v>
      </c>
      <c r="R116" s="315">
        <v>0</v>
      </c>
      <c r="S116" s="315">
        <v>0</v>
      </c>
      <c r="T116" s="315">
        <v>0</v>
      </c>
      <c r="U116" s="315">
        <v>0</v>
      </c>
      <c r="V116" s="315">
        <v>0</v>
      </c>
      <c r="W116" s="315">
        <v>0</v>
      </c>
      <c r="X116" s="315">
        <v>0</v>
      </c>
      <c r="Y116" s="315">
        <v>0</v>
      </c>
      <c r="Z116" s="315">
        <v>0</v>
      </c>
      <c r="AA116" s="315">
        <v>0</v>
      </c>
      <c r="AB116" s="315">
        <v>0</v>
      </c>
      <c r="AC116" s="315">
        <v>0</v>
      </c>
      <c r="AD116" s="316">
        <v>0</v>
      </c>
      <c r="AE116" s="317">
        <v>0</v>
      </c>
    </row>
    <row r="117" spans="8:31" x14ac:dyDescent="0.3">
      <c r="I117" s="178" t="s">
        <v>2014</v>
      </c>
      <c r="J117" s="315">
        <v>0</v>
      </c>
      <c r="K117" s="315">
        <v>0</v>
      </c>
      <c r="L117" s="315">
        <v>0</v>
      </c>
      <c r="M117" s="315">
        <v>0</v>
      </c>
      <c r="N117" s="315">
        <v>2</v>
      </c>
      <c r="O117" s="315">
        <v>1</v>
      </c>
      <c r="P117" s="315">
        <v>0</v>
      </c>
      <c r="Q117" s="315">
        <v>1</v>
      </c>
      <c r="R117" s="315">
        <v>0</v>
      </c>
      <c r="S117" s="315">
        <v>1</v>
      </c>
      <c r="T117" s="315">
        <v>0</v>
      </c>
      <c r="U117" s="315">
        <v>0</v>
      </c>
      <c r="V117" s="315">
        <v>0</v>
      </c>
      <c r="W117" s="315">
        <v>0</v>
      </c>
      <c r="X117" s="315">
        <v>2</v>
      </c>
      <c r="Y117" s="315">
        <v>0</v>
      </c>
      <c r="Z117" s="315">
        <v>1</v>
      </c>
      <c r="AA117" s="315">
        <v>1</v>
      </c>
      <c r="AB117" s="315">
        <v>0</v>
      </c>
      <c r="AC117" s="315">
        <v>0</v>
      </c>
      <c r="AD117" s="316">
        <v>1</v>
      </c>
      <c r="AE117" s="317">
        <v>0</v>
      </c>
    </row>
    <row r="118" spans="8:31" x14ac:dyDescent="0.3">
      <c r="I118" s="178" t="s">
        <v>2017</v>
      </c>
      <c r="J118" s="315">
        <v>0</v>
      </c>
      <c r="K118" s="315">
        <v>0</v>
      </c>
      <c r="L118" s="315">
        <v>0</v>
      </c>
      <c r="M118" s="315">
        <v>0</v>
      </c>
      <c r="N118" s="315">
        <v>0</v>
      </c>
      <c r="O118" s="315">
        <v>0</v>
      </c>
      <c r="P118" s="315">
        <v>0</v>
      </c>
      <c r="Q118" s="315">
        <v>0</v>
      </c>
      <c r="R118" s="315">
        <v>0</v>
      </c>
      <c r="S118" s="315">
        <v>0</v>
      </c>
      <c r="T118" s="315">
        <v>0</v>
      </c>
      <c r="U118" s="315">
        <v>0</v>
      </c>
      <c r="V118" s="315">
        <v>1</v>
      </c>
      <c r="W118" s="315">
        <v>0</v>
      </c>
      <c r="X118" s="315">
        <v>0</v>
      </c>
      <c r="Y118" s="315">
        <v>0</v>
      </c>
      <c r="Z118" s="315">
        <v>0</v>
      </c>
      <c r="AA118" s="315">
        <v>0</v>
      </c>
      <c r="AB118" s="315">
        <v>0</v>
      </c>
      <c r="AC118" s="315">
        <v>0</v>
      </c>
      <c r="AD118" s="316">
        <v>0</v>
      </c>
      <c r="AE118" s="317">
        <v>0</v>
      </c>
    </row>
    <row r="119" spans="8:31" x14ac:dyDescent="0.3">
      <c r="I119" s="178" t="s">
        <v>2019</v>
      </c>
      <c r="J119" s="315">
        <v>0</v>
      </c>
      <c r="K119" s="315">
        <v>0</v>
      </c>
      <c r="L119" s="315">
        <v>0</v>
      </c>
      <c r="M119" s="315">
        <v>0</v>
      </c>
      <c r="N119" s="315">
        <v>0</v>
      </c>
      <c r="O119" s="315">
        <v>0</v>
      </c>
      <c r="P119" s="315">
        <v>0</v>
      </c>
      <c r="Q119" s="315">
        <v>0</v>
      </c>
      <c r="R119" s="315">
        <v>0</v>
      </c>
      <c r="S119" s="315">
        <v>0</v>
      </c>
      <c r="T119" s="315">
        <v>0</v>
      </c>
      <c r="U119" s="315">
        <v>0</v>
      </c>
      <c r="V119" s="315">
        <v>0</v>
      </c>
      <c r="W119" s="315">
        <v>0</v>
      </c>
      <c r="X119" s="315">
        <v>0</v>
      </c>
      <c r="Y119" s="315">
        <v>0</v>
      </c>
      <c r="Z119" s="315">
        <v>0</v>
      </c>
      <c r="AA119" s="315">
        <v>0</v>
      </c>
      <c r="AB119" s="315">
        <v>0</v>
      </c>
      <c r="AC119" s="315">
        <v>0</v>
      </c>
      <c r="AD119" s="316">
        <v>0</v>
      </c>
      <c r="AE119" s="317">
        <v>0</v>
      </c>
    </row>
    <row r="120" spans="8:31" ht="15" thickBot="1" x14ac:dyDescent="0.35">
      <c r="I120" s="183" t="s">
        <v>2022</v>
      </c>
      <c r="J120" s="315">
        <v>0</v>
      </c>
      <c r="K120" s="315">
        <v>0</v>
      </c>
      <c r="L120" s="315">
        <v>0</v>
      </c>
      <c r="M120" s="315">
        <v>0</v>
      </c>
      <c r="N120" s="315">
        <v>0</v>
      </c>
      <c r="O120" s="315">
        <v>0</v>
      </c>
      <c r="P120" s="315">
        <v>0</v>
      </c>
      <c r="Q120" s="315">
        <v>0</v>
      </c>
      <c r="R120" s="315">
        <v>0</v>
      </c>
      <c r="S120" s="315">
        <v>0</v>
      </c>
      <c r="T120" s="315">
        <v>0</v>
      </c>
      <c r="U120" s="315">
        <v>0</v>
      </c>
      <c r="V120" s="315">
        <v>0</v>
      </c>
      <c r="W120" s="315">
        <v>0</v>
      </c>
      <c r="X120" s="315">
        <v>0</v>
      </c>
      <c r="Y120" s="315">
        <v>0</v>
      </c>
      <c r="Z120" s="315">
        <v>0</v>
      </c>
      <c r="AA120" s="315">
        <v>0</v>
      </c>
      <c r="AB120" s="315">
        <v>0</v>
      </c>
      <c r="AC120" s="315">
        <v>0</v>
      </c>
      <c r="AD120" s="316">
        <v>0</v>
      </c>
      <c r="AE120" s="318">
        <v>0</v>
      </c>
    </row>
    <row r="121" spans="8:31" ht="15" thickBot="1" x14ac:dyDescent="0.35">
      <c r="H121" s="11">
        <f>SUM(J121:AE121)</f>
        <v>82</v>
      </c>
      <c r="J121" s="319">
        <f>SUM(J108:J120)</f>
        <v>0</v>
      </c>
      <c r="K121" s="320">
        <f t="shared" ref="K121:AE121" si="19">SUM(K108:K120)</f>
        <v>0</v>
      </c>
      <c r="L121" s="320">
        <f t="shared" si="19"/>
        <v>0</v>
      </c>
      <c r="M121" s="320">
        <f t="shared" si="19"/>
        <v>0</v>
      </c>
      <c r="N121" s="320">
        <f t="shared" si="19"/>
        <v>19</v>
      </c>
      <c r="O121" s="320">
        <f t="shared" si="19"/>
        <v>16</v>
      </c>
      <c r="P121" s="320">
        <f t="shared" si="19"/>
        <v>0</v>
      </c>
      <c r="Q121" s="320">
        <f t="shared" si="19"/>
        <v>20</v>
      </c>
      <c r="R121" s="320">
        <f t="shared" si="19"/>
        <v>3</v>
      </c>
      <c r="S121" s="320">
        <f t="shared" si="19"/>
        <v>8</v>
      </c>
      <c r="T121" s="320">
        <f t="shared" si="19"/>
        <v>0</v>
      </c>
      <c r="U121" s="320">
        <f t="shared" si="19"/>
        <v>0</v>
      </c>
      <c r="V121" s="320">
        <f t="shared" si="19"/>
        <v>3</v>
      </c>
      <c r="W121" s="320">
        <f t="shared" si="19"/>
        <v>0</v>
      </c>
      <c r="X121" s="320">
        <f t="shared" si="19"/>
        <v>7</v>
      </c>
      <c r="Y121" s="320">
        <f t="shared" si="19"/>
        <v>0</v>
      </c>
      <c r="Z121" s="320">
        <f t="shared" si="19"/>
        <v>1</v>
      </c>
      <c r="AA121" s="320">
        <f t="shared" si="19"/>
        <v>1</v>
      </c>
      <c r="AB121" s="320">
        <f t="shared" si="19"/>
        <v>1</v>
      </c>
      <c r="AC121" s="320">
        <f t="shared" si="19"/>
        <v>0</v>
      </c>
      <c r="AD121" s="320">
        <f t="shared" si="19"/>
        <v>3</v>
      </c>
      <c r="AE121" s="321">
        <f t="shared" si="19"/>
        <v>0</v>
      </c>
    </row>
    <row r="122" spans="8:31" x14ac:dyDescent="0.3"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8:31" x14ac:dyDescent="0.3"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8:31" x14ac:dyDescent="0.3"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8:31" ht="21.6" thickBot="1" x14ac:dyDescent="0.45">
      <c r="I125" s="174" t="s">
        <v>2436</v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8:31" x14ac:dyDescent="0.3">
      <c r="I126" s="311"/>
      <c r="J126" s="312" t="s">
        <v>1968</v>
      </c>
      <c r="K126" s="312" t="s">
        <v>1969</v>
      </c>
      <c r="L126" s="312" t="s">
        <v>1970</v>
      </c>
      <c r="M126" s="312" t="s">
        <v>1971</v>
      </c>
      <c r="N126" s="312" t="s">
        <v>1972</v>
      </c>
      <c r="O126" s="312" t="s">
        <v>1973</v>
      </c>
      <c r="P126" s="312" t="s">
        <v>1974</v>
      </c>
      <c r="Q126" s="312" t="s">
        <v>1975</v>
      </c>
      <c r="R126" s="312" t="s">
        <v>1976</v>
      </c>
      <c r="S126" s="312" t="s">
        <v>1977</v>
      </c>
      <c r="T126" s="312" t="s">
        <v>1978</v>
      </c>
      <c r="U126" s="312" t="s">
        <v>1979</v>
      </c>
      <c r="V126" s="312" t="s">
        <v>1980</v>
      </c>
      <c r="W126" s="312" t="s">
        <v>1981</v>
      </c>
      <c r="X126" s="312" t="s">
        <v>1982</v>
      </c>
      <c r="Y126" s="312" t="s">
        <v>1983</v>
      </c>
      <c r="Z126" s="312" t="s">
        <v>1984</v>
      </c>
      <c r="AA126" s="312" t="s">
        <v>1985</v>
      </c>
      <c r="AB126" s="312" t="s">
        <v>1986</v>
      </c>
      <c r="AC126" s="312" t="s">
        <v>1987</v>
      </c>
      <c r="AD126" s="313" t="s">
        <v>1988</v>
      </c>
      <c r="AE126" s="314" t="s">
        <v>2304</v>
      </c>
    </row>
    <row r="127" spans="8:31" x14ac:dyDescent="0.3">
      <c r="I127" s="178">
        <v>250</v>
      </c>
      <c r="J127" s="315">
        <v>0</v>
      </c>
      <c r="K127" s="315">
        <v>0</v>
      </c>
      <c r="L127" s="315">
        <v>0</v>
      </c>
      <c r="M127" s="315">
        <v>0</v>
      </c>
      <c r="N127" s="315">
        <v>0</v>
      </c>
      <c r="O127" s="315">
        <v>0</v>
      </c>
      <c r="P127" s="315">
        <v>0</v>
      </c>
      <c r="Q127" s="315">
        <v>0</v>
      </c>
      <c r="R127" s="315">
        <v>0</v>
      </c>
      <c r="S127" s="315">
        <v>0</v>
      </c>
      <c r="T127" s="315">
        <v>0</v>
      </c>
      <c r="U127" s="315">
        <v>0</v>
      </c>
      <c r="V127" s="315">
        <v>0</v>
      </c>
      <c r="W127" s="315">
        <v>0</v>
      </c>
      <c r="X127" s="315">
        <v>0</v>
      </c>
      <c r="Y127" s="315">
        <v>0</v>
      </c>
      <c r="Z127" s="315">
        <v>0</v>
      </c>
      <c r="AA127" s="315">
        <v>0</v>
      </c>
      <c r="AB127" s="315">
        <v>0</v>
      </c>
      <c r="AC127" s="315">
        <v>0</v>
      </c>
      <c r="AD127" s="316">
        <v>0</v>
      </c>
      <c r="AE127" s="317">
        <v>0</v>
      </c>
    </row>
    <row r="128" spans="8:31" x14ac:dyDescent="0.3">
      <c r="I128" s="178">
        <v>630</v>
      </c>
      <c r="J128" s="315">
        <v>0</v>
      </c>
      <c r="K128" s="315">
        <v>0</v>
      </c>
      <c r="L128" s="315">
        <v>0</v>
      </c>
      <c r="M128" s="315">
        <v>0</v>
      </c>
      <c r="N128" s="315">
        <v>0</v>
      </c>
      <c r="O128" s="315">
        <v>0</v>
      </c>
      <c r="P128" s="315">
        <v>0</v>
      </c>
      <c r="Q128" s="315">
        <v>0</v>
      </c>
      <c r="R128" s="315">
        <v>0</v>
      </c>
      <c r="S128" s="315">
        <v>0</v>
      </c>
      <c r="T128" s="315">
        <v>0</v>
      </c>
      <c r="U128" s="315">
        <v>0</v>
      </c>
      <c r="V128" s="315">
        <v>0</v>
      </c>
      <c r="W128" s="315">
        <v>0</v>
      </c>
      <c r="X128" s="315">
        <v>0</v>
      </c>
      <c r="Y128" s="315">
        <v>0</v>
      </c>
      <c r="Z128" s="315">
        <v>0</v>
      </c>
      <c r="AA128" s="315">
        <v>0</v>
      </c>
      <c r="AB128" s="315">
        <v>0</v>
      </c>
      <c r="AC128" s="315">
        <v>0</v>
      </c>
      <c r="AD128" s="316">
        <v>0</v>
      </c>
      <c r="AE128" s="317">
        <v>0</v>
      </c>
    </row>
    <row r="129" spans="8:31" x14ac:dyDescent="0.3">
      <c r="I129" s="178">
        <v>1000</v>
      </c>
      <c r="J129" s="315">
        <v>0</v>
      </c>
      <c r="K129" s="315">
        <v>0</v>
      </c>
      <c r="L129" s="315">
        <v>0</v>
      </c>
      <c r="M129" s="315">
        <v>0</v>
      </c>
      <c r="N129" s="315">
        <v>0</v>
      </c>
      <c r="O129" s="315">
        <v>0</v>
      </c>
      <c r="P129" s="315">
        <v>0</v>
      </c>
      <c r="Q129" s="315">
        <v>0</v>
      </c>
      <c r="R129" s="315">
        <v>0</v>
      </c>
      <c r="S129" s="315">
        <v>0</v>
      </c>
      <c r="T129" s="315">
        <v>0</v>
      </c>
      <c r="U129" s="315">
        <v>0</v>
      </c>
      <c r="V129" s="315">
        <v>0</v>
      </c>
      <c r="W129" s="315">
        <v>0</v>
      </c>
      <c r="X129" s="315">
        <v>0</v>
      </c>
      <c r="Y129" s="315">
        <v>0</v>
      </c>
      <c r="Z129" s="315">
        <v>0</v>
      </c>
      <c r="AA129" s="315">
        <v>0</v>
      </c>
      <c r="AB129" s="315">
        <v>0</v>
      </c>
      <c r="AC129" s="315">
        <v>0</v>
      </c>
      <c r="AD129" s="316">
        <v>0</v>
      </c>
      <c r="AE129" s="317">
        <v>0</v>
      </c>
    </row>
    <row r="130" spans="8:31" x14ac:dyDescent="0.3">
      <c r="I130" s="178" t="s">
        <v>1999</v>
      </c>
      <c r="J130" s="315">
        <v>0</v>
      </c>
      <c r="K130" s="315">
        <v>0</v>
      </c>
      <c r="L130" s="315">
        <v>0</v>
      </c>
      <c r="M130" s="315">
        <v>0</v>
      </c>
      <c r="N130" s="315">
        <v>0</v>
      </c>
      <c r="O130" s="315">
        <v>0</v>
      </c>
      <c r="P130" s="315">
        <v>0</v>
      </c>
      <c r="Q130" s="315">
        <v>0</v>
      </c>
      <c r="R130" s="315">
        <v>0</v>
      </c>
      <c r="S130" s="315">
        <v>0</v>
      </c>
      <c r="T130" s="315">
        <v>0</v>
      </c>
      <c r="U130" s="315">
        <v>0</v>
      </c>
      <c r="V130" s="315">
        <v>0</v>
      </c>
      <c r="W130" s="315">
        <v>0</v>
      </c>
      <c r="X130" s="315">
        <v>0</v>
      </c>
      <c r="Y130" s="315">
        <v>0</v>
      </c>
      <c r="Z130" s="315">
        <v>0</v>
      </c>
      <c r="AA130" s="315">
        <v>0</v>
      </c>
      <c r="AB130" s="315">
        <v>0</v>
      </c>
      <c r="AC130" s="315">
        <v>0</v>
      </c>
      <c r="AD130" s="316">
        <v>0</v>
      </c>
      <c r="AE130" s="317">
        <v>0</v>
      </c>
    </row>
    <row r="131" spans="8:31" x14ac:dyDescent="0.3">
      <c r="I131" s="178" t="s">
        <v>2001</v>
      </c>
      <c r="J131" s="315">
        <v>0</v>
      </c>
      <c r="K131" s="315">
        <v>0</v>
      </c>
      <c r="L131" s="315">
        <v>0</v>
      </c>
      <c r="M131" s="315">
        <v>0</v>
      </c>
      <c r="N131" s="315">
        <v>0</v>
      </c>
      <c r="O131" s="315">
        <v>0</v>
      </c>
      <c r="P131" s="315">
        <v>0</v>
      </c>
      <c r="Q131" s="315">
        <v>0</v>
      </c>
      <c r="R131" s="315">
        <v>0</v>
      </c>
      <c r="S131" s="315">
        <v>0</v>
      </c>
      <c r="T131" s="315">
        <v>0</v>
      </c>
      <c r="U131" s="315">
        <v>0</v>
      </c>
      <c r="V131" s="315">
        <v>0</v>
      </c>
      <c r="W131" s="315">
        <v>0</v>
      </c>
      <c r="X131" s="315">
        <v>0</v>
      </c>
      <c r="Y131" s="315">
        <v>0</v>
      </c>
      <c r="Z131" s="315">
        <v>0</v>
      </c>
      <c r="AA131" s="315">
        <v>0</v>
      </c>
      <c r="AB131" s="315">
        <v>0</v>
      </c>
      <c r="AC131" s="315">
        <v>0</v>
      </c>
      <c r="AD131" s="316">
        <v>0</v>
      </c>
      <c r="AE131" s="317">
        <v>0</v>
      </c>
    </row>
    <row r="132" spans="8:31" x14ac:dyDescent="0.3">
      <c r="I132" s="178" t="s">
        <v>2003</v>
      </c>
      <c r="J132" s="315">
        <v>0</v>
      </c>
      <c r="K132" s="315">
        <v>0</v>
      </c>
      <c r="L132" s="315">
        <v>0</v>
      </c>
      <c r="M132" s="315">
        <v>0</v>
      </c>
      <c r="N132" s="315">
        <v>1</v>
      </c>
      <c r="O132" s="315">
        <v>1</v>
      </c>
      <c r="P132" s="315">
        <v>0</v>
      </c>
      <c r="Q132" s="315">
        <v>1</v>
      </c>
      <c r="R132" s="315">
        <v>0</v>
      </c>
      <c r="S132" s="315">
        <v>0</v>
      </c>
      <c r="T132" s="315">
        <v>0</v>
      </c>
      <c r="U132" s="315">
        <v>0</v>
      </c>
      <c r="V132" s="315">
        <v>0</v>
      </c>
      <c r="W132" s="315">
        <v>2</v>
      </c>
      <c r="X132" s="315">
        <v>0</v>
      </c>
      <c r="Y132" s="315">
        <v>0</v>
      </c>
      <c r="Z132" s="315">
        <v>0</v>
      </c>
      <c r="AA132" s="315">
        <v>0</v>
      </c>
      <c r="AB132" s="315">
        <v>2</v>
      </c>
      <c r="AC132" s="315">
        <v>0</v>
      </c>
      <c r="AD132" s="316">
        <v>0</v>
      </c>
      <c r="AE132" s="317">
        <v>0</v>
      </c>
    </row>
    <row r="133" spans="8:31" x14ac:dyDescent="0.3">
      <c r="I133" s="178" t="s">
        <v>2006</v>
      </c>
      <c r="J133" s="315">
        <v>0</v>
      </c>
      <c r="K133" s="315">
        <v>0</v>
      </c>
      <c r="L133" s="315">
        <v>0</v>
      </c>
      <c r="M133" s="315">
        <v>0</v>
      </c>
      <c r="N133" s="315">
        <v>0</v>
      </c>
      <c r="O133" s="315">
        <v>0</v>
      </c>
      <c r="P133" s="315">
        <v>0</v>
      </c>
      <c r="Q133" s="315">
        <v>0</v>
      </c>
      <c r="R133" s="315">
        <v>0</v>
      </c>
      <c r="S133" s="315">
        <v>0</v>
      </c>
      <c r="T133" s="315">
        <v>0</v>
      </c>
      <c r="U133" s="315">
        <v>0</v>
      </c>
      <c r="V133" s="315">
        <v>0</v>
      </c>
      <c r="W133" s="315">
        <v>0</v>
      </c>
      <c r="X133" s="315">
        <v>0</v>
      </c>
      <c r="Y133" s="315">
        <v>0</v>
      </c>
      <c r="Z133" s="315">
        <v>0</v>
      </c>
      <c r="AA133" s="315">
        <v>0</v>
      </c>
      <c r="AB133" s="315">
        <v>0</v>
      </c>
      <c r="AC133" s="315">
        <v>0</v>
      </c>
      <c r="AD133" s="316">
        <v>0</v>
      </c>
      <c r="AE133" s="317">
        <v>0</v>
      </c>
    </row>
    <row r="134" spans="8:31" x14ac:dyDescent="0.3">
      <c r="I134" s="178" t="s">
        <v>2009</v>
      </c>
      <c r="J134" s="315">
        <v>0</v>
      </c>
      <c r="K134" s="315">
        <v>0</v>
      </c>
      <c r="L134" s="315">
        <v>0</v>
      </c>
      <c r="M134" s="315">
        <v>0</v>
      </c>
      <c r="N134" s="315">
        <v>0</v>
      </c>
      <c r="O134" s="315">
        <v>0</v>
      </c>
      <c r="P134" s="315">
        <v>0</v>
      </c>
      <c r="Q134" s="315">
        <v>1</v>
      </c>
      <c r="R134" s="315">
        <v>0</v>
      </c>
      <c r="S134" s="315">
        <v>0</v>
      </c>
      <c r="T134" s="315">
        <v>0</v>
      </c>
      <c r="U134" s="315">
        <v>0</v>
      </c>
      <c r="V134" s="315">
        <v>1</v>
      </c>
      <c r="W134" s="315">
        <v>0</v>
      </c>
      <c r="X134" s="315">
        <v>0</v>
      </c>
      <c r="Y134" s="315">
        <v>1</v>
      </c>
      <c r="Z134" s="315">
        <v>0</v>
      </c>
      <c r="AA134" s="315">
        <v>0</v>
      </c>
      <c r="AB134" s="315">
        <v>0</v>
      </c>
      <c r="AC134" s="315">
        <v>0</v>
      </c>
      <c r="AD134" s="316">
        <v>1</v>
      </c>
      <c r="AE134" s="317">
        <v>0</v>
      </c>
    </row>
    <row r="135" spans="8:31" x14ac:dyDescent="0.3">
      <c r="I135" s="178" t="s">
        <v>2011</v>
      </c>
      <c r="J135" s="315">
        <v>0</v>
      </c>
      <c r="K135" s="315">
        <v>0</v>
      </c>
      <c r="L135" s="315">
        <v>0</v>
      </c>
      <c r="M135" s="315">
        <v>0</v>
      </c>
      <c r="N135" s="315">
        <v>0</v>
      </c>
      <c r="O135" s="315">
        <v>0</v>
      </c>
      <c r="P135" s="315">
        <v>0</v>
      </c>
      <c r="Q135" s="315">
        <v>0</v>
      </c>
      <c r="R135" s="315">
        <v>0</v>
      </c>
      <c r="S135" s="315">
        <v>0</v>
      </c>
      <c r="T135" s="315">
        <v>0</v>
      </c>
      <c r="U135" s="315">
        <v>0</v>
      </c>
      <c r="V135" s="315">
        <v>0</v>
      </c>
      <c r="W135" s="315">
        <v>0</v>
      </c>
      <c r="X135" s="315">
        <v>0</v>
      </c>
      <c r="Y135" s="315">
        <v>0</v>
      </c>
      <c r="Z135" s="315">
        <v>0</v>
      </c>
      <c r="AA135" s="315">
        <v>0</v>
      </c>
      <c r="AB135" s="315">
        <v>0</v>
      </c>
      <c r="AC135" s="315">
        <v>0</v>
      </c>
      <c r="AD135" s="316">
        <v>0</v>
      </c>
      <c r="AE135" s="317">
        <v>0</v>
      </c>
    </row>
    <row r="136" spans="8:31" x14ac:dyDescent="0.3">
      <c r="I136" s="178" t="s">
        <v>2014</v>
      </c>
      <c r="J136" s="315">
        <v>0</v>
      </c>
      <c r="K136" s="315">
        <v>0</v>
      </c>
      <c r="L136" s="315">
        <v>0</v>
      </c>
      <c r="M136" s="315">
        <v>0</v>
      </c>
      <c r="N136" s="315">
        <v>0</v>
      </c>
      <c r="O136" s="315">
        <v>0</v>
      </c>
      <c r="P136" s="315">
        <v>0</v>
      </c>
      <c r="Q136" s="315">
        <v>0</v>
      </c>
      <c r="R136" s="315">
        <v>0</v>
      </c>
      <c r="S136" s="315">
        <v>0</v>
      </c>
      <c r="T136" s="315">
        <v>0</v>
      </c>
      <c r="U136" s="315">
        <v>0</v>
      </c>
      <c r="V136" s="315">
        <v>1</v>
      </c>
      <c r="W136" s="315">
        <v>0</v>
      </c>
      <c r="X136" s="315">
        <v>2</v>
      </c>
      <c r="Y136" s="315">
        <v>1</v>
      </c>
      <c r="Z136" s="315">
        <v>1</v>
      </c>
      <c r="AA136" s="315">
        <v>1</v>
      </c>
      <c r="AB136" s="315">
        <v>0</v>
      </c>
      <c r="AC136" s="315">
        <v>0</v>
      </c>
      <c r="AD136" s="316">
        <v>1</v>
      </c>
      <c r="AE136" s="317">
        <v>0</v>
      </c>
    </row>
    <row r="137" spans="8:31" x14ac:dyDescent="0.3">
      <c r="I137" s="178" t="s">
        <v>2017</v>
      </c>
      <c r="J137" s="315">
        <v>0</v>
      </c>
      <c r="K137" s="315">
        <v>0</v>
      </c>
      <c r="L137" s="315">
        <v>0</v>
      </c>
      <c r="M137" s="315">
        <v>0</v>
      </c>
      <c r="N137" s="315">
        <v>0</v>
      </c>
      <c r="O137" s="315">
        <v>0</v>
      </c>
      <c r="P137" s="315">
        <v>0</v>
      </c>
      <c r="Q137" s="315">
        <v>0</v>
      </c>
      <c r="R137" s="315">
        <v>0</v>
      </c>
      <c r="S137" s="315">
        <v>0</v>
      </c>
      <c r="T137" s="315">
        <v>0</v>
      </c>
      <c r="U137" s="315">
        <v>0</v>
      </c>
      <c r="V137" s="315">
        <v>0</v>
      </c>
      <c r="W137" s="315">
        <v>0</v>
      </c>
      <c r="X137" s="315">
        <v>0</v>
      </c>
      <c r="Y137" s="315">
        <v>0</v>
      </c>
      <c r="Z137" s="315">
        <v>0</v>
      </c>
      <c r="AA137" s="315">
        <v>0</v>
      </c>
      <c r="AB137" s="315">
        <v>1</v>
      </c>
      <c r="AC137" s="315">
        <v>0</v>
      </c>
      <c r="AD137" s="316">
        <v>0</v>
      </c>
      <c r="AE137" s="317">
        <v>0</v>
      </c>
    </row>
    <row r="138" spans="8:31" x14ac:dyDescent="0.3">
      <c r="I138" s="178" t="s">
        <v>2019</v>
      </c>
      <c r="J138" s="315">
        <v>0</v>
      </c>
      <c r="K138" s="315">
        <v>0</v>
      </c>
      <c r="L138" s="315">
        <v>0</v>
      </c>
      <c r="M138" s="315">
        <v>0</v>
      </c>
      <c r="N138" s="315">
        <v>0</v>
      </c>
      <c r="O138" s="315">
        <v>0</v>
      </c>
      <c r="P138" s="315">
        <v>0</v>
      </c>
      <c r="Q138" s="315">
        <v>0</v>
      </c>
      <c r="R138" s="315">
        <v>0</v>
      </c>
      <c r="S138" s="315">
        <v>0</v>
      </c>
      <c r="T138" s="315">
        <v>0</v>
      </c>
      <c r="U138" s="315">
        <v>0</v>
      </c>
      <c r="V138" s="315">
        <v>0</v>
      </c>
      <c r="W138" s="315">
        <v>2</v>
      </c>
      <c r="X138" s="315">
        <v>0</v>
      </c>
      <c r="Y138" s="315">
        <v>0</v>
      </c>
      <c r="Z138" s="315">
        <v>0</v>
      </c>
      <c r="AA138" s="315">
        <v>0</v>
      </c>
      <c r="AB138" s="315">
        <v>0</v>
      </c>
      <c r="AC138" s="315">
        <v>0</v>
      </c>
      <c r="AD138" s="316">
        <v>1</v>
      </c>
      <c r="AE138" s="317">
        <v>1</v>
      </c>
    </row>
    <row r="139" spans="8:31" ht="15" thickBot="1" x14ac:dyDescent="0.35">
      <c r="I139" s="183" t="s">
        <v>2022</v>
      </c>
      <c r="J139" s="315">
        <v>0</v>
      </c>
      <c r="K139" s="315">
        <v>0</v>
      </c>
      <c r="L139" s="315">
        <v>0</v>
      </c>
      <c r="M139" s="315">
        <v>0</v>
      </c>
      <c r="N139" s="315">
        <v>0</v>
      </c>
      <c r="O139" s="315">
        <v>0</v>
      </c>
      <c r="P139" s="315">
        <v>0</v>
      </c>
      <c r="Q139" s="315">
        <v>0</v>
      </c>
      <c r="R139" s="315">
        <v>0</v>
      </c>
      <c r="S139" s="315">
        <v>0</v>
      </c>
      <c r="T139" s="315">
        <v>0</v>
      </c>
      <c r="U139" s="315">
        <v>0</v>
      </c>
      <c r="V139" s="315">
        <v>0</v>
      </c>
      <c r="W139" s="315">
        <v>4</v>
      </c>
      <c r="X139" s="315">
        <v>0</v>
      </c>
      <c r="Y139" s="315">
        <v>0</v>
      </c>
      <c r="Z139" s="315">
        <v>0</v>
      </c>
      <c r="AA139" s="315">
        <v>1</v>
      </c>
      <c r="AB139" s="315">
        <v>0</v>
      </c>
      <c r="AC139" s="315">
        <v>0</v>
      </c>
      <c r="AD139" s="316">
        <v>1</v>
      </c>
      <c r="AE139" s="318">
        <v>0</v>
      </c>
    </row>
    <row r="140" spans="8:31" ht="15" thickBot="1" x14ac:dyDescent="0.35">
      <c r="H140" s="11">
        <f>SUM(J140:AE140)</f>
        <v>29</v>
      </c>
      <c r="J140" s="319">
        <f>SUM(J127:J139)</f>
        <v>0</v>
      </c>
      <c r="K140" s="320">
        <f t="shared" ref="K140:AE140" si="20">SUM(K127:K139)</f>
        <v>0</v>
      </c>
      <c r="L140" s="320">
        <f t="shared" si="20"/>
        <v>0</v>
      </c>
      <c r="M140" s="320">
        <f t="shared" si="20"/>
        <v>0</v>
      </c>
      <c r="N140" s="320">
        <f t="shared" si="20"/>
        <v>1</v>
      </c>
      <c r="O140" s="320">
        <f t="shared" si="20"/>
        <v>1</v>
      </c>
      <c r="P140" s="320">
        <f t="shared" si="20"/>
        <v>0</v>
      </c>
      <c r="Q140" s="320">
        <f t="shared" si="20"/>
        <v>2</v>
      </c>
      <c r="R140" s="320">
        <f t="shared" si="20"/>
        <v>0</v>
      </c>
      <c r="S140" s="320">
        <f t="shared" si="20"/>
        <v>0</v>
      </c>
      <c r="T140" s="320">
        <f t="shared" si="20"/>
        <v>0</v>
      </c>
      <c r="U140" s="320">
        <f t="shared" si="20"/>
        <v>0</v>
      </c>
      <c r="V140" s="320">
        <f t="shared" si="20"/>
        <v>2</v>
      </c>
      <c r="W140" s="320">
        <f t="shared" si="20"/>
        <v>8</v>
      </c>
      <c r="X140" s="320">
        <f t="shared" si="20"/>
        <v>2</v>
      </c>
      <c r="Y140" s="320">
        <f t="shared" si="20"/>
        <v>2</v>
      </c>
      <c r="Z140" s="320">
        <f t="shared" si="20"/>
        <v>1</v>
      </c>
      <c r="AA140" s="320">
        <f t="shared" si="20"/>
        <v>2</v>
      </c>
      <c r="AB140" s="320">
        <f t="shared" si="20"/>
        <v>3</v>
      </c>
      <c r="AC140" s="320">
        <f t="shared" si="20"/>
        <v>0</v>
      </c>
      <c r="AD140" s="320">
        <f t="shared" si="20"/>
        <v>4</v>
      </c>
      <c r="AE140" s="321">
        <f t="shared" si="20"/>
        <v>1</v>
      </c>
    </row>
  </sheetData>
  <mergeCells count="7">
    <mergeCell ref="A32:G32"/>
    <mergeCell ref="A4:G4"/>
    <mergeCell ref="A6:B6"/>
    <mergeCell ref="A12:B12"/>
    <mergeCell ref="A15:B15"/>
    <mergeCell ref="A18:B18"/>
    <mergeCell ref="A28:B28"/>
  </mergeCells>
  <pageMargins left="0.7" right="0.7" top="0.75" bottom="0.75" header="0.3" footer="0.3"/>
  <pageSetup scale="50" orientation="landscape" r:id="rId1"/>
  <colBreaks count="1" manualBreakCount="1">
    <brk id="30" min="20" max="13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01"/>
  <sheetViews>
    <sheetView zoomScale="85" zoomScaleNormal="85" workbookViewId="0">
      <selection activeCell="C10" sqref="C10"/>
    </sheetView>
  </sheetViews>
  <sheetFormatPr defaultRowHeight="14.4" x14ac:dyDescent="0.3"/>
  <cols>
    <col min="1" max="1" width="6.6640625" bestFit="1" customWidth="1"/>
    <col min="2" max="2" width="10.5546875" bestFit="1" customWidth="1"/>
    <col min="3" max="3" width="20.44140625" bestFit="1" customWidth="1"/>
    <col min="4" max="4" width="8.44140625" bestFit="1" customWidth="1"/>
    <col min="5" max="5" width="8.109375" bestFit="1" customWidth="1"/>
    <col min="6" max="6" width="38.88671875" bestFit="1" customWidth="1"/>
    <col min="7" max="7" width="15.109375" bestFit="1" customWidth="1"/>
    <col min="8" max="8" width="13.33203125" bestFit="1" customWidth="1"/>
    <col min="9" max="9" width="13.5546875" bestFit="1" customWidth="1"/>
    <col min="10" max="10" width="15.6640625" bestFit="1" customWidth="1"/>
    <col min="11" max="11" width="15.33203125" bestFit="1" customWidth="1"/>
    <col min="12" max="13" width="16.33203125" bestFit="1" customWidth="1"/>
    <col min="14" max="14" width="19.88671875" customWidth="1"/>
    <col min="15" max="15" width="16.88671875" style="7" customWidth="1"/>
    <col min="17" max="17" width="14.109375" customWidth="1"/>
    <col min="18" max="18" width="13" customWidth="1"/>
    <col min="19" max="19" width="9.5546875" bestFit="1" customWidth="1"/>
  </cols>
  <sheetData>
    <row r="2" spans="5:14" x14ac:dyDescent="0.3">
      <c r="G2" s="622" t="s">
        <v>525</v>
      </c>
      <c r="H2" s="622" t="s">
        <v>526</v>
      </c>
      <c r="I2" s="622" t="s">
        <v>1898</v>
      </c>
      <c r="J2" s="622" t="s">
        <v>1899</v>
      </c>
      <c r="K2" s="622" t="s">
        <v>432</v>
      </c>
    </row>
    <row r="3" spans="5:14" x14ac:dyDescent="0.3">
      <c r="E3">
        <v>908</v>
      </c>
      <c r="F3" t="s">
        <v>100</v>
      </c>
      <c r="G3" s="93">
        <f>SUM(K564,K580,K582)</f>
        <v>18304.994337000004</v>
      </c>
      <c r="I3" s="93">
        <f>SUM(K573,K581,K588)</f>
        <v>95288.955159999969</v>
      </c>
      <c r="J3" s="93">
        <f>SUM(K562:K588)-SUM(G3:I3)</f>
        <v>164968.40684300009</v>
      </c>
      <c r="K3" s="93">
        <f t="shared" ref="K3:K4" si="0">SUM(G3:J3)</f>
        <v>278562.35634000006</v>
      </c>
    </row>
    <row r="4" spans="5:14" x14ac:dyDescent="0.3">
      <c r="E4">
        <v>912</v>
      </c>
      <c r="F4" t="s">
        <v>105</v>
      </c>
      <c r="G4" s="93">
        <f>SUM(K610,K617,K620,K623:K625)</f>
        <v>6816.183906000002</v>
      </c>
      <c r="J4" s="93">
        <f>SUM(K600:K637)-SUM(G4:I4)</f>
        <v>400357.78260460019</v>
      </c>
      <c r="K4" s="93">
        <f t="shared" si="0"/>
        <v>407173.96651060018</v>
      </c>
    </row>
    <row r="7" spans="5:14" x14ac:dyDescent="0.3">
      <c r="G7" s="151" t="s">
        <v>433</v>
      </c>
      <c r="H7" s="151" t="s">
        <v>434</v>
      </c>
      <c r="I7" s="151" t="s">
        <v>435</v>
      </c>
      <c r="J7" s="151" t="s">
        <v>436</v>
      </c>
      <c r="K7" s="151" t="s">
        <v>437</v>
      </c>
      <c r="L7" s="151" t="s">
        <v>438</v>
      </c>
      <c r="M7" s="151"/>
      <c r="N7" s="151"/>
    </row>
    <row r="8" spans="5:14" x14ac:dyDescent="0.3">
      <c r="F8" t="s">
        <v>587</v>
      </c>
      <c r="G8" s="150">
        <f>Customers!R18</f>
        <v>860.33333333333337</v>
      </c>
      <c r="H8" s="150">
        <f>Customers!S18</f>
        <v>74643.833333333328</v>
      </c>
      <c r="I8" s="150">
        <f>Customers!T18</f>
        <v>0</v>
      </c>
      <c r="J8" s="150">
        <f>Customers!U18</f>
        <v>0</v>
      </c>
      <c r="K8" s="150">
        <f>Customers!V18</f>
        <v>0</v>
      </c>
      <c r="L8" s="150">
        <f>Customers!W18</f>
        <v>0</v>
      </c>
      <c r="M8" s="152">
        <f>SUM(G8:L8)</f>
        <v>75504.166666666657</v>
      </c>
      <c r="N8" s="150"/>
    </row>
    <row r="9" spans="5:14" x14ac:dyDescent="0.3">
      <c r="F9" t="s">
        <v>585</v>
      </c>
      <c r="G9" s="150">
        <f>SUM(Customers!R19,Customers!R23)</f>
        <v>36.916666666666664</v>
      </c>
      <c r="H9" s="150">
        <f>SUM(Customers!S19,Customers!S23)</f>
        <v>0</v>
      </c>
      <c r="I9" s="150">
        <f>SUM(Customers!T19,Customers!T23)</f>
        <v>6007.083333333333</v>
      </c>
      <c r="J9" s="150">
        <f>SUM(Customers!U19,Customers!U23)</f>
        <v>786.5</v>
      </c>
      <c r="K9" s="150">
        <f>SUM(Customers!V19,Customers!V23)</f>
        <v>105.16666666666666</v>
      </c>
      <c r="L9" s="150">
        <f>SUM(Customers!W19,Customers!W23)</f>
        <v>9.75</v>
      </c>
      <c r="M9" s="152">
        <f>SUM(G9:L9)</f>
        <v>6945.416666666667</v>
      </c>
      <c r="N9" s="150"/>
    </row>
    <row r="10" spans="5:14" x14ac:dyDescent="0.3">
      <c r="F10" t="s">
        <v>586</v>
      </c>
      <c r="G10" s="150">
        <f>SUM(Customers!R20:R21,Customers!R24:R25)</f>
        <v>0</v>
      </c>
      <c r="H10" s="150">
        <f>SUM(Customers!S20:S21,Customers!S24:S25)</f>
        <v>0</v>
      </c>
      <c r="I10" s="150">
        <f>SUM(Customers!T20:T21,Customers!T24:T25)</f>
        <v>27.333333333333332</v>
      </c>
      <c r="J10" s="150">
        <f>SUM(Customers!U20:U21,Customers!U24:U25)</f>
        <v>0</v>
      </c>
      <c r="K10" s="150">
        <f>SUM(Customers!V20:V21,Customers!V24:V25)</f>
        <v>14.916666666666666</v>
      </c>
      <c r="L10" s="150">
        <f>SUM(Customers!W20:W21,Customers!W24:W25)</f>
        <v>35.583333333333336</v>
      </c>
      <c r="M10" s="152">
        <f>SUM(G10:L10)</f>
        <v>77.833333333333343</v>
      </c>
      <c r="N10" s="150"/>
    </row>
    <row r="11" spans="5:14" x14ac:dyDescent="0.3">
      <c r="F11" t="s">
        <v>1901</v>
      </c>
      <c r="G11" s="153">
        <f>SUM(G8:G10)</f>
        <v>897.25</v>
      </c>
      <c r="H11" s="153">
        <f t="shared" ref="H11:L11" si="1">SUM(H8:H10)</f>
        <v>74643.833333333328</v>
      </c>
      <c r="I11" s="153">
        <f t="shared" si="1"/>
        <v>6034.4166666666661</v>
      </c>
      <c r="J11" s="153">
        <f t="shared" si="1"/>
        <v>786.5</v>
      </c>
      <c r="K11" s="153">
        <f t="shared" si="1"/>
        <v>120.08333333333333</v>
      </c>
      <c r="L11" s="153">
        <f t="shared" si="1"/>
        <v>45.333333333333336</v>
      </c>
      <c r="M11" s="152">
        <f>SUM(G11:L11)</f>
        <v>82527.416666666657</v>
      </c>
      <c r="N11" s="153"/>
    </row>
    <row r="12" spans="5:14" x14ac:dyDescent="0.3">
      <c r="G12" s="13"/>
      <c r="H12" s="13"/>
      <c r="I12" s="13"/>
      <c r="J12" s="13"/>
      <c r="K12" s="13"/>
      <c r="L12" s="13"/>
      <c r="M12" s="7"/>
      <c r="N12" s="13"/>
    </row>
    <row r="13" spans="5:14" x14ac:dyDescent="0.3">
      <c r="E13">
        <f>E3</f>
        <v>908</v>
      </c>
      <c r="F13" t="s">
        <v>1902</v>
      </c>
      <c r="G13" s="154">
        <f t="shared" ref="G13:L14" si="2">$G3*G$8/$M$8
+$H3*G$9/$M$9
+$I3*G$10/$M$10
+$J3*G$11/$M$11</f>
        <v>2002.136884876385</v>
      </c>
      <c r="H13" s="154">
        <f t="shared" si="2"/>
        <v>167305.91403668461</v>
      </c>
      <c r="I13" s="154">
        <f t="shared" si="2"/>
        <v>45525.872801359714</v>
      </c>
      <c r="J13" s="154">
        <f t="shared" si="2"/>
        <v>1572.1763411797847</v>
      </c>
      <c r="K13" s="154">
        <f t="shared" si="2"/>
        <v>18502.056941634877</v>
      </c>
      <c r="L13" s="154">
        <f t="shared" si="2"/>
        <v>43654.199334264697</v>
      </c>
      <c r="M13" s="155" t="b">
        <f>SUM(G13:L13)=K3</f>
        <v>1</v>
      </c>
      <c r="N13" s="154"/>
    </row>
    <row r="14" spans="5:14" x14ac:dyDescent="0.3">
      <c r="E14">
        <f>E4</f>
        <v>912</v>
      </c>
      <c r="F14" t="s">
        <v>1900</v>
      </c>
      <c r="G14" s="154">
        <f t="shared" si="2"/>
        <v>4430.4147753852667</v>
      </c>
      <c r="H14" s="154">
        <f t="shared" si="2"/>
        <v>368851.3855334383</v>
      </c>
      <c r="I14" s="154">
        <f t="shared" si="2"/>
        <v>29274.219084513239</v>
      </c>
      <c r="J14" s="154">
        <f t="shared" si="2"/>
        <v>3815.476222772651</v>
      </c>
      <c r="K14" s="154">
        <f t="shared" si="2"/>
        <v>582.54939998043972</v>
      </c>
      <c r="L14" s="154">
        <f t="shared" si="2"/>
        <v>219.92149451031176</v>
      </c>
      <c r="M14" s="155" t="b">
        <f>SUM(G14:L14)=K4</f>
        <v>1</v>
      </c>
      <c r="N14" s="154"/>
    </row>
    <row r="17" spans="1:21" s="149" customFormat="1" x14ac:dyDescent="0.3"/>
    <row r="18" spans="1:21" ht="15" thickBot="1" x14ac:dyDescent="0.35">
      <c r="O18"/>
      <c r="Q18" s="84" t="s">
        <v>622</v>
      </c>
      <c r="R18" s="127" t="s">
        <v>623</v>
      </c>
      <c r="S18" s="84" t="s">
        <v>624</v>
      </c>
    </row>
    <row r="19" spans="1:21" x14ac:dyDescent="0.3">
      <c r="K19" s="128" t="s">
        <v>147</v>
      </c>
      <c r="L19" s="129" t="s">
        <v>148</v>
      </c>
      <c r="M19" s="130" t="s">
        <v>146</v>
      </c>
      <c r="O19" s="693" t="s">
        <v>2357</v>
      </c>
      <c r="P19" s="131" t="s">
        <v>625</v>
      </c>
      <c r="Q19" s="132">
        <v>5521043.6799999997</v>
      </c>
      <c r="R19" s="133">
        <v>5514564.1300002038</v>
      </c>
      <c r="S19" s="93">
        <f>R19-Q19</f>
        <v>-6479.5499997958541</v>
      </c>
      <c r="U19" s="8" t="s">
        <v>321</v>
      </c>
    </row>
    <row r="20" spans="1:21" ht="15" thickBot="1" x14ac:dyDescent="0.35">
      <c r="K20" s="134">
        <f>SUM(K24:K1001)</f>
        <v>17697470.565883864</v>
      </c>
      <c r="L20" s="135">
        <f>SUM(L24:L1001)</f>
        <v>137126435.98411596</v>
      </c>
      <c r="M20" s="136">
        <f>SUM(M24:M1001)</f>
        <v>154823906.54999986</v>
      </c>
      <c r="O20" s="694"/>
      <c r="P20" s="137" t="s">
        <v>626</v>
      </c>
      <c r="Q20" s="138">
        <v>675632.18259999994</v>
      </c>
      <c r="R20" s="93">
        <v>669152.63260000944</v>
      </c>
      <c r="S20" s="93">
        <f>R20-Q20</f>
        <v>-6479.5499999905005</v>
      </c>
      <c r="U20" s="8" t="s">
        <v>2358</v>
      </c>
    </row>
    <row r="21" spans="1:21" x14ac:dyDescent="0.3">
      <c r="M21" s="138"/>
      <c r="N21" s="93"/>
      <c r="Q21" s="139" t="s">
        <v>627</v>
      </c>
      <c r="R21" s="7"/>
      <c r="U21" s="8" t="s">
        <v>1959</v>
      </c>
    </row>
    <row r="22" spans="1:21" x14ac:dyDescent="0.3">
      <c r="U22" s="8" t="s">
        <v>1907</v>
      </c>
    </row>
    <row r="23" spans="1:21" ht="15" customHeight="1" x14ac:dyDescent="0.3">
      <c r="A23" s="85" t="s">
        <v>555</v>
      </c>
      <c r="B23" s="85" t="s">
        <v>556</v>
      </c>
      <c r="C23" s="85" t="s">
        <v>557</v>
      </c>
      <c r="D23" s="85" t="s">
        <v>558</v>
      </c>
      <c r="E23" s="85" t="s">
        <v>628</v>
      </c>
      <c r="F23" s="85" t="s">
        <v>559</v>
      </c>
      <c r="G23" s="86" t="s">
        <v>560</v>
      </c>
      <c r="H23" s="140" t="s">
        <v>629</v>
      </c>
      <c r="I23" s="86" t="s">
        <v>630</v>
      </c>
      <c r="J23" s="86" t="s">
        <v>631</v>
      </c>
      <c r="K23" s="86" t="s">
        <v>147</v>
      </c>
      <c r="L23" s="86" t="s">
        <v>148</v>
      </c>
      <c r="M23" s="86" t="s">
        <v>146</v>
      </c>
      <c r="N23" s="86" t="s">
        <v>322</v>
      </c>
      <c r="O23" s="86" t="s">
        <v>632</v>
      </c>
      <c r="U23" s="8" t="s">
        <v>2359</v>
      </c>
    </row>
    <row r="24" spans="1:21" ht="15" customHeight="1" x14ac:dyDescent="0.3">
      <c r="A24" s="90" t="s">
        <v>152</v>
      </c>
      <c r="B24" s="90" t="s">
        <v>633</v>
      </c>
      <c r="C24" s="90" t="s">
        <v>634</v>
      </c>
      <c r="D24" s="90" t="s">
        <v>635</v>
      </c>
      <c r="E24" s="90" t="s">
        <v>636</v>
      </c>
      <c r="F24" s="90" t="s">
        <v>637</v>
      </c>
      <c r="G24" s="89">
        <v>34.880000000000003</v>
      </c>
      <c r="H24" s="141" t="str">
        <f>CONCATENATE(B24,RIGHT(D24,4),A24)</f>
        <v>112004532816</v>
      </c>
      <c r="I24" s="142">
        <v>0.10419999999999996</v>
      </c>
      <c r="J24" s="142" t="s">
        <v>1861</v>
      </c>
      <c r="K24" s="143">
        <f t="shared" ref="K24:K87" si="3">G24*I24</f>
        <v>3.6344959999999991</v>
      </c>
      <c r="L24" s="144">
        <f t="shared" ref="L24:L87" si="4">G24-K24</f>
        <v>31.245504000000004</v>
      </c>
      <c r="M24" s="144">
        <f t="shared" ref="M24:M87" si="5">K24+L24</f>
        <v>34.880000000000003</v>
      </c>
      <c r="N24" s="145" t="s">
        <v>638</v>
      </c>
      <c r="O24" s="125"/>
    </row>
    <row r="25" spans="1:21" ht="15" customHeight="1" x14ac:dyDescent="0.3">
      <c r="A25" s="90" t="s">
        <v>152</v>
      </c>
      <c r="B25" s="90" t="s">
        <v>639</v>
      </c>
      <c r="C25" s="90" t="s">
        <v>640</v>
      </c>
      <c r="D25" s="90" t="s">
        <v>635</v>
      </c>
      <c r="E25" s="90" t="s">
        <v>636</v>
      </c>
      <c r="F25" s="90" t="s">
        <v>637</v>
      </c>
      <c r="G25" s="89">
        <v>57.78</v>
      </c>
      <c r="H25" s="141" t="str">
        <f t="shared" ref="H25:H88" si="6">CONCATENATE(B25,RIGHT(D25,4),A25)</f>
        <v>161004532816</v>
      </c>
      <c r="I25" s="142">
        <v>0.10419999999999996</v>
      </c>
      <c r="J25" s="142" t="s">
        <v>1861</v>
      </c>
      <c r="K25" s="143">
        <f t="shared" si="3"/>
        <v>6.0206759999999981</v>
      </c>
      <c r="L25" s="144">
        <f t="shared" si="4"/>
        <v>51.759324000000007</v>
      </c>
      <c r="M25" s="144">
        <f t="shared" si="5"/>
        <v>57.78</v>
      </c>
      <c r="N25" s="145" t="s">
        <v>638</v>
      </c>
      <c r="O25" s="125"/>
    </row>
    <row r="26" spans="1:21" ht="15" customHeight="1" x14ac:dyDescent="0.3">
      <c r="A26" s="90" t="s">
        <v>152</v>
      </c>
      <c r="B26" s="90" t="s">
        <v>641</v>
      </c>
      <c r="C26" s="90" t="s">
        <v>642</v>
      </c>
      <c r="D26" s="90" t="s">
        <v>643</v>
      </c>
      <c r="E26" s="90" t="s">
        <v>644</v>
      </c>
      <c r="F26" s="90" t="s">
        <v>645</v>
      </c>
      <c r="G26" s="89">
        <v>224.81</v>
      </c>
      <c r="H26" s="141" t="str">
        <f t="shared" si="6"/>
        <v>113004533816</v>
      </c>
      <c r="I26" s="142">
        <v>0.10419999999999996</v>
      </c>
      <c r="J26" s="142" t="s">
        <v>1861</v>
      </c>
      <c r="K26" s="143">
        <f t="shared" si="3"/>
        <v>23.425201999999992</v>
      </c>
      <c r="L26" s="144">
        <f t="shared" si="4"/>
        <v>201.38479800000002</v>
      </c>
      <c r="M26" s="144">
        <f t="shared" si="5"/>
        <v>224.81</v>
      </c>
      <c r="N26" s="145" t="s">
        <v>638</v>
      </c>
      <c r="O26" s="125"/>
    </row>
    <row r="27" spans="1:21" ht="15" customHeight="1" x14ac:dyDescent="0.3">
      <c r="A27" s="90" t="s">
        <v>152</v>
      </c>
      <c r="B27" s="90" t="s">
        <v>633</v>
      </c>
      <c r="C27" s="90" t="s">
        <v>634</v>
      </c>
      <c r="D27" s="90" t="s">
        <v>646</v>
      </c>
      <c r="E27" s="90" t="s">
        <v>647</v>
      </c>
      <c r="F27" s="90" t="s">
        <v>648</v>
      </c>
      <c r="G27" s="89">
        <v>300.47000000000003</v>
      </c>
      <c r="H27" s="141" t="str">
        <f t="shared" si="6"/>
        <v>112004520816</v>
      </c>
      <c r="I27" s="142">
        <v>0.10419999999999996</v>
      </c>
      <c r="J27" s="142" t="s">
        <v>1861</v>
      </c>
      <c r="K27" s="143">
        <f t="shared" si="3"/>
        <v>31.308973999999992</v>
      </c>
      <c r="L27" s="144">
        <f t="shared" si="4"/>
        <v>269.16102600000005</v>
      </c>
      <c r="M27" s="144">
        <f t="shared" si="5"/>
        <v>300.47000000000003</v>
      </c>
      <c r="N27" s="145" t="s">
        <v>638</v>
      </c>
      <c r="O27" s="125"/>
    </row>
    <row r="28" spans="1:21" ht="15" customHeight="1" x14ac:dyDescent="0.3">
      <c r="A28" s="90" t="s">
        <v>152</v>
      </c>
      <c r="B28" s="90" t="s">
        <v>649</v>
      </c>
      <c r="C28" s="90" t="s">
        <v>650</v>
      </c>
      <c r="D28" s="90" t="s">
        <v>643</v>
      </c>
      <c r="E28" s="90" t="s">
        <v>644</v>
      </c>
      <c r="F28" s="90" t="s">
        <v>645</v>
      </c>
      <c r="G28" s="89">
        <v>1200</v>
      </c>
      <c r="H28" s="141" t="str">
        <f t="shared" si="6"/>
        <v>116004533816</v>
      </c>
      <c r="I28" s="142">
        <v>0.10419999999999996</v>
      </c>
      <c r="J28" s="142" t="s">
        <v>1861</v>
      </c>
      <c r="K28" s="143">
        <f t="shared" si="3"/>
        <v>125.03999999999995</v>
      </c>
      <c r="L28" s="144">
        <f t="shared" si="4"/>
        <v>1074.96</v>
      </c>
      <c r="M28" s="144">
        <f t="shared" si="5"/>
        <v>1200</v>
      </c>
      <c r="N28" s="145" t="s">
        <v>638</v>
      </c>
      <c r="O28" s="125"/>
    </row>
    <row r="29" spans="1:21" ht="15" customHeight="1" x14ac:dyDescent="0.3">
      <c r="A29" s="90" t="s">
        <v>152</v>
      </c>
      <c r="B29" s="90" t="s">
        <v>633</v>
      </c>
      <c r="C29" s="90" t="s">
        <v>634</v>
      </c>
      <c r="D29" s="90" t="s">
        <v>643</v>
      </c>
      <c r="E29" s="90" t="s">
        <v>644</v>
      </c>
      <c r="F29" s="90" t="s">
        <v>645</v>
      </c>
      <c r="G29" s="89">
        <v>1500</v>
      </c>
      <c r="H29" s="141" t="str">
        <f t="shared" si="6"/>
        <v>112004533816</v>
      </c>
      <c r="I29" s="142">
        <v>0.10419999999999996</v>
      </c>
      <c r="J29" s="142" t="s">
        <v>1861</v>
      </c>
      <c r="K29" s="143">
        <f t="shared" si="3"/>
        <v>156.29999999999993</v>
      </c>
      <c r="L29" s="144">
        <f t="shared" si="4"/>
        <v>1343.7</v>
      </c>
      <c r="M29" s="144">
        <f t="shared" si="5"/>
        <v>1500</v>
      </c>
      <c r="N29" s="145" t="s">
        <v>638</v>
      </c>
      <c r="O29" s="125"/>
    </row>
    <row r="30" spans="1:21" ht="15" customHeight="1" x14ac:dyDescent="0.3">
      <c r="A30" s="90" t="s">
        <v>152</v>
      </c>
      <c r="B30" s="90" t="s">
        <v>651</v>
      </c>
      <c r="C30" s="90" t="s">
        <v>652</v>
      </c>
      <c r="D30" s="90" t="s">
        <v>643</v>
      </c>
      <c r="E30" s="90" t="s">
        <v>644</v>
      </c>
      <c r="F30" s="90" t="s">
        <v>645</v>
      </c>
      <c r="G30" s="89">
        <v>1600</v>
      </c>
      <c r="H30" s="141" t="str">
        <f t="shared" si="6"/>
        <v>111504533816</v>
      </c>
      <c r="I30" s="142">
        <v>0.10419999999999996</v>
      </c>
      <c r="J30" s="142" t="s">
        <v>1861</v>
      </c>
      <c r="K30" s="143">
        <f t="shared" si="3"/>
        <v>166.71999999999994</v>
      </c>
      <c r="L30" s="144">
        <f t="shared" si="4"/>
        <v>1433.28</v>
      </c>
      <c r="M30" s="144">
        <f t="shared" si="5"/>
        <v>1600</v>
      </c>
      <c r="N30" s="145" t="s">
        <v>638</v>
      </c>
      <c r="O30" s="125"/>
    </row>
    <row r="31" spans="1:21" ht="15" customHeight="1" x14ac:dyDescent="0.3">
      <c r="A31" s="90" t="s">
        <v>152</v>
      </c>
      <c r="B31" s="90" t="s">
        <v>651</v>
      </c>
      <c r="C31" s="90" t="s">
        <v>652</v>
      </c>
      <c r="D31" s="90" t="s">
        <v>653</v>
      </c>
      <c r="E31" s="90" t="s">
        <v>654</v>
      </c>
      <c r="F31" s="90" t="s">
        <v>655</v>
      </c>
      <c r="G31" s="89">
        <v>35249.970000000008</v>
      </c>
      <c r="H31" s="141" t="str">
        <f t="shared" si="6"/>
        <v>111504530816</v>
      </c>
      <c r="I31" s="142">
        <v>0.10419999999999996</v>
      </c>
      <c r="J31" s="142" t="s">
        <v>1861</v>
      </c>
      <c r="K31" s="143">
        <f t="shared" si="3"/>
        <v>3673.0468739999997</v>
      </c>
      <c r="L31" s="144">
        <f t="shared" si="4"/>
        <v>31576.923126000009</v>
      </c>
      <c r="M31" s="144">
        <f t="shared" si="5"/>
        <v>35249.970000000008</v>
      </c>
      <c r="N31" s="145" t="s">
        <v>638</v>
      </c>
      <c r="O31" s="125"/>
    </row>
    <row r="32" spans="1:21" ht="15" customHeight="1" x14ac:dyDescent="0.3">
      <c r="A32" s="90" t="s">
        <v>152</v>
      </c>
      <c r="B32" s="90" t="s">
        <v>651</v>
      </c>
      <c r="C32" s="90" t="s">
        <v>652</v>
      </c>
      <c r="D32" s="90" t="s">
        <v>656</v>
      </c>
      <c r="E32" s="90" t="s">
        <v>657</v>
      </c>
      <c r="F32" s="90" t="s">
        <v>658</v>
      </c>
      <c r="G32" s="89">
        <v>79624.999999999985</v>
      </c>
      <c r="H32" s="141" t="str">
        <f t="shared" si="6"/>
        <v>111504525816</v>
      </c>
      <c r="I32" s="142">
        <v>0.10419999999999996</v>
      </c>
      <c r="J32" s="142" t="s">
        <v>1861</v>
      </c>
      <c r="K32" s="143">
        <f t="shared" si="3"/>
        <v>8296.9249999999956</v>
      </c>
      <c r="L32" s="144">
        <f t="shared" si="4"/>
        <v>71328.074999999983</v>
      </c>
      <c r="M32" s="144">
        <f t="shared" si="5"/>
        <v>79624.999999999971</v>
      </c>
      <c r="N32" s="145" t="s">
        <v>638</v>
      </c>
      <c r="O32" s="125"/>
    </row>
    <row r="33" spans="1:15" ht="15" customHeight="1" x14ac:dyDescent="0.3">
      <c r="A33" s="90" t="s">
        <v>152</v>
      </c>
      <c r="B33" s="90" t="s">
        <v>651</v>
      </c>
      <c r="C33" s="90" t="s">
        <v>652</v>
      </c>
      <c r="D33" s="90" t="s">
        <v>659</v>
      </c>
      <c r="E33" s="90" t="s">
        <v>660</v>
      </c>
      <c r="F33" s="90" t="s">
        <v>661</v>
      </c>
      <c r="G33" s="89">
        <v>83851.839999999982</v>
      </c>
      <c r="H33" s="141" t="str">
        <f t="shared" si="6"/>
        <v>111504515816</v>
      </c>
      <c r="I33" s="142">
        <v>0.10419999999999996</v>
      </c>
      <c r="J33" s="142" t="s">
        <v>1861</v>
      </c>
      <c r="K33" s="143">
        <f t="shared" si="3"/>
        <v>8737.3617279999944</v>
      </c>
      <c r="L33" s="144">
        <f t="shared" si="4"/>
        <v>75114.478271999993</v>
      </c>
      <c r="M33" s="144">
        <f t="shared" si="5"/>
        <v>83851.839999999982</v>
      </c>
      <c r="N33" s="145" t="s">
        <v>638</v>
      </c>
      <c r="O33" s="125"/>
    </row>
    <row r="34" spans="1:15" ht="15" customHeight="1" x14ac:dyDescent="0.3">
      <c r="A34" s="90" t="s">
        <v>152</v>
      </c>
      <c r="B34" s="90" t="s">
        <v>651</v>
      </c>
      <c r="C34" s="90" t="s">
        <v>652</v>
      </c>
      <c r="D34" s="90" t="s">
        <v>646</v>
      </c>
      <c r="E34" s="90" t="s">
        <v>647</v>
      </c>
      <c r="F34" s="90" t="s">
        <v>648</v>
      </c>
      <c r="G34" s="89">
        <v>88128.999999999985</v>
      </c>
      <c r="H34" s="141" t="str">
        <f t="shared" si="6"/>
        <v>111504520816</v>
      </c>
      <c r="I34" s="142">
        <v>0.10419999999999996</v>
      </c>
      <c r="J34" s="142" t="s">
        <v>1861</v>
      </c>
      <c r="K34" s="143">
        <f t="shared" si="3"/>
        <v>9183.0417999999954</v>
      </c>
      <c r="L34" s="144">
        <f t="shared" si="4"/>
        <v>78945.958199999994</v>
      </c>
      <c r="M34" s="144">
        <f t="shared" si="5"/>
        <v>88128.999999999985</v>
      </c>
      <c r="N34" s="145" t="s">
        <v>638</v>
      </c>
      <c r="O34" s="125"/>
    </row>
    <row r="35" spans="1:15" ht="15" customHeight="1" x14ac:dyDescent="0.3">
      <c r="A35" s="90" t="s">
        <v>153</v>
      </c>
      <c r="B35" s="90" t="s">
        <v>633</v>
      </c>
      <c r="C35" s="90" t="s">
        <v>634</v>
      </c>
      <c r="D35" s="90" t="s">
        <v>662</v>
      </c>
      <c r="E35" s="90" t="s">
        <v>663</v>
      </c>
      <c r="F35" s="90" t="s">
        <v>664</v>
      </c>
      <c r="G35" s="89">
        <v>812.74</v>
      </c>
      <c r="H35" s="141" t="str">
        <f t="shared" si="6"/>
        <v>112004405818</v>
      </c>
      <c r="I35" s="142">
        <v>0.10419999999999996</v>
      </c>
      <c r="J35" s="142" t="s">
        <v>1861</v>
      </c>
      <c r="K35" s="143">
        <f t="shared" si="3"/>
        <v>84.687507999999966</v>
      </c>
      <c r="L35" s="144">
        <f t="shared" si="4"/>
        <v>728.05249200000003</v>
      </c>
      <c r="M35" s="144">
        <f t="shared" si="5"/>
        <v>812.74</v>
      </c>
      <c r="N35" s="145" t="s">
        <v>665</v>
      </c>
      <c r="O35" s="125"/>
    </row>
    <row r="36" spans="1:15" ht="15" customHeight="1" x14ac:dyDescent="0.3">
      <c r="A36" s="90" t="s">
        <v>153</v>
      </c>
      <c r="B36" s="90" t="s">
        <v>649</v>
      </c>
      <c r="C36" s="90" t="s">
        <v>650</v>
      </c>
      <c r="D36" s="90" t="s">
        <v>666</v>
      </c>
      <c r="E36" s="90" t="s">
        <v>667</v>
      </c>
      <c r="F36" s="90" t="s">
        <v>664</v>
      </c>
      <c r="G36" s="89">
        <v>2995.0499999999997</v>
      </c>
      <c r="H36" s="141" t="str">
        <f t="shared" si="6"/>
        <v>116004395818</v>
      </c>
      <c r="I36" s="142">
        <v>0.10419999999999996</v>
      </c>
      <c r="J36" s="142" t="s">
        <v>1861</v>
      </c>
      <c r="K36" s="143">
        <f t="shared" si="3"/>
        <v>312.08420999999987</v>
      </c>
      <c r="L36" s="144">
        <f t="shared" si="4"/>
        <v>2682.9657899999997</v>
      </c>
      <c r="M36" s="144">
        <f t="shared" si="5"/>
        <v>2995.0499999999997</v>
      </c>
      <c r="N36" s="145" t="s">
        <v>665</v>
      </c>
      <c r="O36" s="125"/>
    </row>
    <row r="37" spans="1:15" ht="15" customHeight="1" x14ac:dyDescent="0.3">
      <c r="A37" s="90" t="s">
        <v>153</v>
      </c>
      <c r="B37" s="90" t="s">
        <v>649</v>
      </c>
      <c r="C37" s="90" t="s">
        <v>650</v>
      </c>
      <c r="D37" s="90" t="s">
        <v>668</v>
      </c>
      <c r="E37" s="90" t="s">
        <v>669</v>
      </c>
      <c r="F37" s="90" t="s">
        <v>664</v>
      </c>
      <c r="G37" s="89">
        <v>4272.3600000000006</v>
      </c>
      <c r="H37" s="141" t="str">
        <f t="shared" si="6"/>
        <v>116004406818</v>
      </c>
      <c r="I37" s="142">
        <v>0.10419999999999996</v>
      </c>
      <c r="J37" s="142" t="s">
        <v>1861</v>
      </c>
      <c r="K37" s="143">
        <f t="shared" si="3"/>
        <v>445.17991199999989</v>
      </c>
      <c r="L37" s="144">
        <f t="shared" si="4"/>
        <v>3827.1800880000005</v>
      </c>
      <c r="M37" s="144">
        <f t="shared" si="5"/>
        <v>4272.3600000000006</v>
      </c>
      <c r="N37" s="145" t="s">
        <v>665</v>
      </c>
      <c r="O37" s="125"/>
    </row>
    <row r="38" spans="1:15" ht="15" customHeight="1" x14ac:dyDescent="0.3">
      <c r="A38" s="90" t="s">
        <v>153</v>
      </c>
      <c r="B38" s="90" t="s">
        <v>633</v>
      </c>
      <c r="C38" s="90" t="s">
        <v>634</v>
      </c>
      <c r="D38" s="90" t="s">
        <v>668</v>
      </c>
      <c r="E38" s="90" t="s">
        <v>669</v>
      </c>
      <c r="F38" s="90" t="s">
        <v>664</v>
      </c>
      <c r="G38" s="89">
        <v>5393.9</v>
      </c>
      <c r="H38" s="141" t="str">
        <f t="shared" si="6"/>
        <v>112004406818</v>
      </c>
      <c r="I38" s="142">
        <v>0.10419999999999996</v>
      </c>
      <c r="J38" s="142" t="s">
        <v>1861</v>
      </c>
      <c r="K38" s="143">
        <f t="shared" si="3"/>
        <v>562.04437999999971</v>
      </c>
      <c r="L38" s="144">
        <f t="shared" si="4"/>
        <v>4831.8556200000003</v>
      </c>
      <c r="M38" s="144">
        <f t="shared" si="5"/>
        <v>5393.9</v>
      </c>
      <c r="N38" s="145" t="s">
        <v>665</v>
      </c>
      <c r="O38" s="125"/>
    </row>
    <row r="39" spans="1:15" ht="15" customHeight="1" x14ac:dyDescent="0.3">
      <c r="A39" s="90" t="s">
        <v>153</v>
      </c>
      <c r="B39" s="90" t="s">
        <v>649</v>
      </c>
      <c r="C39" s="90" t="s">
        <v>650</v>
      </c>
      <c r="D39" s="90" t="s">
        <v>670</v>
      </c>
      <c r="E39" s="90" t="s">
        <v>671</v>
      </c>
      <c r="F39" s="90" t="s">
        <v>664</v>
      </c>
      <c r="G39" s="89">
        <v>11936.07</v>
      </c>
      <c r="H39" s="141" t="str">
        <f t="shared" si="6"/>
        <v>116004400818</v>
      </c>
      <c r="I39" s="142">
        <v>0.10419999999999996</v>
      </c>
      <c r="J39" s="142" t="s">
        <v>1861</v>
      </c>
      <c r="K39" s="143">
        <f t="shared" si="3"/>
        <v>1243.7384939999995</v>
      </c>
      <c r="L39" s="144">
        <f t="shared" si="4"/>
        <v>10692.331506</v>
      </c>
      <c r="M39" s="144">
        <f t="shared" si="5"/>
        <v>11936.07</v>
      </c>
      <c r="N39" s="145" t="s">
        <v>665</v>
      </c>
      <c r="O39" s="125"/>
    </row>
    <row r="40" spans="1:15" ht="15" customHeight="1" x14ac:dyDescent="0.3">
      <c r="A40" s="90" t="s">
        <v>153</v>
      </c>
      <c r="B40" s="90" t="s">
        <v>649</v>
      </c>
      <c r="C40" s="90" t="s">
        <v>650</v>
      </c>
      <c r="D40" s="90" t="s">
        <v>662</v>
      </c>
      <c r="E40" s="90" t="s">
        <v>663</v>
      </c>
      <c r="F40" s="90" t="s">
        <v>664</v>
      </c>
      <c r="G40" s="89">
        <v>47667.55</v>
      </c>
      <c r="H40" s="141" t="str">
        <f t="shared" si="6"/>
        <v>116004405818</v>
      </c>
      <c r="I40" s="142">
        <v>0.10419999999999996</v>
      </c>
      <c r="J40" s="142" t="s">
        <v>1861</v>
      </c>
      <c r="K40" s="143">
        <f t="shared" si="3"/>
        <v>4966.9587099999981</v>
      </c>
      <c r="L40" s="144">
        <f t="shared" si="4"/>
        <v>42700.591290000004</v>
      </c>
      <c r="M40" s="144">
        <f t="shared" si="5"/>
        <v>47667.55</v>
      </c>
      <c r="N40" s="145" t="s">
        <v>665</v>
      </c>
      <c r="O40" s="125"/>
    </row>
    <row r="41" spans="1:15" ht="15" customHeight="1" x14ac:dyDescent="0.3">
      <c r="A41" s="90" t="s">
        <v>672</v>
      </c>
      <c r="B41" s="90" t="s">
        <v>633</v>
      </c>
      <c r="C41" s="90" t="s">
        <v>634</v>
      </c>
      <c r="D41" s="90" t="s">
        <v>673</v>
      </c>
      <c r="E41" s="90" t="s">
        <v>663</v>
      </c>
      <c r="F41" s="90" t="s">
        <v>674</v>
      </c>
      <c r="G41" s="89">
        <v>9.9999999999999992E-2</v>
      </c>
      <c r="H41" s="141" t="str">
        <f t="shared" si="6"/>
        <v>112004405819</v>
      </c>
      <c r="I41" s="142">
        <v>0.10419999999999996</v>
      </c>
      <c r="J41" s="142" t="s">
        <v>1861</v>
      </c>
      <c r="K41" s="143">
        <f t="shared" si="3"/>
        <v>1.0419999999999995E-2</v>
      </c>
      <c r="L41" s="144">
        <f t="shared" si="4"/>
        <v>8.9579999999999993E-2</v>
      </c>
      <c r="M41" s="144">
        <f t="shared" si="5"/>
        <v>9.9999999999999992E-2</v>
      </c>
      <c r="N41" s="145" t="s">
        <v>675</v>
      </c>
      <c r="O41" s="125"/>
    </row>
    <row r="42" spans="1:15" ht="15" customHeight="1" x14ac:dyDescent="0.3">
      <c r="A42" s="90" t="s">
        <v>155</v>
      </c>
      <c r="B42" s="90" t="s">
        <v>676</v>
      </c>
      <c r="C42" s="90" t="s">
        <v>677</v>
      </c>
      <c r="D42" s="90" t="s">
        <v>678</v>
      </c>
      <c r="E42" s="90" t="s">
        <v>679</v>
      </c>
      <c r="F42" s="90" t="s">
        <v>680</v>
      </c>
      <c r="G42" s="89">
        <v>485.97</v>
      </c>
      <c r="H42" s="141" t="str">
        <f t="shared" si="6"/>
        <v>154101310820</v>
      </c>
      <c r="I42" s="142">
        <v>0.11208</v>
      </c>
      <c r="J42" s="142" t="s">
        <v>1862</v>
      </c>
      <c r="K42" s="143">
        <f t="shared" si="3"/>
        <v>54.467517600000001</v>
      </c>
      <c r="L42" s="144">
        <f t="shared" si="4"/>
        <v>431.50248240000002</v>
      </c>
      <c r="M42" s="144">
        <f t="shared" si="5"/>
        <v>485.97</v>
      </c>
      <c r="N42" s="145" t="s">
        <v>681</v>
      </c>
      <c r="O42" s="125"/>
    </row>
    <row r="43" spans="1:15" ht="15" customHeight="1" x14ac:dyDescent="0.3">
      <c r="A43" s="90" t="s">
        <v>155</v>
      </c>
      <c r="B43" s="90" t="s">
        <v>682</v>
      </c>
      <c r="C43" s="90" t="s">
        <v>683</v>
      </c>
      <c r="D43" s="90" t="s">
        <v>678</v>
      </c>
      <c r="E43" s="90" t="s">
        <v>679</v>
      </c>
      <c r="F43" s="90" t="s">
        <v>680</v>
      </c>
      <c r="G43" s="89">
        <v>1881.5</v>
      </c>
      <c r="H43" s="141" t="str">
        <f t="shared" si="6"/>
        <v>117001310820</v>
      </c>
      <c r="I43" s="142">
        <v>0.10419999999999996</v>
      </c>
      <c r="J43" s="142" t="s">
        <v>1861</v>
      </c>
      <c r="K43" s="143">
        <f t="shared" si="3"/>
        <v>196.05229999999992</v>
      </c>
      <c r="L43" s="144">
        <f t="shared" si="4"/>
        <v>1685.4477000000002</v>
      </c>
      <c r="M43" s="144">
        <f t="shared" si="5"/>
        <v>1881.5</v>
      </c>
      <c r="N43" s="145" t="s">
        <v>681</v>
      </c>
      <c r="O43" s="125"/>
    </row>
    <row r="44" spans="1:15" ht="15" customHeight="1" x14ac:dyDescent="0.3">
      <c r="A44" s="90" t="s">
        <v>155</v>
      </c>
      <c r="B44" s="90" t="s">
        <v>684</v>
      </c>
      <c r="C44" s="90" t="s">
        <v>685</v>
      </c>
      <c r="D44" s="90" t="s">
        <v>678</v>
      </c>
      <c r="E44" s="90" t="s">
        <v>679</v>
      </c>
      <c r="F44" s="90" t="s">
        <v>680</v>
      </c>
      <c r="G44" s="89">
        <v>8202.93</v>
      </c>
      <c r="H44" s="141" t="str">
        <f t="shared" si="6"/>
        <v>151001310820</v>
      </c>
      <c r="I44" s="142">
        <v>0</v>
      </c>
      <c r="J44" s="142" t="s">
        <v>1863</v>
      </c>
      <c r="K44" s="143">
        <f t="shared" si="3"/>
        <v>0</v>
      </c>
      <c r="L44" s="144">
        <f t="shared" si="4"/>
        <v>8202.93</v>
      </c>
      <c r="M44" s="144">
        <f t="shared" si="5"/>
        <v>8202.93</v>
      </c>
      <c r="N44" s="145" t="s">
        <v>681</v>
      </c>
      <c r="O44" s="125"/>
    </row>
    <row r="45" spans="1:15" ht="15" customHeight="1" x14ac:dyDescent="0.3">
      <c r="A45" s="90" t="s">
        <v>155</v>
      </c>
      <c r="B45" s="90" t="s">
        <v>686</v>
      </c>
      <c r="C45" s="90" t="s">
        <v>687</v>
      </c>
      <c r="D45" s="90" t="s">
        <v>678</v>
      </c>
      <c r="E45" s="90" t="s">
        <v>679</v>
      </c>
      <c r="F45" s="90" t="s">
        <v>680</v>
      </c>
      <c r="G45" s="89">
        <v>9846.880000000001</v>
      </c>
      <c r="H45" s="141" t="str">
        <f t="shared" si="6"/>
        <v>131001310820</v>
      </c>
      <c r="I45" s="142">
        <v>0.11209999999999998</v>
      </c>
      <c r="J45" s="142" t="s">
        <v>1864</v>
      </c>
      <c r="K45" s="143">
        <f t="shared" si="3"/>
        <v>1103.8352479999999</v>
      </c>
      <c r="L45" s="144">
        <f t="shared" si="4"/>
        <v>8743.0447520000016</v>
      </c>
      <c r="M45" s="144">
        <f t="shared" si="5"/>
        <v>9846.880000000001</v>
      </c>
      <c r="N45" s="145" t="s">
        <v>681</v>
      </c>
      <c r="O45" s="125"/>
    </row>
    <row r="46" spans="1:15" ht="15" customHeight="1" x14ac:dyDescent="0.3">
      <c r="A46" s="90" t="s">
        <v>155</v>
      </c>
      <c r="B46" s="90" t="s">
        <v>641</v>
      </c>
      <c r="C46" s="90" t="s">
        <v>642</v>
      </c>
      <c r="D46" s="90" t="s">
        <v>678</v>
      </c>
      <c r="E46" s="90" t="s">
        <v>679</v>
      </c>
      <c r="F46" s="90" t="s">
        <v>680</v>
      </c>
      <c r="G46" s="89">
        <v>32037.27</v>
      </c>
      <c r="H46" s="141" t="str">
        <f t="shared" si="6"/>
        <v>113001310820</v>
      </c>
      <c r="I46" s="142">
        <v>8.3600000000000008E-2</v>
      </c>
      <c r="J46" s="142" t="s">
        <v>1865</v>
      </c>
      <c r="K46" s="143">
        <f t="shared" si="3"/>
        <v>2678.3157720000004</v>
      </c>
      <c r="L46" s="144">
        <f t="shared" si="4"/>
        <v>29358.954227999999</v>
      </c>
      <c r="M46" s="144">
        <f t="shared" si="5"/>
        <v>32037.27</v>
      </c>
      <c r="N46" s="145" t="s">
        <v>681</v>
      </c>
      <c r="O46" s="125"/>
    </row>
    <row r="47" spans="1:15" ht="15" customHeight="1" x14ac:dyDescent="0.3">
      <c r="A47" s="90" t="s">
        <v>155</v>
      </c>
      <c r="B47" s="90" t="s">
        <v>688</v>
      </c>
      <c r="C47" s="90" t="s">
        <v>689</v>
      </c>
      <c r="D47" s="90" t="s">
        <v>678</v>
      </c>
      <c r="E47" s="90" t="s">
        <v>679</v>
      </c>
      <c r="F47" s="90" t="s">
        <v>680</v>
      </c>
      <c r="G47" s="89">
        <v>37458.329999999994</v>
      </c>
      <c r="H47" s="141" t="str">
        <f t="shared" si="6"/>
        <v>111001310820</v>
      </c>
      <c r="I47" s="142">
        <v>0.10419999999999996</v>
      </c>
      <c r="J47" s="142" t="s">
        <v>1861</v>
      </c>
      <c r="K47" s="143">
        <f t="shared" si="3"/>
        <v>3903.1579859999979</v>
      </c>
      <c r="L47" s="144">
        <f t="shared" si="4"/>
        <v>33555.172013999996</v>
      </c>
      <c r="M47" s="144">
        <f t="shared" si="5"/>
        <v>37458.329999999994</v>
      </c>
      <c r="N47" s="145" t="s">
        <v>681</v>
      </c>
      <c r="O47" s="125"/>
    </row>
    <row r="48" spans="1:15" ht="15" customHeight="1" x14ac:dyDescent="0.3">
      <c r="A48" s="90" t="s">
        <v>155</v>
      </c>
      <c r="B48" s="90" t="s">
        <v>633</v>
      </c>
      <c r="C48" s="90" t="s">
        <v>634</v>
      </c>
      <c r="D48" s="90" t="s">
        <v>678</v>
      </c>
      <c r="E48" s="90" t="s">
        <v>679</v>
      </c>
      <c r="F48" s="90" t="s">
        <v>680</v>
      </c>
      <c r="G48" s="89">
        <v>705865.89000000025</v>
      </c>
      <c r="H48" s="141" t="str">
        <f t="shared" si="6"/>
        <v>112001310820</v>
      </c>
      <c r="I48" s="142">
        <v>0.10419999999999996</v>
      </c>
      <c r="J48" s="142" t="s">
        <v>1861</v>
      </c>
      <c r="K48" s="143">
        <f t="shared" si="3"/>
        <v>73551.225737999994</v>
      </c>
      <c r="L48" s="144">
        <f t="shared" si="4"/>
        <v>632314.66426200024</v>
      </c>
      <c r="M48" s="144">
        <f t="shared" si="5"/>
        <v>705865.89000000025</v>
      </c>
      <c r="N48" s="145" t="s">
        <v>681</v>
      </c>
      <c r="O48" s="125"/>
    </row>
    <row r="49" spans="1:15" ht="15" customHeight="1" x14ac:dyDescent="0.3">
      <c r="A49" s="90" t="s">
        <v>155</v>
      </c>
      <c r="B49" s="90" t="s">
        <v>649</v>
      </c>
      <c r="C49" s="90" t="s">
        <v>650</v>
      </c>
      <c r="D49" s="90" t="s">
        <v>678</v>
      </c>
      <c r="E49" s="90" t="s">
        <v>679</v>
      </c>
      <c r="F49" s="90" t="s">
        <v>680</v>
      </c>
      <c r="G49" s="89">
        <v>1831049.62</v>
      </c>
      <c r="H49" s="141" t="str">
        <f t="shared" si="6"/>
        <v>116001310820</v>
      </c>
      <c r="I49" s="142">
        <v>0.10419999999999996</v>
      </c>
      <c r="J49" s="142" t="s">
        <v>1861</v>
      </c>
      <c r="K49" s="143">
        <f t="shared" si="3"/>
        <v>190795.37040399993</v>
      </c>
      <c r="L49" s="144">
        <f t="shared" si="4"/>
        <v>1640254.2495960002</v>
      </c>
      <c r="M49" s="144">
        <f t="shared" si="5"/>
        <v>1831049.62</v>
      </c>
      <c r="N49" s="145" t="s">
        <v>681</v>
      </c>
      <c r="O49" s="125"/>
    </row>
    <row r="50" spans="1:15" ht="15" customHeight="1" x14ac:dyDescent="0.3">
      <c r="A50" s="90" t="s">
        <v>157</v>
      </c>
      <c r="B50" s="90" t="s">
        <v>690</v>
      </c>
      <c r="C50" s="90" t="s">
        <v>691</v>
      </c>
      <c r="D50" s="90" t="s">
        <v>692</v>
      </c>
      <c r="E50" s="90" t="s">
        <v>693</v>
      </c>
      <c r="F50" s="90" t="s">
        <v>694</v>
      </c>
      <c r="G50" s="89">
        <v>527.12</v>
      </c>
      <c r="H50" s="141" t="str">
        <f t="shared" si="6"/>
        <v>141004500821</v>
      </c>
      <c r="I50" s="142">
        <v>1.1399999999999966E-2</v>
      </c>
      <c r="J50" s="142" t="s">
        <v>281</v>
      </c>
      <c r="K50" s="143">
        <f t="shared" si="3"/>
        <v>6.0091679999999821</v>
      </c>
      <c r="L50" s="144">
        <f t="shared" si="4"/>
        <v>521.11083200000007</v>
      </c>
      <c r="M50" s="144">
        <f t="shared" si="5"/>
        <v>527.12</v>
      </c>
      <c r="N50" s="145" t="s">
        <v>695</v>
      </c>
      <c r="O50" s="125"/>
    </row>
    <row r="51" spans="1:15" ht="15" customHeight="1" x14ac:dyDescent="0.3">
      <c r="A51" s="90" t="s">
        <v>157</v>
      </c>
      <c r="B51" s="90" t="s">
        <v>633</v>
      </c>
      <c r="C51" s="90" t="s">
        <v>634</v>
      </c>
      <c r="D51" s="90" t="s">
        <v>692</v>
      </c>
      <c r="E51" s="90" t="s">
        <v>693</v>
      </c>
      <c r="F51" s="90" t="s">
        <v>694</v>
      </c>
      <c r="G51" s="89">
        <v>8036.8899999999967</v>
      </c>
      <c r="H51" s="141" t="str">
        <f t="shared" si="6"/>
        <v>112004500821</v>
      </c>
      <c r="I51" s="142">
        <v>0.10419999999999996</v>
      </c>
      <c r="J51" s="142" t="s">
        <v>1861</v>
      </c>
      <c r="K51" s="143">
        <f t="shared" si="3"/>
        <v>837.44393799999932</v>
      </c>
      <c r="L51" s="144">
        <f t="shared" si="4"/>
        <v>7199.4460619999973</v>
      </c>
      <c r="M51" s="144">
        <f t="shared" si="5"/>
        <v>8036.8899999999967</v>
      </c>
      <c r="N51" s="145" t="s">
        <v>695</v>
      </c>
      <c r="O51" s="125"/>
    </row>
    <row r="52" spans="1:15" ht="15" customHeight="1" x14ac:dyDescent="0.3">
      <c r="A52" s="90" t="s">
        <v>157</v>
      </c>
      <c r="B52" s="90" t="s">
        <v>649</v>
      </c>
      <c r="C52" s="90" t="s">
        <v>650</v>
      </c>
      <c r="D52" s="90" t="s">
        <v>692</v>
      </c>
      <c r="E52" s="90" t="s">
        <v>693</v>
      </c>
      <c r="F52" s="90" t="s">
        <v>694</v>
      </c>
      <c r="G52" s="89">
        <v>12423.28</v>
      </c>
      <c r="H52" s="141" t="str">
        <f t="shared" si="6"/>
        <v>116004500821</v>
      </c>
      <c r="I52" s="142">
        <v>0.10419999999999996</v>
      </c>
      <c r="J52" s="142" t="s">
        <v>1861</v>
      </c>
      <c r="K52" s="143">
        <f t="shared" si="3"/>
        <v>1294.5057759999995</v>
      </c>
      <c r="L52" s="144">
        <f t="shared" si="4"/>
        <v>11128.774224000001</v>
      </c>
      <c r="M52" s="144">
        <f t="shared" si="5"/>
        <v>12423.28</v>
      </c>
      <c r="N52" s="145" t="s">
        <v>695</v>
      </c>
      <c r="O52" s="125"/>
    </row>
    <row r="53" spans="1:15" ht="15" customHeight="1" x14ac:dyDescent="0.3">
      <c r="A53" s="90" t="s">
        <v>160</v>
      </c>
      <c r="B53" s="90" t="s">
        <v>684</v>
      </c>
      <c r="C53" s="90" t="s">
        <v>685</v>
      </c>
      <c r="D53" s="90" t="s">
        <v>696</v>
      </c>
      <c r="E53" s="90" t="s">
        <v>697</v>
      </c>
      <c r="F53" s="90" t="s">
        <v>698</v>
      </c>
      <c r="G53" s="89">
        <v>112.04</v>
      </c>
      <c r="H53" s="141" t="str">
        <f t="shared" si="6"/>
        <v>151001295832</v>
      </c>
      <c r="I53" s="142">
        <v>0.10419999999999996</v>
      </c>
      <c r="J53" s="142" t="s">
        <v>1861</v>
      </c>
      <c r="K53" s="143">
        <f t="shared" si="3"/>
        <v>11.674567999999995</v>
      </c>
      <c r="L53" s="144">
        <f t="shared" si="4"/>
        <v>100.36543200000001</v>
      </c>
      <c r="M53" s="144">
        <f t="shared" si="5"/>
        <v>112.04</v>
      </c>
      <c r="N53" s="145" t="s">
        <v>699</v>
      </c>
      <c r="O53" s="125"/>
    </row>
    <row r="54" spans="1:15" ht="15" customHeight="1" x14ac:dyDescent="0.3">
      <c r="A54" s="90" t="s">
        <v>160</v>
      </c>
      <c r="B54" s="90" t="s">
        <v>700</v>
      </c>
      <c r="C54" s="90" t="s">
        <v>701</v>
      </c>
      <c r="D54" s="90" t="s">
        <v>696</v>
      </c>
      <c r="E54" s="90" t="s">
        <v>697</v>
      </c>
      <c r="F54" s="90" t="s">
        <v>698</v>
      </c>
      <c r="G54" s="89">
        <v>12710</v>
      </c>
      <c r="H54" s="141" t="str">
        <f t="shared" si="6"/>
        <v>420161295832</v>
      </c>
      <c r="I54" s="142">
        <v>0.10419999999999996</v>
      </c>
      <c r="J54" s="142" t="s">
        <v>1861</v>
      </c>
      <c r="K54" s="143">
        <f t="shared" si="3"/>
        <v>1324.3819999999994</v>
      </c>
      <c r="L54" s="144">
        <f t="shared" si="4"/>
        <v>11385.618</v>
      </c>
      <c r="M54" s="144">
        <f t="shared" si="5"/>
        <v>12710</v>
      </c>
      <c r="N54" s="145" t="s">
        <v>699</v>
      </c>
      <c r="O54" s="125"/>
    </row>
    <row r="55" spans="1:15" ht="15" customHeight="1" x14ac:dyDescent="0.3">
      <c r="A55" s="90" t="s">
        <v>160</v>
      </c>
      <c r="B55" s="90" t="s">
        <v>633</v>
      </c>
      <c r="C55" s="90" t="s">
        <v>634</v>
      </c>
      <c r="D55" s="90" t="s">
        <v>696</v>
      </c>
      <c r="E55" s="90" t="s">
        <v>697</v>
      </c>
      <c r="F55" s="90" t="s">
        <v>698</v>
      </c>
      <c r="G55" s="89">
        <v>98511.43</v>
      </c>
      <c r="H55" s="141" t="str">
        <f t="shared" si="6"/>
        <v>112001295832</v>
      </c>
      <c r="I55" s="142">
        <v>0.10419999999999996</v>
      </c>
      <c r="J55" s="142" t="s">
        <v>1861</v>
      </c>
      <c r="K55" s="143">
        <f t="shared" si="3"/>
        <v>10264.891005999994</v>
      </c>
      <c r="L55" s="144">
        <f t="shared" si="4"/>
        <v>88246.538994000002</v>
      </c>
      <c r="M55" s="144">
        <f t="shared" si="5"/>
        <v>98511.43</v>
      </c>
      <c r="N55" s="145" t="s">
        <v>699</v>
      </c>
      <c r="O55" s="125"/>
    </row>
    <row r="56" spans="1:15" ht="15" customHeight="1" x14ac:dyDescent="0.3">
      <c r="A56" s="90" t="s">
        <v>160</v>
      </c>
      <c r="B56" s="90" t="s">
        <v>649</v>
      </c>
      <c r="C56" s="90" t="s">
        <v>650</v>
      </c>
      <c r="D56" s="90" t="s">
        <v>696</v>
      </c>
      <c r="E56" s="90" t="s">
        <v>697</v>
      </c>
      <c r="F56" s="90" t="s">
        <v>698</v>
      </c>
      <c r="G56" s="89">
        <v>126100.33</v>
      </c>
      <c r="H56" s="141" t="str">
        <f t="shared" si="6"/>
        <v>116001295832</v>
      </c>
      <c r="I56" s="142">
        <v>0.10419999999999996</v>
      </c>
      <c r="J56" s="142" t="s">
        <v>1861</v>
      </c>
      <c r="K56" s="143">
        <f t="shared" si="3"/>
        <v>13139.654385999995</v>
      </c>
      <c r="L56" s="144">
        <f t="shared" si="4"/>
        <v>112960.67561400001</v>
      </c>
      <c r="M56" s="144">
        <f t="shared" si="5"/>
        <v>126100.33</v>
      </c>
      <c r="N56" s="145" t="s">
        <v>699</v>
      </c>
      <c r="O56" s="125"/>
    </row>
    <row r="57" spans="1:15" ht="15" customHeight="1" x14ac:dyDescent="0.3">
      <c r="A57" s="90" t="s">
        <v>702</v>
      </c>
      <c r="B57" s="90" t="s">
        <v>649</v>
      </c>
      <c r="C57" s="90" t="s">
        <v>650</v>
      </c>
      <c r="D57" s="90" t="s">
        <v>703</v>
      </c>
      <c r="E57" s="90" t="s">
        <v>704</v>
      </c>
      <c r="F57" s="90" t="s">
        <v>705</v>
      </c>
      <c r="G57" s="89">
        <v>232439.48999999996</v>
      </c>
      <c r="H57" s="141" t="str">
        <f t="shared" si="6"/>
        <v>116001505834</v>
      </c>
      <c r="I57" s="142">
        <v>0.10419999999999996</v>
      </c>
      <c r="J57" s="142" t="s">
        <v>1861</v>
      </c>
      <c r="K57" s="143">
        <f t="shared" si="3"/>
        <v>24220.194857999988</v>
      </c>
      <c r="L57" s="144">
        <f t="shared" si="4"/>
        <v>208219.29514199996</v>
      </c>
      <c r="M57" s="144">
        <f t="shared" si="5"/>
        <v>232439.48999999993</v>
      </c>
      <c r="N57" s="145" t="s">
        <v>706</v>
      </c>
      <c r="O57" s="125"/>
    </row>
    <row r="58" spans="1:15" ht="15" customHeight="1" x14ac:dyDescent="0.3">
      <c r="A58" s="90" t="s">
        <v>164</v>
      </c>
      <c r="B58" s="90" t="s">
        <v>684</v>
      </c>
      <c r="C58" s="90" t="s">
        <v>685</v>
      </c>
      <c r="D58" s="90" t="s">
        <v>707</v>
      </c>
      <c r="E58" s="90" t="s">
        <v>708</v>
      </c>
      <c r="F58" s="90" t="s">
        <v>709</v>
      </c>
      <c r="G58" s="89">
        <v>16405.5</v>
      </c>
      <c r="H58" s="141" t="str">
        <f t="shared" si="6"/>
        <v>151001630840</v>
      </c>
      <c r="I58" s="142">
        <v>0.10419999999999996</v>
      </c>
      <c r="J58" s="142" t="s">
        <v>1861</v>
      </c>
      <c r="K58" s="143">
        <f t="shared" si="3"/>
        <v>1709.4530999999993</v>
      </c>
      <c r="L58" s="144">
        <f t="shared" si="4"/>
        <v>14696.046900000001</v>
      </c>
      <c r="M58" s="144">
        <f t="shared" si="5"/>
        <v>16405.5</v>
      </c>
      <c r="N58" s="145" t="s">
        <v>710</v>
      </c>
      <c r="O58" s="125"/>
    </row>
    <row r="59" spans="1:15" ht="15" customHeight="1" x14ac:dyDescent="0.3">
      <c r="A59" s="90" t="s">
        <v>164</v>
      </c>
      <c r="B59" s="90" t="s">
        <v>649</v>
      </c>
      <c r="C59" s="90" t="s">
        <v>650</v>
      </c>
      <c r="D59" s="90" t="s">
        <v>707</v>
      </c>
      <c r="E59" s="90" t="s">
        <v>708</v>
      </c>
      <c r="F59" s="90" t="s">
        <v>709</v>
      </c>
      <c r="G59" s="89">
        <v>39366.850000000006</v>
      </c>
      <c r="H59" s="141" t="str">
        <f t="shared" si="6"/>
        <v>116001630840</v>
      </c>
      <c r="I59" s="142">
        <v>0.10419999999999996</v>
      </c>
      <c r="J59" s="142" t="s">
        <v>1861</v>
      </c>
      <c r="K59" s="143">
        <f t="shared" si="3"/>
        <v>4102.0257699999993</v>
      </c>
      <c r="L59" s="144">
        <f t="shared" si="4"/>
        <v>35264.824230000006</v>
      </c>
      <c r="M59" s="144">
        <f t="shared" si="5"/>
        <v>39366.850000000006</v>
      </c>
      <c r="N59" s="145" t="s">
        <v>710</v>
      </c>
      <c r="O59" s="125"/>
    </row>
    <row r="60" spans="1:15" ht="15" customHeight="1" x14ac:dyDescent="0.3">
      <c r="A60" s="90" t="s">
        <v>164</v>
      </c>
      <c r="B60" s="90" t="s">
        <v>633</v>
      </c>
      <c r="C60" s="90" t="s">
        <v>634</v>
      </c>
      <c r="D60" s="90" t="s">
        <v>707</v>
      </c>
      <c r="E60" s="90" t="s">
        <v>708</v>
      </c>
      <c r="F60" s="90" t="s">
        <v>709</v>
      </c>
      <c r="G60" s="89">
        <v>52210.150000000009</v>
      </c>
      <c r="H60" s="141" t="str">
        <f t="shared" si="6"/>
        <v>112001630840</v>
      </c>
      <c r="I60" s="142">
        <v>0.10419999999999996</v>
      </c>
      <c r="J60" s="142" t="s">
        <v>1861</v>
      </c>
      <c r="K60" s="143">
        <f t="shared" si="3"/>
        <v>5440.2976299999991</v>
      </c>
      <c r="L60" s="144">
        <f t="shared" si="4"/>
        <v>46769.852370000008</v>
      </c>
      <c r="M60" s="144">
        <f t="shared" si="5"/>
        <v>52210.150000000009</v>
      </c>
      <c r="N60" s="145" t="s">
        <v>710</v>
      </c>
      <c r="O60" s="125"/>
    </row>
    <row r="61" spans="1:15" ht="15" customHeight="1" x14ac:dyDescent="0.3">
      <c r="A61" s="90" t="s">
        <v>164</v>
      </c>
      <c r="B61" s="90" t="s">
        <v>641</v>
      </c>
      <c r="C61" s="90" t="s">
        <v>642</v>
      </c>
      <c r="D61" s="90" t="s">
        <v>707</v>
      </c>
      <c r="E61" s="90" t="s">
        <v>708</v>
      </c>
      <c r="F61" s="90" t="s">
        <v>709</v>
      </c>
      <c r="G61" s="89">
        <v>64074.43</v>
      </c>
      <c r="H61" s="141" t="str">
        <f t="shared" si="6"/>
        <v>113001630840</v>
      </c>
      <c r="I61" s="142">
        <v>0.10419999999999996</v>
      </c>
      <c r="J61" s="142" t="s">
        <v>1861</v>
      </c>
      <c r="K61" s="143">
        <f t="shared" si="3"/>
        <v>6676.5556059999972</v>
      </c>
      <c r="L61" s="144">
        <f t="shared" si="4"/>
        <v>57397.874394000006</v>
      </c>
      <c r="M61" s="144">
        <f t="shared" si="5"/>
        <v>64074.43</v>
      </c>
      <c r="N61" s="145" t="s">
        <v>710</v>
      </c>
      <c r="O61" s="125"/>
    </row>
    <row r="62" spans="1:15" ht="15" customHeight="1" x14ac:dyDescent="0.3">
      <c r="A62" s="90" t="s">
        <v>168</v>
      </c>
      <c r="B62" s="90" t="s">
        <v>711</v>
      </c>
      <c r="C62" s="90" t="s">
        <v>712</v>
      </c>
      <c r="D62" s="90" t="s">
        <v>713</v>
      </c>
      <c r="E62" s="90" t="s">
        <v>714</v>
      </c>
      <c r="F62" s="90" t="s">
        <v>715</v>
      </c>
      <c r="G62" s="89">
        <v>24</v>
      </c>
      <c r="H62" s="141" t="str">
        <f t="shared" si="6"/>
        <v>115004485844</v>
      </c>
      <c r="I62" s="142">
        <v>0.10419999999999996</v>
      </c>
      <c r="J62" s="142" t="s">
        <v>1861</v>
      </c>
      <c r="K62" s="143">
        <f t="shared" si="3"/>
        <v>2.500799999999999</v>
      </c>
      <c r="L62" s="144">
        <f t="shared" si="4"/>
        <v>21.499200000000002</v>
      </c>
      <c r="M62" s="144">
        <f t="shared" si="5"/>
        <v>24</v>
      </c>
      <c r="N62" s="145" t="s">
        <v>716</v>
      </c>
      <c r="O62" s="125"/>
    </row>
    <row r="63" spans="1:15" ht="15" customHeight="1" x14ac:dyDescent="0.3">
      <c r="A63" s="90" t="s">
        <v>168</v>
      </c>
      <c r="B63" s="90" t="s">
        <v>717</v>
      </c>
      <c r="C63" s="90" t="s">
        <v>718</v>
      </c>
      <c r="D63" s="90" t="s">
        <v>719</v>
      </c>
      <c r="E63" s="90" t="s">
        <v>720</v>
      </c>
      <c r="F63" s="90" t="s">
        <v>721</v>
      </c>
      <c r="G63" s="89">
        <v>140.74</v>
      </c>
      <c r="H63" s="141" t="str">
        <f t="shared" si="6"/>
        <v>115504470844</v>
      </c>
      <c r="I63" s="142">
        <v>0.10419999999999996</v>
      </c>
      <c r="J63" s="142" t="s">
        <v>1861</v>
      </c>
      <c r="K63" s="143">
        <f t="shared" si="3"/>
        <v>14.665107999999995</v>
      </c>
      <c r="L63" s="144">
        <f t="shared" si="4"/>
        <v>126.07489200000002</v>
      </c>
      <c r="M63" s="144">
        <f t="shared" si="5"/>
        <v>140.74</v>
      </c>
      <c r="N63" s="145" t="s">
        <v>716</v>
      </c>
      <c r="O63" s="125"/>
    </row>
    <row r="64" spans="1:15" ht="15" customHeight="1" x14ac:dyDescent="0.3">
      <c r="A64" s="90" t="s">
        <v>168</v>
      </c>
      <c r="B64" s="90" t="s">
        <v>690</v>
      </c>
      <c r="C64" s="90" t="s">
        <v>691</v>
      </c>
      <c r="D64" s="90" t="s">
        <v>719</v>
      </c>
      <c r="E64" s="90" t="s">
        <v>720</v>
      </c>
      <c r="F64" s="90" t="s">
        <v>721</v>
      </c>
      <c r="G64" s="89">
        <v>367.81</v>
      </c>
      <c r="H64" s="141" t="str">
        <f t="shared" si="6"/>
        <v>141004470844</v>
      </c>
      <c r="I64" s="142">
        <v>0.10419999999999996</v>
      </c>
      <c r="J64" s="142" t="s">
        <v>1861</v>
      </c>
      <c r="K64" s="143">
        <f t="shared" si="3"/>
        <v>38.325801999999989</v>
      </c>
      <c r="L64" s="144">
        <f t="shared" si="4"/>
        <v>329.48419799999999</v>
      </c>
      <c r="M64" s="144">
        <f t="shared" si="5"/>
        <v>367.81</v>
      </c>
      <c r="N64" s="145" t="s">
        <v>716</v>
      </c>
      <c r="O64" s="125"/>
    </row>
    <row r="65" spans="1:15" ht="15" customHeight="1" x14ac:dyDescent="0.3">
      <c r="A65" s="90" t="s">
        <v>168</v>
      </c>
      <c r="B65" s="90" t="s">
        <v>684</v>
      </c>
      <c r="C65" s="90" t="s">
        <v>685</v>
      </c>
      <c r="D65" s="90" t="s">
        <v>722</v>
      </c>
      <c r="E65" s="90" t="s">
        <v>723</v>
      </c>
      <c r="F65" s="90" t="s">
        <v>724</v>
      </c>
      <c r="G65" s="89">
        <v>8202.93</v>
      </c>
      <c r="H65" s="141" t="str">
        <f t="shared" si="6"/>
        <v>151004480844</v>
      </c>
      <c r="I65" s="142">
        <v>0.10419999999999996</v>
      </c>
      <c r="J65" s="142" t="s">
        <v>1861</v>
      </c>
      <c r="K65" s="143">
        <f t="shared" si="3"/>
        <v>854.74530599999969</v>
      </c>
      <c r="L65" s="144">
        <f t="shared" si="4"/>
        <v>7348.1846940000005</v>
      </c>
      <c r="M65" s="144">
        <f t="shared" si="5"/>
        <v>8202.93</v>
      </c>
      <c r="N65" s="145" t="s">
        <v>716</v>
      </c>
      <c r="O65" s="125"/>
    </row>
    <row r="66" spans="1:15" ht="15" customHeight="1" x14ac:dyDescent="0.3">
      <c r="A66" s="90" t="s">
        <v>168</v>
      </c>
      <c r="B66" s="90" t="s">
        <v>684</v>
      </c>
      <c r="C66" s="90" t="s">
        <v>685</v>
      </c>
      <c r="D66" s="90" t="s">
        <v>713</v>
      </c>
      <c r="E66" s="90" t="s">
        <v>714</v>
      </c>
      <c r="F66" s="90" t="s">
        <v>715</v>
      </c>
      <c r="G66" s="89">
        <v>8202.93</v>
      </c>
      <c r="H66" s="141" t="str">
        <f t="shared" si="6"/>
        <v>151004485844</v>
      </c>
      <c r="I66" s="142">
        <v>0.10419999999999996</v>
      </c>
      <c r="J66" s="142" t="s">
        <v>1861</v>
      </c>
      <c r="K66" s="143">
        <f t="shared" si="3"/>
        <v>854.74530599999969</v>
      </c>
      <c r="L66" s="144">
        <f t="shared" si="4"/>
        <v>7348.1846940000005</v>
      </c>
      <c r="M66" s="144">
        <f t="shared" si="5"/>
        <v>8202.93</v>
      </c>
      <c r="N66" s="145" t="s">
        <v>716</v>
      </c>
      <c r="O66" s="125"/>
    </row>
    <row r="67" spans="1:15" ht="15" customHeight="1" x14ac:dyDescent="0.3">
      <c r="A67" s="90" t="s">
        <v>168</v>
      </c>
      <c r="B67" s="90" t="s">
        <v>711</v>
      </c>
      <c r="C67" s="90" t="s">
        <v>712</v>
      </c>
      <c r="D67" s="90" t="s">
        <v>722</v>
      </c>
      <c r="E67" s="90" t="s">
        <v>723</v>
      </c>
      <c r="F67" s="90" t="s">
        <v>724</v>
      </c>
      <c r="G67" s="89">
        <v>17466.34</v>
      </c>
      <c r="H67" s="141" t="str">
        <f t="shared" si="6"/>
        <v>115004480844</v>
      </c>
      <c r="I67" s="142">
        <v>0.10419999999999996</v>
      </c>
      <c r="J67" s="142" t="s">
        <v>1861</v>
      </c>
      <c r="K67" s="143">
        <f t="shared" si="3"/>
        <v>1819.9926279999993</v>
      </c>
      <c r="L67" s="144">
        <f t="shared" si="4"/>
        <v>15646.347372</v>
      </c>
      <c r="M67" s="144">
        <f t="shared" si="5"/>
        <v>17466.34</v>
      </c>
      <c r="N67" s="145" t="s">
        <v>716</v>
      </c>
      <c r="O67" s="125"/>
    </row>
    <row r="68" spans="1:15" ht="15" customHeight="1" x14ac:dyDescent="0.3">
      <c r="A68" s="90" t="s">
        <v>168</v>
      </c>
      <c r="B68" s="90" t="s">
        <v>725</v>
      </c>
      <c r="C68" s="90" t="s">
        <v>726</v>
      </c>
      <c r="D68" s="90" t="s">
        <v>713</v>
      </c>
      <c r="E68" s="90" t="s">
        <v>714</v>
      </c>
      <c r="F68" s="90" t="s">
        <v>715</v>
      </c>
      <c r="G68" s="89">
        <v>18831.739999999998</v>
      </c>
      <c r="H68" s="141" t="str">
        <f t="shared" si="6"/>
        <v>114004485844</v>
      </c>
      <c r="I68" s="142">
        <v>0.10419999999999996</v>
      </c>
      <c r="J68" s="142" t="s">
        <v>1861</v>
      </c>
      <c r="K68" s="143">
        <f t="shared" si="3"/>
        <v>1962.267307999999</v>
      </c>
      <c r="L68" s="144">
        <f t="shared" si="4"/>
        <v>16869.472691999999</v>
      </c>
      <c r="M68" s="144">
        <f t="shared" si="5"/>
        <v>18831.739999999998</v>
      </c>
      <c r="N68" s="145" t="s">
        <v>716</v>
      </c>
      <c r="O68" s="125"/>
    </row>
    <row r="69" spans="1:15" ht="15" customHeight="1" x14ac:dyDescent="0.3">
      <c r="A69" s="90" t="s">
        <v>168</v>
      </c>
      <c r="B69" s="90" t="s">
        <v>633</v>
      </c>
      <c r="C69" s="90" t="s">
        <v>634</v>
      </c>
      <c r="D69" s="90" t="s">
        <v>722</v>
      </c>
      <c r="E69" s="90" t="s">
        <v>723</v>
      </c>
      <c r="F69" s="90" t="s">
        <v>724</v>
      </c>
      <c r="G69" s="89">
        <v>19699.830000000002</v>
      </c>
      <c r="H69" s="141" t="str">
        <f t="shared" si="6"/>
        <v>112004480844</v>
      </c>
      <c r="I69" s="142">
        <v>0.10419999999999996</v>
      </c>
      <c r="J69" s="142" t="s">
        <v>1861</v>
      </c>
      <c r="K69" s="143">
        <f t="shared" si="3"/>
        <v>2052.7222859999993</v>
      </c>
      <c r="L69" s="144">
        <f t="shared" si="4"/>
        <v>17647.107714000002</v>
      </c>
      <c r="M69" s="144">
        <f t="shared" si="5"/>
        <v>19699.830000000002</v>
      </c>
      <c r="N69" s="145" t="s">
        <v>716</v>
      </c>
      <c r="O69" s="125"/>
    </row>
    <row r="70" spans="1:15" ht="15" customHeight="1" x14ac:dyDescent="0.3">
      <c r="A70" s="90" t="s">
        <v>168</v>
      </c>
      <c r="B70" s="90" t="s">
        <v>633</v>
      </c>
      <c r="C70" s="90" t="s">
        <v>634</v>
      </c>
      <c r="D70" s="90" t="s">
        <v>713</v>
      </c>
      <c r="E70" s="90" t="s">
        <v>714</v>
      </c>
      <c r="F70" s="90" t="s">
        <v>715</v>
      </c>
      <c r="G70" s="89">
        <v>23792.06</v>
      </c>
      <c r="H70" s="141" t="str">
        <f t="shared" si="6"/>
        <v>112004485844</v>
      </c>
      <c r="I70" s="142">
        <v>0.10419999999999996</v>
      </c>
      <c r="J70" s="142" t="s">
        <v>1861</v>
      </c>
      <c r="K70" s="143">
        <f t="shared" si="3"/>
        <v>2479.1326519999993</v>
      </c>
      <c r="L70" s="144">
        <f t="shared" si="4"/>
        <v>21312.927348000001</v>
      </c>
      <c r="M70" s="144">
        <f t="shared" si="5"/>
        <v>23792.06</v>
      </c>
      <c r="N70" s="145" t="s">
        <v>716</v>
      </c>
      <c r="O70" s="125"/>
    </row>
    <row r="71" spans="1:15" ht="15" customHeight="1" x14ac:dyDescent="0.3">
      <c r="A71" s="90" t="s">
        <v>168</v>
      </c>
      <c r="B71" s="90" t="s">
        <v>641</v>
      </c>
      <c r="C71" s="90" t="s">
        <v>642</v>
      </c>
      <c r="D71" s="90" t="s">
        <v>722</v>
      </c>
      <c r="E71" s="90" t="s">
        <v>723</v>
      </c>
      <c r="F71" s="90" t="s">
        <v>724</v>
      </c>
      <c r="G71" s="89">
        <v>32037.27</v>
      </c>
      <c r="H71" s="141" t="str">
        <f t="shared" si="6"/>
        <v>113004480844</v>
      </c>
      <c r="I71" s="142">
        <v>0.10419999999999996</v>
      </c>
      <c r="J71" s="142" t="s">
        <v>1861</v>
      </c>
      <c r="K71" s="143">
        <f t="shared" si="3"/>
        <v>3338.2835339999988</v>
      </c>
      <c r="L71" s="144">
        <f t="shared" si="4"/>
        <v>28698.986466000002</v>
      </c>
      <c r="M71" s="144">
        <f t="shared" si="5"/>
        <v>32037.27</v>
      </c>
      <c r="N71" s="145" t="s">
        <v>716</v>
      </c>
      <c r="O71" s="125"/>
    </row>
    <row r="72" spans="1:15" ht="15" customHeight="1" x14ac:dyDescent="0.3">
      <c r="A72" s="90" t="s">
        <v>168</v>
      </c>
      <c r="B72" s="90" t="s">
        <v>641</v>
      </c>
      <c r="C72" s="90" t="s">
        <v>642</v>
      </c>
      <c r="D72" s="90" t="s">
        <v>713</v>
      </c>
      <c r="E72" s="90" t="s">
        <v>714</v>
      </c>
      <c r="F72" s="90" t="s">
        <v>715</v>
      </c>
      <c r="G72" s="89">
        <v>32037.27</v>
      </c>
      <c r="H72" s="141" t="str">
        <f t="shared" si="6"/>
        <v>113004485844</v>
      </c>
      <c r="I72" s="142">
        <v>0.10419999999999996</v>
      </c>
      <c r="J72" s="142" t="s">
        <v>1861</v>
      </c>
      <c r="K72" s="143">
        <f t="shared" si="3"/>
        <v>3338.2835339999988</v>
      </c>
      <c r="L72" s="144">
        <f t="shared" si="4"/>
        <v>28698.986466000002</v>
      </c>
      <c r="M72" s="144">
        <f t="shared" si="5"/>
        <v>32037.27</v>
      </c>
      <c r="N72" s="145" t="s">
        <v>716</v>
      </c>
      <c r="O72" s="125"/>
    </row>
    <row r="73" spans="1:15" ht="15" customHeight="1" x14ac:dyDescent="0.3">
      <c r="A73" s="90" t="s">
        <v>168</v>
      </c>
      <c r="B73" s="90" t="s">
        <v>633</v>
      </c>
      <c r="C73" s="90" t="s">
        <v>634</v>
      </c>
      <c r="D73" s="90" t="s">
        <v>719</v>
      </c>
      <c r="E73" s="90" t="s">
        <v>720</v>
      </c>
      <c r="F73" s="90" t="s">
        <v>721</v>
      </c>
      <c r="G73" s="89">
        <v>115687.51999999999</v>
      </c>
      <c r="H73" s="141" t="str">
        <f t="shared" si="6"/>
        <v>112004470844</v>
      </c>
      <c r="I73" s="142">
        <v>0.10419999999999996</v>
      </c>
      <c r="J73" s="142" t="s">
        <v>1861</v>
      </c>
      <c r="K73" s="143">
        <f t="shared" si="3"/>
        <v>12054.639583999995</v>
      </c>
      <c r="L73" s="144">
        <f t="shared" si="4"/>
        <v>103632.880416</v>
      </c>
      <c r="M73" s="144">
        <f t="shared" si="5"/>
        <v>115687.51999999999</v>
      </c>
      <c r="N73" s="145" t="s">
        <v>716</v>
      </c>
      <c r="O73" s="125"/>
    </row>
    <row r="74" spans="1:15" ht="15" customHeight="1" x14ac:dyDescent="0.3">
      <c r="A74" s="90" t="s">
        <v>168</v>
      </c>
      <c r="B74" s="90" t="s">
        <v>711</v>
      </c>
      <c r="C74" s="90" t="s">
        <v>712</v>
      </c>
      <c r="D74" s="90" t="s">
        <v>719</v>
      </c>
      <c r="E74" s="90" t="s">
        <v>720</v>
      </c>
      <c r="F74" s="90" t="s">
        <v>721</v>
      </c>
      <c r="G74" s="89">
        <v>268338.94</v>
      </c>
      <c r="H74" s="141" t="str">
        <f t="shared" si="6"/>
        <v>115004470844</v>
      </c>
      <c r="I74" s="142">
        <v>0.10419999999999996</v>
      </c>
      <c r="J74" s="142" t="s">
        <v>1861</v>
      </c>
      <c r="K74" s="143">
        <f t="shared" si="3"/>
        <v>27960.91754799999</v>
      </c>
      <c r="L74" s="144">
        <f t="shared" si="4"/>
        <v>240378.022452</v>
      </c>
      <c r="M74" s="144">
        <f t="shared" si="5"/>
        <v>268338.94</v>
      </c>
      <c r="N74" s="145" t="s">
        <v>716</v>
      </c>
      <c r="O74" s="125"/>
    </row>
    <row r="75" spans="1:15" ht="15" customHeight="1" x14ac:dyDescent="0.3">
      <c r="A75" s="90" t="s">
        <v>168</v>
      </c>
      <c r="B75" s="90" t="s">
        <v>633</v>
      </c>
      <c r="C75" s="90" t="s">
        <v>634</v>
      </c>
      <c r="D75" s="90" t="s">
        <v>727</v>
      </c>
      <c r="E75" s="90" t="s">
        <v>728</v>
      </c>
      <c r="F75" s="90" t="s">
        <v>729</v>
      </c>
      <c r="G75" s="89">
        <v>403623.51999999996</v>
      </c>
      <c r="H75" s="141" t="str">
        <f t="shared" si="6"/>
        <v>112004475844</v>
      </c>
      <c r="I75" s="142">
        <v>0.10419999999999996</v>
      </c>
      <c r="J75" s="142" t="s">
        <v>1861</v>
      </c>
      <c r="K75" s="143">
        <f t="shared" si="3"/>
        <v>42057.570783999981</v>
      </c>
      <c r="L75" s="144">
        <f t="shared" si="4"/>
        <v>361565.94921599998</v>
      </c>
      <c r="M75" s="144">
        <f t="shared" si="5"/>
        <v>403623.51999999996</v>
      </c>
      <c r="N75" s="145" t="s">
        <v>716</v>
      </c>
      <c r="O75" s="125"/>
    </row>
    <row r="76" spans="1:15" ht="15" customHeight="1" x14ac:dyDescent="0.3">
      <c r="A76" s="90" t="s">
        <v>168</v>
      </c>
      <c r="B76" s="90" t="s">
        <v>725</v>
      </c>
      <c r="C76" s="90" t="s">
        <v>726</v>
      </c>
      <c r="D76" s="90" t="s">
        <v>727</v>
      </c>
      <c r="E76" s="90" t="s">
        <v>728</v>
      </c>
      <c r="F76" s="90" t="s">
        <v>729</v>
      </c>
      <c r="G76" s="89">
        <v>943623.76000000013</v>
      </c>
      <c r="H76" s="141" t="str">
        <f t="shared" si="6"/>
        <v>114004475844</v>
      </c>
      <c r="I76" s="142">
        <v>0.10419999999999996</v>
      </c>
      <c r="J76" s="142" t="s">
        <v>1861</v>
      </c>
      <c r="K76" s="143">
        <f t="shared" si="3"/>
        <v>98325.595791999978</v>
      </c>
      <c r="L76" s="144">
        <f t="shared" si="4"/>
        <v>845298.16420800018</v>
      </c>
      <c r="M76" s="144">
        <f t="shared" si="5"/>
        <v>943623.76000000013</v>
      </c>
      <c r="N76" s="145" t="s">
        <v>716</v>
      </c>
      <c r="O76" s="125"/>
    </row>
    <row r="77" spans="1:15" ht="15" customHeight="1" x14ac:dyDescent="0.3">
      <c r="A77" s="90" t="s">
        <v>169</v>
      </c>
      <c r="B77" s="90" t="s">
        <v>633</v>
      </c>
      <c r="C77" s="90" t="s">
        <v>634</v>
      </c>
      <c r="D77" s="90" t="s">
        <v>730</v>
      </c>
      <c r="E77" s="90" t="s">
        <v>731</v>
      </c>
      <c r="F77" s="90" t="s">
        <v>732</v>
      </c>
      <c r="G77" s="89">
        <v>-57624.290000000008</v>
      </c>
      <c r="H77" s="141" t="str">
        <f t="shared" si="6"/>
        <v>112004410845</v>
      </c>
      <c r="I77" s="142">
        <v>0.10419999999999996</v>
      </c>
      <c r="J77" s="142" t="s">
        <v>1861</v>
      </c>
      <c r="K77" s="143">
        <f t="shared" si="3"/>
        <v>-6004.4510179999988</v>
      </c>
      <c r="L77" s="144">
        <f t="shared" si="4"/>
        <v>-51619.838982000008</v>
      </c>
      <c r="M77" s="144">
        <f t="shared" si="5"/>
        <v>-57624.290000000008</v>
      </c>
      <c r="N77" s="145" t="s">
        <v>733</v>
      </c>
      <c r="O77" s="125"/>
    </row>
    <row r="78" spans="1:15" ht="15" customHeight="1" x14ac:dyDescent="0.3">
      <c r="A78" s="90" t="s">
        <v>169</v>
      </c>
      <c r="B78" s="90" t="s">
        <v>725</v>
      </c>
      <c r="C78" s="90" t="s">
        <v>726</v>
      </c>
      <c r="D78" s="90" t="s">
        <v>730</v>
      </c>
      <c r="E78" s="90" t="s">
        <v>731</v>
      </c>
      <c r="F78" s="90" t="s">
        <v>732</v>
      </c>
      <c r="G78" s="89">
        <v>-42937.73</v>
      </c>
      <c r="H78" s="141" t="str">
        <f t="shared" si="6"/>
        <v>114004410845</v>
      </c>
      <c r="I78" s="142">
        <v>0.10419999999999996</v>
      </c>
      <c r="J78" s="142" t="s">
        <v>1861</v>
      </c>
      <c r="K78" s="143">
        <f t="shared" si="3"/>
        <v>-4474.1114659999985</v>
      </c>
      <c r="L78" s="144">
        <f t="shared" si="4"/>
        <v>-38463.618534000008</v>
      </c>
      <c r="M78" s="144">
        <f t="shared" si="5"/>
        <v>-42937.73000000001</v>
      </c>
      <c r="N78" s="145" t="s">
        <v>733</v>
      </c>
      <c r="O78" s="125"/>
    </row>
    <row r="79" spans="1:15" ht="15" customHeight="1" x14ac:dyDescent="0.3">
      <c r="A79" s="90" t="s">
        <v>171</v>
      </c>
      <c r="B79" s="90" t="s">
        <v>711</v>
      </c>
      <c r="C79" s="90" t="s">
        <v>712</v>
      </c>
      <c r="D79" s="90" t="s">
        <v>734</v>
      </c>
      <c r="E79" s="90" t="s">
        <v>728</v>
      </c>
      <c r="F79" s="90" t="s">
        <v>735</v>
      </c>
      <c r="G79" s="89">
        <v>0</v>
      </c>
      <c r="H79" s="141" t="str">
        <f t="shared" si="6"/>
        <v>115004475847</v>
      </c>
      <c r="I79" s="142">
        <v>0.10419999999999996</v>
      </c>
      <c r="J79" s="142" t="s">
        <v>1861</v>
      </c>
      <c r="K79" s="143">
        <f t="shared" si="3"/>
        <v>0</v>
      </c>
      <c r="L79" s="144">
        <f t="shared" si="4"/>
        <v>0</v>
      </c>
      <c r="M79" s="144">
        <f t="shared" si="5"/>
        <v>0</v>
      </c>
      <c r="N79" s="145" t="s">
        <v>736</v>
      </c>
      <c r="O79" s="125"/>
    </row>
    <row r="80" spans="1:15" ht="15" customHeight="1" x14ac:dyDescent="0.3">
      <c r="A80" s="90" t="s">
        <v>171</v>
      </c>
      <c r="B80" s="90" t="s">
        <v>688</v>
      </c>
      <c r="C80" s="90" t="s">
        <v>689</v>
      </c>
      <c r="D80" s="90" t="s">
        <v>734</v>
      </c>
      <c r="E80" s="90" t="s">
        <v>728</v>
      </c>
      <c r="F80" s="90" t="s">
        <v>735</v>
      </c>
      <c r="G80" s="89">
        <v>120</v>
      </c>
      <c r="H80" s="141" t="str">
        <f t="shared" si="6"/>
        <v>111004475847</v>
      </c>
      <c r="I80" s="142">
        <v>0.10419999999999996</v>
      </c>
      <c r="J80" s="142" t="s">
        <v>1861</v>
      </c>
      <c r="K80" s="143">
        <f t="shared" si="3"/>
        <v>12.503999999999994</v>
      </c>
      <c r="L80" s="144">
        <f t="shared" si="4"/>
        <v>107.49600000000001</v>
      </c>
      <c r="M80" s="144">
        <f t="shared" si="5"/>
        <v>120</v>
      </c>
      <c r="N80" s="145" t="s">
        <v>736</v>
      </c>
      <c r="O80" s="125"/>
    </row>
    <row r="81" spans="1:15" ht="15" customHeight="1" x14ac:dyDescent="0.3">
      <c r="A81" s="90" t="s">
        <v>171</v>
      </c>
      <c r="B81" s="90" t="s">
        <v>649</v>
      </c>
      <c r="C81" s="90" t="s">
        <v>650</v>
      </c>
      <c r="D81" s="90" t="s">
        <v>737</v>
      </c>
      <c r="E81" s="90" t="s">
        <v>720</v>
      </c>
      <c r="F81" s="90" t="s">
        <v>738</v>
      </c>
      <c r="G81" s="89">
        <v>161.74</v>
      </c>
      <c r="H81" s="141" t="str">
        <f t="shared" si="6"/>
        <v>116004470847</v>
      </c>
      <c r="I81" s="142">
        <v>0.10419999999999996</v>
      </c>
      <c r="J81" s="142" t="s">
        <v>1861</v>
      </c>
      <c r="K81" s="143">
        <f t="shared" si="3"/>
        <v>16.853307999999995</v>
      </c>
      <c r="L81" s="144">
        <f t="shared" si="4"/>
        <v>144.88669200000001</v>
      </c>
      <c r="M81" s="144">
        <f t="shared" si="5"/>
        <v>161.74</v>
      </c>
      <c r="N81" s="145" t="s">
        <v>736</v>
      </c>
      <c r="O81" s="125"/>
    </row>
    <row r="82" spans="1:15" ht="15" customHeight="1" x14ac:dyDescent="0.3">
      <c r="A82" s="90" t="s">
        <v>171</v>
      </c>
      <c r="B82" s="90" t="s">
        <v>633</v>
      </c>
      <c r="C82" s="90" t="s">
        <v>634</v>
      </c>
      <c r="D82" s="90" t="s">
        <v>737</v>
      </c>
      <c r="E82" s="90" t="s">
        <v>720</v>
      </c>
      <c r="F82" s="90" t="s">
        <v>738</v>
      </c>
      <c r="G82" s="89">
        <v>147906.66999999998</v>
      </c>
      <c r="H82" s="141" t="str">
        <f t="shared" si="6"/>
        <v>112004470847</v>
      </c>
      <c r="I82" s="142">
        <v>0.10419999999999996</v>
      </c>
      <c r="J82" s="142" t="s">
        <v>1861</v>
      </c>
      <c r="K82" s="143">
        <f t="shared" si="3"/>
        <v>15411.875013999992</v>
      </c>
      <c r="L82" s="144">
        <f t="shared" si="4"/>
        <v>132494.79498599999</v>
      </c>
      <c r="M82" s="144">
        <f t="shared" si="5"/>
        <v>147906.66999999998</v>
      </c>
      <c r="N82" s="145" t="s">
        <v>736</v>
      </c>
      <c r="O82" s="125"/>
    </row>
    <row r="83" spans="1:15" ht="15" customHeight="1" x14ac:dyDescent="0.3">
      <c r="A83" s="90" t="s">
        <v>171</v>
      </c>
      <c r="B83" s="90" t="s">
        <v>633</v>
      </c>
      <c r="C83" s="90" t="s">
        <v>634</v>
      </c>
      <c r="D83" s="90" t="s">
        <v>734</v>
      </c>
      <c r="E83" s="90" t="s">
        <v>728</v>
      </c>
      <c r="F83" s="90" t="s">
        <v>735</v>
      </c>
      <c r="G83" s="89">
        <v>161099.53999999998</v>
      </c>
      <c r="H83" s="141" t="str">
        <f t="shared" si="6"/>
        <v>112004475847</v>
      </c>
      <c r="I83" s="142">
        <v>0.10419999999999996</v>
      </c>
      <c r="J83" s="142" t="s">
        <v>1861</v>
      </c>
      <c r="K83" s="143">
        <f t="shared" si="3"/>
        <v>16786.57206799999</v>
      </c>
      <c r="L83" s="144">
        <f t="shared" si="4"/>
        <v>144312.967932</v>
      </c>
      <c r="M83" s="144">
        <f t="shared" si="5"/>
        <v>161099.53999999998</v>
      </c>
      <c r="N83" s="145" t="s">
        <v>736</v>
      </c>
      <c r="O83" s="125"/>
    </row>
    <row r="84" spans="1:15" ht="15" customHeight="1" x14ac:dyDescent="0.3">
      <c r="A84" s="90" t="s">
        <v>171</v>
      </c>
      <c r="B84" s="90" t="s">
        <v>725</v>
      </c>
      <c r="C84" s="90" t="s">
        <v>726</v>
      </c>
      <c r="D84" s="90" t="s">
        <v>734</v>
      </c>
      <c r="E84" s="90" t="s">
        <v>728</v>
      </c>
      <c r="F84" s="90" t="s">
        <v>735</v>
      </c>
      <c r="G84" s="89">
        <v>384986.03</v>
      </c>
      <c r="H84" s="141" t="str">
        <f t="shared" si="6"/>
        <v>114004475847</v>
      </c>
      <c r="I84" s="142">
        <v>0.10419999999999996</v>
      </c>
      <c r="J84" s="142" t="s">
        <v>1861</v>
      </c>
      <c r="K84" s="143">
        <f t="shared" si="3"/>
        <v>40115.544325999988</v>
      </c>
      <c r="L84" s="144">
        <f t="shared" si="4"/>
        <v>344870.48567400005</v>
      </c>
      <c r="M84" s="144">
        <f t="shared" si="5"/>
        <v>384986.03</v>
      </c>
      <c r="N84" s="145" t="s">
        <v>736</v>
      </c>
      <c r="O84" s="125"/>
    </row>
    <row r="85" spans="1:15" ht="15" customHeight="1" x14ac:dyDescent="0.3">
      <c r="A85" s="90" t="s">
        <v>171</v>
      </c>
      <c r="B85" s="90" t="s">
        <v>711</v>
      </c>
      <c r="C85" s="90" t="s">
        <v>712</v>
      </c>
      <c r="D85" s="90" t="s">
        <v>737</v>
      </c>
      <c r="E85" s="90" t="s">
        <v>720</v>
      </c>
      <c r="F85" s="90" t="s">
        <v>738</v>
      </c>
      <c r="G85" s="89">
        <v>423550.47000000003</v>
      </c>
      <c r="H85" s="141" t="str">
        <f t="shared" si="6"/>
        <v>115004470847</v>
      </c>
      <c r="I85" s="142">
        <v>0.10419999999999996</v>
      </c>
      <c r="J85" s="142" t="s">
        <v>1861</v>
      </c>
      <c r="K85" s="143">
        <f t="shared" si="3"/>
        <v>44133.958973999986</v>
      </c>
      <c r="L85" s="144">
        <f t="shared" si="4"/>
        <v>379416.51102600002</v>
      </c>
      <c r="M85" s="144">
        <f t="shared" si="5"/>
        <v>423550.47000000003</v>
      </c>
      <c r="N85" s="145" t="s">
        <v>736</v>
      </c>
      <c r="O85" s="125"/>
    </row>
    <row r="86" spans="1:15" ht="15" customHeight="1" x14ac:dyDescent="0.3">
      <c r="A86" s="90" t="s">
        <v>175</v>
      </c>
      <c r="B86" s="90" t="s">
        <v>739</v>
      </c>
      <c r="C86" s="90" t="s">
        <v>740</v>
      </c>
      <c r="D86" s="90" t="s">
        <v>741</v>
      </c>
      <c r="E86" s="90" t="s">
        <v>742</v>
      </c>
      <c r="F86" s="90" t="s">
        <v>743</v>
      </c>
      <c r="G86" s="89">
        <v>204.87</v>
      </c>
      <c r="H86" s="141" t="str">
        <f t="shared" si="6"/>
        <v>155061676856</v>
      </c>
      <c r="I86" s="142">
        <v>0</v>
      </c>
      <c r="J86" s="142" t="s">
        <v>1863</v>
      </c>
      <c r="K86" s="143">
        <f t="shared" si="3"/>
        <v>0</v>
      </c>
      <c r="L86" s="144">
        <f t="shared" si="4"/>
        <v>204.87</v>
      </c>
      <c r="M86" s="144">
        <f t="shared" si="5"/>
        <v>204.87</v>
      </c>
      <c r="N86" s="145" t="s">
        <v>744</v>
      </c>
      <c r="O86" s="125"/>
    </row>
    <row r="87" spans="1:15" ht="15" customHeight="1" x14ac:dyDescent="0.3">
      <c r="A87" s="90" t="s">
        <v>175</v>
      </c>
      <c r="B87" s="90" t="s">
        <v>745</v>
      </c>
      <c r="C87" s="90" t="s">
        <v>746</v>
      </c>
      <c r="D87" s="90" t="s">
        <v>747</v>
      </c>
      <c r="E87" s="90" t="s">
        <v>748</v>
      </c>
      <c r="F87" s="90" t="s">
        <v>749</v>
      </c>
      <c r="G87" s="89">
        <v>254.24</v>
      </c>
      <c r="H87" s="141" t="str">
        <f t="shared" si="6"/>
        <v>141091695856</v>
      </c>
      <c r="I87" s="142">
        <v>1</v>
      </c>
      <c r="J87" s="142" t="s">
        <v>1484</v>
      </c>
      <c r="K87" s="143">
        <f t="shared" si="3"/>
        <v>254.24</v>
      </c>
      <c r="L87" s="144">
        <f t="shared" si="4"/>
        <v>0</v>
      </c>
      <c r="M87" s="144">
        <f t="shared" si="5"/>
        <v>254.24</v>
      </c>
      <c r="N87" s="145" t="s">
        <v>744</v>
      </c>
      <c r="O87" s="125"/>
    </row>
    <row r="88" spans="1:15" ht="15" customHeight="1" x14ac:dyDescent="0.3">
      <c r="A88" s="90" t="s">
        <v>175</v>
      </c>
      <c r="B88" s="90" t="s">
        <v>750</v>
      </c>
      <c r="C88" s="90" t="s">
        <v>751</v>
      </c>
      <c r="D88" s="90" t="s">
        <v>747</v>
      </c>
      <c r="E88" s="90" t="s">
        <v>748</v>
      </c>
      <c r="F88" s="90" t="s">
        <v>749</v>
      </c>
      <c r="G88" s="89">
        <v>812.92000000000007</v>
      </c>
      <c r="H88" s="141" t="str">
        <f t="shared" si="6"/>
        <v>155071695856</v>
      </c>
      <c r="I88" s="142">
        <v>6.5216999999999997E-2</v>
      </c>
      <c r="J88" s="142" t="s">
        <v>1866</v>
      </c>
      <c r="K88" s="143">
        <f t="shared" ref="K88:K151" si="7">G88*I88</f>
        <v>53.016203640000001</v>
      </c>
      <c r="L88" s="144">
        <f t="shared" ref="L88:L151" si="8">G88-K88</f>
        <v>759.90379636000011</v>
      </c>
      <c r="M88" s="144">
        <f t="shared" ref="M88:M151" si="9">K88+L88</f>
        <v>812.92000000000007</v>
      </c>
      <c r="N88" s="145" t="s">
        <v>744</v>
      </c>
      <c r="O88" s="125"/>
    </row>
    <row r="89" spans="1:15" ht="15" customHeight="1" x14ac:dyDescent="0.3">
      <c r="A89" s="90" t="s">
        <v>175</v>
      </c>
      <c r="B89" s="90" t="s">
        <v>690</v>
      </c>
      <c r="C89" s="90" t="s">
        <v>691</v>
      </c>
      <c r="D89" s="90" t="s">
        <v>752</v>
      </c>
      <c r="E89" s="90" t="s">
        <v>753</v>
      </c>
      <c r="F89" s="90" t="s">
        <v>754</v>
      </c>
      <c r="G89" s="89">
        <v>864.06</v>
      </c>
      <c r="H89" s="141" t="str">
        <f t="shared" ref="H89:H152" si="10">CONCATENATE(B89,RIGHT(D89,4),A89)</f>
        <v>141001542856</v>
      </c>
      <c r="I89" s="142">
        <v>1.1399999999999966E-2</v>
      </c>
      <c r="J89" s="142" t="s">
        <v>281</v>
      </c>
      <c r="K89" s="143">
        <f t="shared" si="7"/>
        <v>9.8502839999999701</v>
      </c>
      <c r="L89" s="144">
        <f t="shared" si="8"/>
        <v>854.20971599999996</v>
      </c>
      <c r="M89" s="144">
        <f t="shared" si="9"/>
        <v>864.06</v>
      </c>
      <c r="N89" s="145" t="s">
        <v>744</v>
      </c>
      <c r="O89" s="125"/>
    </row>
    <row r="90" spans="1:15" ht="15" customHeight="1" x14ac:dyDescent="0.3">
      <c r="A90" s="90" t="s">
        <v>175</v>
      </c>
      <c r="B90" s="90" t="s">
        <v>750</v>
      </c>
      <c r="C90" s="90" t="s">
        <v>751</v>
      </c>
      <c r="D90" s="90" t="s">
        <v>755</v>
      </c>
      <c r="E90" s="90" t="s">
        <v>756</v>
      </c>
      <c r="F90" s="90" t="s">
        <v>757</v>
      </c>
      <c r="G90" s="89">
        <v>1030.44</v>
      </c>
      <c r="H90" s="141" t="str">
        <f t="shared" si="10"/>
        <v>155071675856</v>
      </c>
      <c r="I90" s="142">
        <v>6.5216999999999997E-2</v>
      </c>
      <c r="J90" s="142" t="s">
        <v>1866</v>
      </c>
      <c r="K90" s="143">
        <f t="shared" si="7"/>
        <v>67.202205480000003</v>
      </c>
      <c r="L90" s="144">
        <f t="shared" si="8"/>
        <v>963.23779452000008</v>
      </c>
      <c r="M90" s="144">
        <f t="shared" si="9"/>
        <v>1030.44</v>
      </c>
      <c r="N90" s="145" t="s">
        <v>744</v>
      </c>
      <c r="O90" s="125"/>
    </row>
    <row r="91" spans="1:15" ht="15" customHeight="1" x14ac:dyDescent="0.3">
      <c r="A91" s="90" t="s">
        <v>175</v>
      </c>
      <c r="B91" s="90" t="s">
        <v>758</v>
      </c>
      <c r="C91" s="90" t="s">
        <v>759</v>
      </c>
      <c r="D91" s="90" t="s">
        <v>747</v>
      </c>
      <c r="E91" s="90" t="s">
        <v>748</v>
      </c>
      <c r="F91" s="90" t="s">
        <v>749</v>
      </c>
      <c r="G91" s="89">
        <v>4978.71</v>
      </c>
      <c r="H91" s="141" t="str">
        <f t="shared" si="10"/>
        <v>155051695856</v>
      </c>
      <c r="I91" s="142">
        <v>0.11209999999999998</v>
      </c>
      <c r="J91" s="142" t="s">
        <v>1864</v>
      </c>
      <c r="K91" s="143">
        <f t="shared" si="7"/>
        <v>558.11339099999987</v>
      </c>
      <c r="L91" s="144">
        <f t="shared" si="8"/>
        <v>4420.5966090000002</v>
      </c>
      <c r="M91" s="144">
        <f t="shared" si="9"/>
        <v>4978.71</v>
      </c>
      <c r="N91" s="145" t="s">
        <v>744</v>
      </c>
      <c r="O91" s="125"/>
    </row>
    <row r="92" spans="1:15" ht="15" customHeight="1" x14ac:dyDescent="0.3">
      <c r="A92" s="90" t="s">
        <v>175</v>
      </c>
      <c r="B92" s="90" t="s">
        <v>739</v>
      </c>
      <c r="C92" s="90" t="s">
        <v>740</v>
      </c>
      <c r="D92" s="90" t="s">
        <v>755</v>
      </c>
      <c r="E92" s="90" t="s">
        <v>756</v>
      </c>
      <c r="F92" s="90" t="s">
        <v>757</v>
      </c>
      <c r="G92" s="89">
        <v>5276.6299999999992</v>
      </c>
      <c r="H92" s="141" t="str">
        <f t="shared" si="10"/>
        <v>155061675856</v>
      </c>
      <c r="I92" s="142">
        <v>0</v>
      </c>
      <c r="J92" s="142" t="s">
        <v>1863</v>
      </c>
      <c r="K92" s="143">
        <f t="shared" si="7"/>
        <v>0</v>
      </c>
      <c r="L92" s="144">
        <f t="shared" si="8"/>
        <v>5276.6299999999992</v>
      </c>
      <c r="M92" s="144">
        <f t="shared" si="9"/>
        <v>5276.6299999999992</v>
      </c>
      <c r="N92" s="145" t="s">
        <v>744</v>
      </c>
      <c r="O92" s="125"/>
    </row>
    <row r="93" spans="1:15" ht="15" customHeight="1" x14ac:dyDescent="0.3">
      <c r="A93" s="90" t="s">
        <v>175</v>
      </c>
      <c r="B93" s="90" t="s">
        <v>739</v>
      </c>
      <c r="C93" s="90" t="s">
        <v>740</v>
      </c>
      <c r="D93" s="90" t="s">
        <v>760</v>
      </c>
      <c r="E93" s="90" t="s">
        <v>761</v>
      </c>
      <c r="F93" s="90" t="s">
        <v>762</v>
      </c>
      <c r="G93" s="89">
        <v>5425.5</v>
      </c>
      <c r="H93" s="141" t="str">
        <f t="shared" si="10"/>
        <v>155061250856</v>
      </c>
      <c r="I93" s="142">
        <v>0</v>
      </c>
      <c r="J93" s="142" t="s">
        <v>1863</v>
      </c>
      <c r="K93" s="143">
        <f t="shared" si="7"/>
        <v>0</v>
      </c>
      <c r="L93" s="144">
        <f t="shared" si="8"/>
        <v>5425.5</v>
      </c>
      <c r="M93" s="144">
        <f t="shared" si="9"/>
        <v>5425.5</v>
      </c>
      <c r="N93" s="145" t="s">
        <v>744</v>
      </c>
      <c r="O93" s="125"/>
    </row>
    <row r="94" spans="1:15" ht="15" customHeight="1" x14ac:dyDescent="0.3">
      <c r="A94" s="90" t="s">
        <v>175</v>
      </c>
      <c r="B94" s="90" t="s">
        <v>684</v>
      </c>
      <c r="C94" s="90" t="s">
        <v>685</v>
      </c>
      <c r="D94" s="90" t="s">
        <v>755</v>
      </c>
      <c r="E94" s="90" t="s">
        <v>756</v>
      </c>
      <c r="F94" s="90" t="s">
        <v>757</v>
      </c>
      <c r="G94" s="89">
        <v>10052.299999999999</v>
      </c>
      <c r="H94" s="141" t="str">
        <f t="shared" si="10"/>
        <v>151001675856</v>
      </c>
      <c r="I94" s="142">
        <v>0</v>
      </c>
      <c r="J94" s="142" t="s">
        <v>1863</v>
      </c>
      <c r="K94" s="143">
        <f t="shared" si="7"/>
        <v>0</v>
      </c>
      <c r="L94" s="144">
        <f t="shared" si="8"/>
        <v>10052.299999999999</v>
      </c>
      <c r="M94" s="144">
        <f t="shared" si="9"/>
        <v>10052.299999999999</v>
      </c>
      <c r="N94" s="145" t="s">
        <v>744</v>
      </c>
      <c r="O94" s="125"/>
    </row>
    <row r="95" spans="1:15" ht="15" customHeight="1" x14ac:dyDescent="0.3">
      <c r="A95" s="90" t="s">
        <v>175</v>
      </c>
      <c r="B95" s="90" t="s">
        <v>688</v>
      </c>
      <c r="C95" s="90" t="s">
        <v>689</v>
      </c>
      <c r="D95" s="90" t="s">
        <v>747</v>
      </c>
      <c r="E95" s="90" t="s">
        <v>748</v>
      </c>
      <c r="F95" s="90" t="s">
        <v>749</v>
      </c>
      <c r="G95" s="89">
        <v>14382.59</v>
      </c>
      <c r="H95" s="141" t="str">
        <f t="shared" si="10"/>
        <v>111001695856</v>
      </c>
      <c r="I95" s="142">
        <v>8.3600000000000008E-2</v>
      </c>
      <c r="J95" s="142" t="s">
        <v>1865</v>
      </c>
      <c r="K95" s="143">
        <f t="shared" si="7"/>
        <v>1202.3845240000001</v>
      </c>
      <c r="L95" s="144">
        <f t="shared" si="8"/>
        <v>13180.205475999999</v>
      </c>
      <c r="M95" s="144">
        <f t="shared" si="9"/>
        <v>14382.59</v>
      </c>
      <c r="N95" s="145" t="s">
        <v>744</v>
      </c>
      <c r="O95" s="125"/>
    </row>
    <row r="96" spans="1:15" ht="15" customHeight="1" x14ac:dyDescent="0.3">
      <c r="A96" s="90" t="s">
        <v>175</v>
      </c>
      <c r="B96" s="90" t="s">
        <v>763</v>
      </c>
      <c r="C96" s="90" t="s">
        <v>764</v>
      </c>
      <c r="D96" s="90" t="s">
        <v>760</v>
      </c>
      <c r="E96" s="90" t="s">
        <v>761</v>
      </c>
      <c r="F96" s="90" t="s">
        <v>762</v>
      </c>
      <c r="G96" s="89">
        <v>16969.539999999997</v>
      </c>
      <c r="H96" s="141" t="str">
        <f t="shared" si="10"/>
        <v>155201250856</v>
      </c>
      <c r="I96" s="142">
        <v>0.11209999999999998</v>
      </c>
      <c r="J96" s="142" t="s">
        <v>1864</v>
      </c>
      <c r="K96" s="143">
        <f t="shared" si="7"/>
        <v>1902.2854339999992</v>
      </c>
      <c r="L96" s="144">
        <f t="shared" si="8"/>
        <v>15067.254565999998</v>
      </c>
      <c r="M96" s="144">
        <f t="shared" si="9"/>
        <v>16969.539999999997</v>
      </c>
      <c r="N96" s="145" t="s">
        <v>744</v>
      </c>
      <c r="O96" s="125"/>
    </row>
    <row r="97" spans="1:15" ht="15" customHeight="1" x14ac:dyDescent="0.3">
      <c r="A97" s="90" t="s">
        <v>175</v>
      </c>
      <c r="B97" s="90" t="s">
        <v>758</v>
      </c>
      <c r="C97" s="90" t="s">
        <v>759</v>
      </c>
      <c r="D97" s="90" t="s">
        <v>765</v>
      </c>
      <c r="E97" s="90" t="s">
        <v>766</v>
      </c>
      <c r="F97" s="90" t="s">
        <v>767</v>
      </c>
      <c r="G97" s="89">
        <v>30116.700000000004</v>
      </c>
      <c r="H97" s="141" t="str">
        <f t="shared" si="10"/>
        <v>155051544856</v>
      </c>
      <c r="I97" s="142">
        <v>1.1399999999999966E-2</v>
      </c>
      <c r="J97" s="142" t="s">
        <v>691</v>
      </c>
      <c r="K97" s="143">
        <f t="shared" si="7"/>
        <v>343.33037999999902</v>
      </c>
      <c r="L97" s="144">
        <f t="shared" si="8"/>
        <v>29773.369620000005</v>
      </c>
      <c r="M97" s="144">
        <f t="shared" si="9"/>
        <v>30116.700000000004</v>
      </c>
      <c r="N97" s="145" t="s">
        <v>744</v>
      </c>
      <c r="O97" s="125"/>
    </row>
    <row r="98" spans="1:15" ht="15" customHeight="1" x14ac:dyDescent="0.3">
      <c r="A98" s="90" t="s">
        <v>175</v>
      </c>
      <c r="B98" s="90" t="s">
        <v>684</v>
      </c>
      <c r="C98" s="90" t="s">
        <v>685</v>
      </c>
      <c r="D98" s="90" t="s">
        <v>747</v>
      </c>
      <c r="E98" s="90" t="s">
        <v>748</v>
      </c>
      <c r="F98" s="90" t="s">
        <v>749</v>
      </c>
      <c r="G98" s="89">
        <v>35900.6</v>
      </c>
      <c r="H98" s="141" t="str">
        <f t="shared" si="10"/>
        <v>151001695856</v>
      </c>
      <c r="I98" s="142">
        <v>0</v>
      </c>
      <c r="J98" s="142" t="s">
        <v>1867</v>
      </c>
      <c r="K98" s="143">
        <f t="shared" si="7"/>
        <v>0</v>
      </c>
      <c r="L98" s="144">
        <f t="shared" si="8"/>
        <v>35900.6</v>
      </c>
      <c r="M98" s="144">
        <f t="shared" si="9"/>
        <v>35900.6</v>
      </c>
      <c r="N98" s="145" t="s">
        <v>744</v>
      </c>
      <c r="O98" s="125"/>
    </row>
    <row r="99" spans="1:15" ht="15" customHeight="1" x14ac:dyDescent="0.3">
      <c r="A99" s="90" t="s">
        <v>175</v>
      </c>
      <c r="B99" s="90" t="s">
        <v>690</v>
      </c>
      <c r="C99" s="90" t="s">
        <v>691</v>
      </c>
      <c r="D99" s="90" t="s">
        <v>768</v>
      </c>
      <c r="E99" s="90" t="s">
        <v>769</v>
      </c>
      <c r="F99" s="90" t="s">
        <v>770</v>
      </c>
      <c r="G99" s="89">
        <v>68085.83</v>
      </c>
      <c r="H99" s="141" t="str">
        <f t="shared" si="10"/>
        <v>141001670856</v>
      </c>
      <c r="I99" s="142">
        <v>1.1399999999999966E-2</v>
      </c>
      <c r="J99" s="142" t="s">
        <v>281</v>
      </c>
      <c r="K99" s="143">
        <f t="shared" si="7"/>
        <v>776.17846199999769</v>
      </c>
      <c r="L99" s="144">
        <f t="shared" si="8"/>
        <v>67309.651538000006</v>
      </c>
      <c r="M99" s="144">
        <f t="shared" si="9"/>
        <v>68085.83</v>
      </c>
      <c r="N99" s="145" t="s">
        <v>744</v>
      </c>
      <c r="O99" s="125"/>
    </row>
    <row r="100" spans="1:15" ht="15" customHeight="1" x14ac:dyDescent="0.3">
      <c r="A100" s="90" t="s">
        <v>175</v>
      </c>
      <c r="B100" s="90" t="s">
        <v>739</v>
      </c>
      <c r="C100" s="90" t="s">
        <v>740</v>
      </c>
      <c r="D100" s="90" t="s">
        <v>747</v>
      </c>
      <c r="E100" s="90" t="s">
        <v>748</v>
      </c>
      <c r="F100" s="90" t="s">
        <v>749</v>
      </c>
      <c r="G100" s="89">
        <v>70702.67</v>
      </c>
      <c r="H100" s="141" t="str">
        <f t="shared" si="10"/>
        <v>155061695856</v>
      </c>
      <c r="I100" s="142">
        <v>0</v>
      </c>
      <c r="J100" s="142" t="s">
        <v>1863</v>
      </c>
      <c r="K100" s="143">
        <f t="shared" si="7"/>
        <v>0</v>
      </c>
      <c r="L100" s="144">
        <f t="shared" si="8"/>
        <v>70702.67</v>
      </c>
      <c r="M100" s="144">
        <f t="shared" si="9"/>
        <v>70702.67</v>
      </c>
      <c r="N100" s="145" t="s">
        <v>744</v>
      </c>
      <c r="O100" s="125"/>
    </row>
    <row r="101" spans="1:15" ht="15" customHeight="1" x14ac:dyDescent="0.3">
      <c r="A101" s="90" t="s">
        <v>175</v>
      </c>
      <c r="B101" s="90" t="s">
        <v>690</v>
      </c>
      <c r="C101" s="90" t="s">
        <v>691</v>
      </c>
      <c r="D101" s="90" t="s">
        <v>760</v>
      </c>
      <c r="E101" s="90" t="s">
        <v>761</v>
      </c>
      <c r="F101" s="90" t="s">
        <v>762</v>
      </c>
      <c r="G101" s="89">
        <v>74355.45</v>
      </c>
      <c r="H101" s="141" t="str">
        <f t="shared" si="10"/>
        <v>141001250856</v>
      </c>
      <c r="I101" s="142">
        <v>1.1399999999999966E-2</v>
      </c>
      <c r="J101" s="142" t="s">
        <v>281</v>
      </c>
      <c r="K101" s="143">
        <f t="shared" si="7"/>
        <v>847.65212999999744</v>
      </c>
      <c r="L101" s="144">
        <f t="shared" si="8"/>
        <v>73507.797869999995</v>
      </c>
      <c r="M101" s="144">
        <f t="shared" si="9"/>
        <v>74355.45</v>
      </c>
      <c r="N101" s="145" t="s">
        <v>744</v>
      </c>
      <c r="O101" s="125"/>
    </row>
    <row r="102" spans="1:15" ht="15" customHeight="1" x14ac:dyDescent="0.3">
      <c r="A102" s="90" t="s">
        <v>175</v>
      </c>
      <c r="B102" s="90" t="s">
        <v>690</v>
      </c>
      <c r="C102" s="90" t="s">
        <v>691</v>
      </c>
      <c r="D102" s="90" t="s">
        <v>747</v>
      </c>
      <c r="E102" s="90" t="s">
        <v>748</v>
      </c>
      <c r="F102" s="90" t="s">
        <v>749</v>
      </c>
      <c r="G102" s="89">
        <v>137676.13999999998</v>
      </c>
      <c r="H102" s="141" t="str">
        <f t="shared" si="10"/>
        <v>141001695856</v>
      </c>
      <c r="I102" s="142">
        <v>1.1399999999999966E-2</v>
      </c>
      <c r="J102" s="142" t="s">
        <v>281</v>
      </c>
      <c r="K102" s="143">
        <f t="shared" si="7"/>
        <v>1569.507995999995</v>
      </c>
      <c r="L102" s="144">
        <f t="shared" si="8"/>
        <v>136106.63200399998</v>
      </c>
      <c r="M102" s="144">
        <f t="shared" si="9"/>
        <v>137676.13999999998</v>
      </c>
      <c r="N102" s="145" t="s">
        <v>744</v>
      </c>
      <c r="O102" s="125"/>
    </row>
    <row r="103" spans="1:15" ht="15" customHeight="1" x14ac:dyDescent="0.3">
      <c r="A103" s="90" t="s">
        <v>175</v>
      </c>
      <c r="B103" s="90" t="s">
        <v>690</v>
      </c>
      <c r="C103" s="90" t="s">
        <v>691</v>
      </c>
      <c r="D103" s="90" t="s">
        <v>741</v>
      </c>
      <c r="E103" s="90" t="s">
        <v>742</v>
      </c>
      <c r="F103" s="90" t="s">
        <v>743</v>
      </c>
      <c r="G103" s="89">
        <v>149763.32</v>
      </c>
      <c r="H103" s="141" t="str">
        <f t="shared" si="10"/>
        <v>141001676856</v>
      </c>
      <c r="I103" s="142">
        <v>1.1399999999999966E-2</v>
      </c>
      <c r="J103" s="142" t="s">
        <v>281</v>
      </c>
      <c r="K103" s="143">
        <f t="shared" si="7"/>
        <v>1707.3018479999948</v>
      </c>
      <c r="L103" s="144">
        <f t="shared" si="8"/>
        <v>148056.018152</v>
      </c>
      <c r="M103" s="144">
        <f t="shared" si="9"/>
        <v>149763.32</v>
      </c>
      <c r="N103" s="145" t="s">
        <v>744</v>
      </c>
      <c r="O103" s="125"/>
    </row>
    <row r="104" spans="1:15" ht="15" customHeight="1" x14ac:dyDescent="0.3">
      <c r="A104" s="90" t="s">
        <v>175</v>
      </c>
      <c r="B104" s="90" t="s">
        <v>690</v>
      </c>
      <c r="C104" s="90" t="s">
        <v>691</v>
      </c>
      <c r="D104" s="90" t="s">
        <v>755</v>
      </c>
      <c r="E104" s="90" t="s">
        <v>756</v>
      </c>
      <c r="F104" s="90" t="s">
        <v>757</v>
      </c>
      <c r="G104" s="89">
        <v>265120.94999999995</v>
      </c>
      <c r="H104" s="141" t="str">
        <f t="shared" si="10"/>
        <v>141001675856</v>
      </c>
      <c r="I104" s="142">
        <v>1.1399999999999966E-2</v>
      </c>
      <c r="J104" s="142" t="s">
        <v>281</v>
      </c>
      <c r="K104" s="143">
        <f t="shared" si="7"/>
        <v>3022.3788299999906</v>
      </c>
      <c r="L104" s="144">
        <f t="shared" si="8"/>
        <v>262098.57116999995</v>
      </c>
      <c r="M104" s="144">
        <f t="shared" si="9"/>
        <v>265120.94999999995</v>
      </c>
      <c r="N104" s="145" t="s">
        <v>744</v>
      </c>
      <c r="O104" s="125"/>
    </row>
    <row r="105" spans="1:15" ht="15" customHeight="1" x14ac:dyDescent="0.3">
      <c r="A105" s="90" t="s">
        <v>175</v>
      </c>
      <c r="B105" s="90" t="s">
        <v>758</v>
      </c>
      <c r="C105" s="90" t="s">
        <v>759</v>
      </c>
      <c r="D105" s="90" t="s">
        <v>755</v>
      </c>
      <c r="E105" s="90" t="s">
        <v>756</v>
      </c>
      <c r="F105" s="90" t="s">
        <v>757</v>
      </c>
      <c r="G105" s="89">
        <v>1106811.46</v>
      </c>
      <c r="H105" s="141" t="str">
        <f t="shared" si="10"/>
        <v>155051675856</v>
      </c>
      <c r="I105" s="142">
        <v>0.11209999999999998</v>
      </c>
      <c r="J105" s="142" t="s">
        <v>1864</v>
      </c>
      <c r="K105" s="143">
        <f t="shared" si="7"/>
        <v>124073.56466599998</v>
      </c>
      <c r="L105" s="144">
        <f t="shared" si="8"/>
        <v>982737.895334</v>
      </c>
      <c r="M105" s="144">
        <f t="shared" si="9"/>
        <v>1106811.46</v>
      </c>
      <c r="N105" s="145" t="s">
        <v>744</v>
      </c>
      <c r="O105" s="125"/>
    </row>
    <row r="106" spans="1:15" ht="15" customHeight="1" x14ac:dyDescent="0.3">
      <c r="A106" s="90" t="s">
        <v>176</v>
      </c>
      <c r="B106" s="90" t="s">
        <v>758</v>
      </c>
      <c r="C106" s="90" t="s">
        <v>759</v>
      </c>
      <c r="D106" s="90" t="s">
        <v>771</v>
      </c>
      <c r="E106" s="90" t="s">
        <v>766</v>
      </c>
      <c r="F106" s="90" t="s">
        <v>772</v>
      </c>
      <c r="G106" s="89">
        <v>546.59</v>
      </c>
      <c r="H106" s="141" t="str">
        <f t="shared" si="10"/>
        <v>155051544863</v>
      </c>
      <c r="I106" s="142">
        <v>8.3600000000000008E-2</v>
      </c>
      <c r="J106" s="142" t="s">
        <v>1865</v>
      </c>
      <c r="K106" s="143">
        <f t="shared" si="7"/>
        <v>45.694924000000007</v>
      </c>
      <c r="L106" s="144">
        <f t="shared" si="8"/>
        <v>500.89507600000002</v>
      </c>
      <c r="M106" s="144">
        <f t="shared" si="9"/>
        <v>546.59</v>
      </c>
      <c r="N106" s="145" t="s">
        <v>773</v>
      </c>
      <c r="O106" s="125"/>
    </row>
    <row r="107" spans="1:15" ht="15" customHeight="1" x14ac:dyDescent="0.3">
      <c r="A107" s="90" t="s">
        <v>176</v>
      </c>
      <c r="B107" s="90" t="s">
        <v>758</v>
      </c>
      <c r="C107" s="90" t="s">
        <v>759</v>
      </c>
      <c r="D107" s="90" t="s">
        <v>774</v>
      </c>
      <c r="E107" s="90" t="s">
        <v>756</v>
      </c>
      <c r="F107" s="90" t="s">
        <v>775</v>
      </c>
      <c r="G107" s="89">
        <v>165829.52000000002</v>
      </c>
      <c r="H107" s="141" t="str">
        <f t="shared" si="10"/>
        <v>155051675863</v>
      </c>
      <c r="I107" s="142">
        <v>0.11209999999999998</v>
      </c>
      <c r="J107" s="142" t="s">
        <v>1864</v>
      </c>
      <c r="K107" s="143">
        <f t="shared" si="7"/>
        <v>18589.489191999997</v>
      </c>
      <c r="L107" s="144">
        <f t="shared" si="8"/>
        <v>147240.03080800001</v>
      </c>
      <c r="M107" s="144">
        <f t="shared" si="9"/>
        <v>165829.52000000002</v>
      </c>
      <c r="N107" s="145" t="s">
        <v>773</v>
      </c>
      <c r="O107" s="125"/>
    </row>
    <row r="108" spans="1:15" ht="15" customHeight="1" x14ac:dyDescent="0.3">
      <c r="A108" s="90" t="s">
        <v>180</v>
      </c>
      <c r="B108" s="90" t="s">
        <v>690</v>
      </c>
      <c r="C108" s="90" t="s">
        <v>691</v>
      </c>
      <c r="D108" s="90" t="s">
        <v>776</v>
      </c>
      <c r="E108" s="90" t="s">
        <v>708</v>
      </c>
      <c r="F108" s="90" t="s">
        <v>777</v>
      </c>
      <c r="G108" s="89">
        <v>20.98</v>
      </c>
      <c r="H108" s="141" t="str">
        <f t="shared" si="10"/>
        <v>141001630870</v>
      </c>
      <c r="I108" s="142">
        <v>1.1399999999999966E-2</v>
      </c>
      <c r="J108" s="142" t="s">
        <v>281</v>
      </c>
      <c r="K108" s="143">
        <f t="shared" si="7"/>
        <v>0.23917199999999927</v>
      </c>
      <c r="L108" s="144">
        <f t="shared" si="8"/>
        <v>20.740828</v>
      </c>
      <c r="M108" s="144">
        <f t="shared" si="9"/>
        <v>20.98</v>
      </c>
      <c r="N108" s="145" t="s">
        <v>778</v>
      </c>
      <c r="O108" s="125"/>
    </row>
    <row r="109" spans="1:15" ht="15" customHeight="1" x14ac:dyDescent="0.3">
      <c r="A109" s="90" t="s">
        <v>180</v>
      </c>
      <c r="B109" s="90" t="s">
        <v>739</v>
      </c>
      <c r="C109" s="90" t="s">
        <v>740</v>
      </c>
      <c r="D109" s="90" t="s">
        <v>779</v>
      </c>
      <c r="E109" s="90" t="s">
        <v>780</v>
      </c>
      <c r="F109" s="90" t="s">
        <v>781</v>
      </c>
      <c r="G109" s="89">
        <v>55.64</v>
      </c>
      <c r="H109" s="141" t="str">
        <f t="shared" si="10"/>
        <v>155064415870</v>
      </c>
      <c r="I109" s="142">
        <v>0.10419999999999996</v>
      </c>
      <c r="J109" s="142" t="s">
        <v>1861</v>
      </c>
      <c r="K109" s="143">
        <f t="shared" si="7"/>
        <v>5.7976879999999982</v>
      </c>
      <c r="L109" s="144">
        <f t="shared" si="8"/>
        <v>49.842312</v>
      </c>
      <c r="M109" s="144">
        <f t="shared" si="9"/>
        <v>55.64</v>
      </c>
      <c r="N109" s="145" t="s">
        <v>778</v>
      </c>
      <c r="O109" s="125"/>
    </row>
    <row r="110" spans="1:15" ht="15" customHeight="1" x14ac:dyDescent="0.3">
      <c r="A110" s="90" t="s">
        <v>180</v>
      </c>
      <c r="B110" s="90" t="s">
        <v>684</v>
      </c>
      <c r="C110" s="90" t="s">
        <v>685</v>
      </c>
      <c r="D110" s="90" t="s">
        <v>779</v>
      </c>
      <c r="E110" s="90" t="s">
        <v>780</v>
      </c>
      <c r="F110" s="90" t="s">
        <v>781</v>
      </c>
      <c r="G110" s="89">
        <v>503.87</v>
      </c>
      <c r="H110" s="141" t="str">
        <f t="shared" si="10"/>
        <v>151004415870</v>
      </c>
      <c r="I110" s="142">
        <v>8.3600000000000008E-2</v>
      </c>
      <c r="J110" s="142" t="s">
        <v>1868</v>
      </c>
      <c r="K110" s="143">
        <f t="shared" si="7"/>
        <v>42.123532000000004</v>
      </c>
      <c r="L110" s="144">
        <f t="shared" si="8"/>
        <v>461.74646799999999</v>
      </c>
      <c r="M110" s="144">
        <f t="shared" si="9"/>
        <v>503.87</v>
      </c>
      <c r="N110" s="145" t="s">
        <v>778</v>
      </c>
      <c r="O110" s="125"/>
    </row>
    <row r="111" spans="1:15" ht="15" customHeight="1" x14ac:dyDescent="0.3">
      <c r="A111" s="90" t="s">
        <v>180</v>
      </c>
      <c r="B111" s="90" t="s">
        <v>688</v>
      </c>
      <c r="C111" s="90" t="s">
        <v>689</v>
      </c>
      <c r="D111" s="90" t="s">
        <v>779</v>
      </c>
      <c r="E111" s="90" t="s">
        <v>780</v>
      </c>
      <c r="F111" s="90" t="s">
        <v>781</v>
      </c>
      <c r="G111" s="89">
        <v>1097.33</v>
      </c>
      <c r="H111" s="141" t="str">
        <f t="shared" si="10"/>
        <v>111004415870</v>
      </c>
      <c r="I111" s="142">
        <v>9.1199999999999948E-2</v>
      </c>
      <c r="J111" s="142" t="s">
        <v>1869</v>
      </c>
      <c r="K111" s="143">
        <f t="shared" si="7"/>
        <v>100.07649599999993</v>
      </c>
      <c r="L111" s="144">
        <f t="shared" si="8"/>
        <v>997.25350400000002</v>
      </c>
      <c r="M111" s="144">
        <f t="shared" si="9"/>
        <v>1097.33</v>
      </c>
      <c r="N111" s="145" t="s">
        <v>778</v>
      </c>
      <c r="O111" s="125"/>
    </row>
    <row r="112" spans="1:15" ht="15" customHeight="1" x14ac:dyDescent="0.3">
      <c r="A112" s="90" t="s">
        <v>180</v>
      </c>
      <c r="B112" s="90" t="s">
        <v>633</v>
      </c>
      <c r="C112" s="90" t="s">
        <v>634</v>
      </c>
      <c r="D112" s="90" t="s">
        <v>779</v>
      </c>
      <c r="E112" s="90" t="s">
        <v>780</v>
      </c>
      <c r="F112" s="90" t="s">
        <v>781</v>
      </c>
      <c r="G112" s="89">
        <v>6507.99</v>
      </c>
      <c r="H112" s="141" t="str">
        <f t="shared" si="10"/>
        <v>112004415870</v>
      </c>
      <c r="I112" s="142">
        <v>0.10419999999999996</v>
      </c>
      <c r="J112" s="142" t="s">
        <v>1861</v>
      </c>
      <c r="K112" s="143">
        <f t="shared" si="7"/>
        <v>678.13255799999968</v>
      </c>
      <c r="L112" s="144">
        <f t="shared" si="8"/>
        <v>5829.8574420000004</v>
      </c>
      <c r="M112" s="144">
        <f t="shared" si="9"/>
        <v>6507.99</v>
      </c>
      <c r="N112" s="145" t="s">
        <v>778</v>
      </c>
      <c r="O112" s="125"/>
    </row>
    <row r="113" spans="1:15" ht="15" customHeight="1" x14ac:dyDescent="0.3">
      <c r="A113" s="90" t="s">
        <v>180</v>
      </c>
      <c r="B113" s="90" t="s">
        <v>782</v>
      </c>
      <c r="C113" s="90" t="s">
        <v>783</v>
      </c>
      <c r="D113" s="90" t="s">
        <v>779</v>
      </c>
      <c r="E113" s="90" t="s">
        <v>780</v>
      </c>
      <c r="F113" s="90" t="s">
        <v>781</v>
      </c>
      <c r="G113" s="89">
        <v>7000</v>
      </c>
      <c r="H113" s="141" t="str">
        <f t="shared" si="10"/>
        <v>163004415870</v>
      </c>
      <c r="I113" s="142">
        <v>8.3600000000000008E-2</v>
      </c>
      <c r="J113" s="142" t="s">
        <v>1865</v>
      </c>
      <c r="K113" s="143">
        <f t="shared" si="7"/>
        <v>585.20000000000005</v>
      </c>
      <c r="L113" s="144">
        <f t="shared" si="8"/>
        <v>6414.8</v>
      </c>
      <c r="M113" s="144">
        <f t="shared" si="9"/>
        <v>7000</v>
      </c>
      <c r="N113" s="145" t="s">
        <v>778</v>
      </c>
      <c r="O113" s="125"/>
    </row>
    <row r="114" spans="1:15" ht="15" customHeight="1" x14ac:dyDescent="0.3">
      <c r="A114" s="90" t="s">
        <v>180</v>
      </c>
      <c r="B114" s="90" t="s">
        <v>641</v>
      </c>
      <c r="C114" s="90" t="s">
        <v>642</v>
      </c>
      <c r="D114" s="90" t="s">
        <v>779</v>
      </c>
      <c r="E114" s="90" t="s">
        <v>780</v>
      </c>
      <c r="F114" s="90" t="s">
        <v>781</v>
      </c>
      <c r="G114" s="89">
        <v>17853.199999999997</v>
      </c>
      <c r="H114" s="141" t="str">
        <f t="shared" si="10"/>
        <v>113004415870</v>
      </c>
      <c r="I114" s="142">
        <v>8.3600000000000008E-2</v>
      </c>
      <c r="J114" s="142" t="s">
        <v>1870</v>
      </c>
      <c r="K114" s="143">
        <f t="shared" si="7"/>
        <v>1492.5275199999999</v>
      </c>
      <c r="L114" s="144">
        <f t="shared" si="8"/>
        <v>16360.672479999997</v>
      </c>
      <c r="M114" s="144">
        <f t="shared" si="9"/>
        <v>17853.199999999997</v>
      </c>
      <c r="N114" s="145" t="s">
        <v>778</v>
      </c>
      <c r="O114" s="125"/>
    </row>
    <row r="115" spans="1:15" ht="15" customHeight="1" x14ac:dyDescent="0.3">
      <c r="A115" s="90" t="s">
        <v>180</v>
      </c>
      <c r="B115" s="90" t="s">
        <v>688</v>
      </c>
      <c r="C115" s="90" t="s">
        <v>689</v>
      </c>
      <c r="D115" s="90" t="s">
        <v>776</v>
      </c>
      <c r="E115" s="90" t="s">
        <v>708</v>
      </c>
      <c r="F115" s="90" t="s">
        <v>777</v>
      </c>
      <c r="G115" s="89">
        <v>389935.08</v>
      </c>
      <c r="H115" s="141" t="str">
        <f t="shared" si="10"/>
        <v>111001630870</v>
      </c>
      <c r="I115" s="142">
        <v>8.3600000000000008E-2</v>
      </c>
      <c r="J115" s="142" t="s">
        <v>1865</v>
      </c>
      <c r="K115" s="143">
        <f t="shared" si="7"/>
        <v>32598.572688000004</v>
      </c>
      <c r="L115" s="144">
        <f t="shared" si="8"/>
        <v>357336.50731200003</v>
      </c>
      <c r="M115" s="144">
        <f t="shared" si="9"/>
        <v>389935.08</v>
      </c>
      <c r="N115" s="145" t="s">
        <v>778</v>
      </c>
      <c r="O115" s="125"/>
    </row>
    <row r="116" spans="1:15" ht="15" customHeight="1" x14ac:dyDescent="0.3">
      <c r="A116" s="90" t="s">
        <v>180</v>
      </c>
      <c r="B116" s="90" t="s">
        <v>633</v>
      </c>
      <c r="C116" s="90" t="s">
        <v>634</v>
      </c>
      <c r="D116" s="90" t="s">
        <v>776</v>
      </c>
      <c r="E116" s="90" t="s">
        <v>708</v>
      </c>
      <c r="F116" s="90" t="s">
        <v>777</v>
      </c>
      <c r="G116" s="89">
        <v>496329.03</v>
      </c>
      <c r="H116" s="141" t="str">
        <f t="shared" si="10"/>
        <v>112001630870</v>
      </c>
      <c r="I116" s="142">
        <v>0.10419999999999996</v>
      </c>
      <c r="J116" s="142" t="s">
        <v>1861</v>
      </c>
      <c r="K116" s="143">
        <f t="shared" si="7"/>
        <v>51717.484925999983</v>
      </c>
      <c r="L116" s="144">
        <f t="shared" si="8"/>
        <v>444611.54507400002</v>
      </c>
      <c r="M116" s="144">
        <f t="shared" si="9"/>
        <v>496329.03</v>
      </c>
      <c r="N116" s="145" t="s">
        <v>778</v>
      </c>
      <c r="O116" s="125"/>
    </row>
    <row r="117" spans="1:15" ht="15" customHeight="1" x14ac:dyDescent="0.3">
      <c r="A117" s="90" t="s">
        <v>180</v>
      </c>
      <c r="B117" s="90" t="s">
        <v>651</v>
      </c>
      <c r="C117" s="90" t="s">
        <v>652</v>
      </c>
      <c r="D117" s="90" t="s">
        <v>779</v>
      </c>
      <c r="E117" s="90" t="s">
        <v>780</v>
      </c>
      <c r="F117" s="90" t="s">
        <v>781</v>
      </c>
      <c r="G117" s="89">
        <v>1154996.96</v>
      </c>
      <c r="H117" s="141" t="str">
        <f t="shared" si="10"/>
        <v>111504415870</v>
      </c>
      <c r="I117" s="142">
        <v>8.3600000000000008E-2</v>
      </c>
      <c r="J117" s="142" t="s">
        <v>1865</v>
      </c>
      <c r="K117" s="143">
        <f t="shared" si="7"/>
        <v>96557.745856000009</v>
      </c>
      <c r="L117" s="144">
        <f t="shared" si="8"/>
        <v>1058439.2141439999</v>
      </c>
      <c r="M117" s="144">
        <f t="shared" si="9"/>
        <v>1154996.96</v>
      </c>
      <c r="N117" s="145" t="s">
        <v>778</v>
      </c>
      <c r="O117" s="125"/>
    </row>
    <row r="118" spans="1:15" ht="15" customHeight="1" x14ac:dyDescent="0.3">
      <c r="A118" s="90" t="s">
        <v>180</v>
      </c>
      <c r="B118" s="90" t="s">
        <v>641</v>
      </c>
      <c r="C118" s="90" t="s">
        <v>642</v>
      </c>
      <c r="D118" s="90" t="s">
        <v>776</v>
      </c>
      <c r="E118" s="90" t="s">
        <v>708</v>
      </c>
      <c r="F118" s="90" t="s">
        <v>777</v>
      </c>
      <c r="G118" s="89">
        <v>1422911.85</v>
      </c>
      <c r="H118" s="141" t="str">
        <f t="shared" si="10"/>
        <v>113001630870</v>
      </c>
      <c r="I118" s="142">
        <v>8.3600000000000008E-2</v>
      </c>
      <c r="J118" s="142" t="s">
        <v>1870</v>
      </c>
      <c r="K118" s="143">
        <f t="shared" si="7"/>
        <v>118955.43066000001</v>
      </c>
      <c r="L118" s="144">
        <f t="shared" si="8"/>
        <v>1303956.41934</v>
      </c>
      <c r="M118" s="144">
        <f t="shared" si="9"/>
        <v>1422911.85</v>
      </c>
      <c r="N118" s="145" t="s">
        <v>778</v>
      </c>
      <c r="O118" s="125"/>
    </row>
    <row r="119" spans="1:15" ht="15" customHeight="1" x14ac:dyDescent="0.3">
      <c r="A119" s="90" t="s">
        <v>181</v>
      </c>
      <c r="B119" s="90" t="s">
        <v>690</v>
      </c>
      <c r="C119" s="90" t="s">
        <v>691</v>
      </c>
      <c r="D119" s="90" t="s">
        <v>784</v>
      </c>
      <c r="E119" s="90" t="s">
        <v>761</v>
      </c>
      <c r="F119" s="90" t="s">
        <v>785</v>
      </c>
      <c r="G119" s="89">
        <v>-1778.7800000000002</v>
      </c>
      <c r="H119" s="141" t="str">
        <f t="shared" si="10"/>
        <v>141001250874</v>
      </c>
      <c r="I119" s="142">
        <v>1.1399999999999966E-2</v>
      </c>
      <c r="J119" s="142" t="s">
        <v>281</v>
      </c>
      <c r="K119" s="143">
        <f t="shared" si="7"/>
        <v>-20.27809199999994</v>
      </c>
      <c r="L119" s="144">
        <f t="shared" si="8"/>
        <v>-1758.5019080000002</v>
      </c>
      <c r="M119" s="144">
        <f t="shared" si="9"/>
        <v>-1778.7800000000002</v>
      </c>
      <c r="N119" s="145" t="s">
        <v>786</v>
      </c>
      <c r="O119" s="125"/>
    </row>
    <row r="120" spans="1:15" ht="15" customHeight="1" x14ac:dyDescent="0.3">
      <c r="A120" s="90" t="s">
        <v>181</v>
      </c>
      <c r="B120" s="90" t="s">
        <v>739</v>
      </c>
      <c r="C120" s="90" t="s">
        <v>740</v>
      </c>
      <c r="D120" s="90" t="s">
        <v>787</v>
      </c>
      <c r="E120" s="90" t="s">
        <v>788</v>
      </c>
      <c r="F120" s="90" t="s">
        <v>789</v>
      </c>
      <c r="G120" s="89">
        <v>-445.43999999999988</v>
      </c>
      <c r="H120" s="141" t="str">
        <f t="shared" si="10"/>
        <v>155061175874</v>
      </c>
      <c r="I120" s="142">
        <v>0</v>
      </c>
      <c r="J120" s="142" t="s">
        <v>1863</v>
      </c>
      <c r="K120" s="143">
        <f t="shared" si="7"/>
        <v>0</v>
      </c>
      <c r="L120" s="144">
        <f t="shared" si="8"/>
        <v>-445.43999999999988</v>
      </c>
      <c r="M120" s="144">
        <f t="shared" si="9"/>
        <v>-445.43999999999988</v>
      </c>
      <c r="N120" s="145" t="s">
        <v>786</v>
      </c>
      <c r="O120" s="125"/>
    </row>
    <row r="121" spans="1:15" ht="15" customHeight="1" x14ac:dyDescent="0.3">
      <c r="A121" s="90" t="s">
        <v>181</v>
      </c>
      <c r="B121" s="90" t="s">
        <v>790</v>
      </c>
      <c r="C121" s="90" t="s">
        <v>791</v>
      </c>
      <c r="D121" s="90" t="s">
        <v>792</v>
      </c>
      <c r="E121" s="90" t="s">
        <v>793</v>
      </c>
      <c r="F121" s="90" t="s">
        <v>794</v>
      </c>
      <c r="G121" s="89">
        <v>0</v>
      </c>
      <c r="H121" s="141" t="str">
        <f t="shared" si="10"/>
        <v>510102090874</v>
      </c>
      <c r="I121" s="142">
        <v>0.11208</v>
      </c>
      <c r="J121" s="142" t="s">
        <v>1862</v>
      </c>
      <c r="K121" s="143">
        <f t="shared" si="7"/>
        <v>0</v>
      </c>
      <c r="L121" s="144">
        <f t="shared" si="8"/>
        <v>0</v>
      </c>
      <c r="M121" s="144">
        <f t="shared" si="9"/>
        <v>0</v>
      </c>
      <c r="N121" s="145" t="s">
        <v>786</v>
      </c>
      <c r="O121" s="125"/>
    </row>
    <row r="122" spans="1:15" ht="15" customHeight="1" x14ac:dyDescent="0.3">
      <c r="A122" s="90" t="s">
        <v>181</v>
      </c>
      <c r="B122" s="90" t="s">
        <v>763</v>
      </c>
      <c r="C122" s="90" t="s">
        <v>764</v>
      </c>
      <c r="D122" s="90" t="s">
        <v>795</v>
      </c>
      <c r="E122" s="90" t="s">
        <v>796</v>
      </c>
      <c r="F122" s="90" t="s">
        <v>797</v>
      </c>
      <c r="G122" s="89">
        <v>1.4</v>
      </c>
      <c r="H122" s="141" t="str">
        <f t="shared" si="10"/>
        <v>155201280874</v>
      </c>
      <c r="I122" s="142">
        <v>0.11209999999999998</v>
      </c>
      <c r="J122" s="142" t="s">
        <v>1864</v>
      </c>
      <c r="K122" s="143">
        <f t="shared" si="7"/>
        <v>0.15693999999999997</v>
      </c>
      <c r="L122" s="144">
        <f t="shared" si="8"/>
        <v>1.2430599999999998</v>
      </c>
      <c r="M122" s="144">
        <f t="shared" si="9"/>
        <v>1.4</v>
      </c>
      <c r="N122" s="145" t="s">
        <v>786</v>
      </c>
      <c r="O122" s="125"/>
    </row>
    <row r="123" spans="1:15" ht="15" customHeight="1" x14ac:dyDescent="0.3">
      <c r="A123" s="90" t="s">
        <v>181</v>
      </c>
      <c r="B123" s="90" t="s">
        <v>798</v>
      </c>
      <c r="C123" s="90" t="s">
        <v>799</v>
      </c>
      <c r="D123" s="90" t="s">
        <v>784</v>
      </c>
      <c r="E123" s="90" t="s">
        <v>761</v>
      </c>
      <c r="F123" s="90" t="s">
        <v>785</v>
      </c>
      <c r="G123" s="89">
        <v>34.409999999999997</v>
      </c>
      <c r="H123" s="141" t="str">
        <f t="shared" si="10"/>
        <v>113201250874</v>
      </c>
      <c r="I123" s="142">
        <v>0.11160000000000003</v>
      </c>
      <c r="J123" s="142" t="s">
        <v>1871</v>
      </c>
      <c r="K123" s="143">
        <f t="shared" si="7"/>
        <v>3.8401560000000008</v>
      </c>
      <c r="L123" s="144">
        <f t="shared" si="8"/>
        <v>30.569843999999996</v>
      </c>
      <c r="M123" s="144">
        <f t="shared" si="9"/>
        <v>34.409999999999997</v>
      </c>
      <c r="N123" s="145" t="s">
        <v>786</v>
      </c>
      <c r="O123" s="125"/>
    </row>
    <row r="124" spans="1:15" ht="15" customHeight="1" x14ac:dyDescent="0.3">
      <c r="A124" s="90" t="s">
        <v>181</v>
      </c>
      <c r="B124" s="90" t="s">
        <v>800</v>
      </c>
      <c r="C124" s="90" t="s">
        <v>801</v>
      </c>
      <c r="D124" s="90" t="s">
        <v>802</v>
      </c>
      <c r="E124" s="90" t="s">
        <v>803</v>
      </c>
      <c r="F124" s="90" t="s">
        <v>789</v>
      </c>
      <c r="G124" s="89">
        <v>37.700000000000003</v>
      </c>
      <c r="H124" s="141" t="str">
        <f t="shared" si="10"/>
        <v>120131180874</v>
      </c>
      <c r="I124" s="142">
        <v>0.11160000000000003</v>
      </c>
      <c r="J124" s="142" t="s">
        <v>1872</v>
      </c>
      <c r="K124" s="143">
        <f t="shared" si="7"/>
        <v>4.2073200000000019</v>
      </c>
      <c r="L124" s="144">
        <f t="shared" si="8"/>
        <v>33.49268</v>
      </c>
      <c r="M124" s="144">
        <f t="shared" si="9"/>
        <v>37.700000000000003</v>
      </c>
      <c r="N124" s="145" t="s">
        <v>786</v>
      </c>
      <c r="O124" s="125"/>
    </row>
    <row r="125" spans="1:15" ht="15" customHeight="1" x14ac:dyDescent="0.3">
      <c r="A125" s="90" t="s">
        <v>181</v>
      </c>
      <c r="B125" s="90" t="s">
        <v>688</v>
      </c>
      <c r="C125" s="90" t="s">
        <v>689</v>
      </c>
      <c r="D125" s="90" t="s">
        <v>804</v>
      </c>
      <c r="E125" s="90" t="s">
        <v>805</v>
      </c>
      <c r="F125" s="90" t="s">
        <v>806</v>
      </c>
      <c r="G125" s="89">
        <v>69.89</v>
      </c>
      <c r="H125" s="141" t="str">
        <f t="shared" si="10"/>
        <v>111001187874</v>
      </c>
      <c r="I125" s="142">
        <v>8.3600000000000008E-2</v>
      </c>
      <c r="J125" s="142" t="s">
        <v>1865</v>
      </c>
      <c r="K125" s="143">
        <f t="shared" si="7"/>
        <v>5.842804000000001</v>
      </c>
      <c r="L125" s="144">
        <f t="shared" si="8"/>
        <v>64.047196</v>
      </c>
      <c r="M125" s="144">
        <f t="shared" si="9"/>
        <v>69.89</v>
      </c>
      <c r="N125" s="145" t="s">
        <v>786</v>
      </c>
      <c r="O125" s="125"/>
    </row>
    <row r="126" spans="1:15" ht="15" customHeight="1" x14ac:dyDescent="0.3">
      <c r="A126" s="90" t="s">
        <v>181</v>
      </c>
      <c r="B126" s="90" t="s">
        <v>763</v>
      </c>
      <c r="C126" s="90" t="s">
        <v>764</v>
      </c>
      <c r="D126" s="90" t="s">
        <v>807</v>
      </c>
      <c r="E126" s="90" t="s">
        <v>808</v>
      </c>
      <c r="F126" s="90" t="s">
        <v>809</v>
      </c>
      <c r="G126" s="89">
        <v>119.2</v>
      </c>
      <c r="H126" s="141" t="str">
        <f t="shared" si="10"/>
        <v>155201275874</v>
      </c>
      <c r="I126" s="142">
        <v>0.11209999999999998</v>
      </c>
      <c r="J126" s="142" t="s">
        <v>1864</v>
      </c>
      <c r="K126" s="143">
        <f t="shared" si="7"/>
        <v>13.362319999999997</v>
      </c>
      <c r="L126" s="144">
        <f t="shared" si="8"/>
        <v>105.83768000000001</v>
      </c>
      <c r="M126" s="144">
        <f t="shared" si="9"/>
        <v>119.2</v>
      </c>
      <c r="N126" s="145" t="s">
        <v>786</v>
      </c>
      <c r="O126" s="125"/>
    </row>
    <row r="127" spans="1:15" ht="15" customHeight="1" x14ac:dyDescent="0.3">
      <c r="A127" s="90" t="s">
        <v>181</v>
      </c>
      <c r="B127" s="90" t="s">
        <v>688</v>
      </c>
      <c r="C127" s="90" t="s">
        <v>689</v>
      </c>
      <c r="D127" s="90" t="s">
        <v>795</v>
      </c>
      <c r="E127" s="90" t="s">
        <v>796</v>
      </c>
      <c r="F127" s="90" t="s">
        <v>797</v>
      </c>
      <c r="G127" s="89">
        <v>120</v>
      </c>
      <c r="H127" s="141" t="str">
        <f t="shared" si="10"/>
        <v>111001280874</v>
      </c>
      <c r="I127" s="142">
        <v>8.3600000000000008E-2</v>
      </c>
      <c r="J127" s="142" t="s">
        <v>1865</v>
      </c>
      <c r="K127" s="143">
        <f t="shared" si="7"/>
        <v>10.032</v>
      </c>
      <c r="L127" s="144">
        <f t="shared" si="8"/>
        <v>109.968</v>
      </c>
      <c r="M127" s="144">
        <f t="shared" si="9"/>
        <v>120</v>
      </c>
      <c r="N127" s="145" t="s">
        <v>786</v>
      </c>
      <c r="O127" s="125"/>
    </row>
    <row r="128" spans="1:15" ht="15" customHeight="1" x14ac:dyDescent="0.3">
      <c r="A128" s="90" t="s">
        <v>181</v>
      </c>
      <c r="B128" s="90" t="s">
        <v>810</v>
      </c>
      <c r="C128" s="90" t="s">
        <v>811</v>
      </c>
      <c r="D128" s="90" t="s">
        <v>812</v>
      </c>
      <c r="E128" s="90" t="s">
        <v>748</v>
      </c>
      <c r="F128" s="90" t="s">
        <v>813</v>
      </c>
      <c r="G128" s="89">
        <v>124.04</v>
      </c>
      <c r="H128" s="141" t="str">
        <f t="shared" si="10"/>
        <v>161151695874</v>
      </c>
      <c r="I128" s="142">
        <v>0</v>
      </c>
      <c r="J128" s="142" t="s">
        <v>1867</v>
      </c>
      <c r="K128" s="143">
        <f t="shared" si="7"/>
        <v>0</v>
      </c>
      <c r="L128" s="144">
        <f t="shared" si="8"/>
        <v>124.04</v>
      </c>
      <c r="M128" s="144">
        <f t="shared" si="9"/>
        <v>124.04</v>
      </c>
      <c r="N128" s="145" t="s">
        <v>786</v>
      </c>
      <c r="O128" s="125"/>
    </row>
    <row r="129" spans="1:15" ht="15" customHeight="1" x14ac:dyDescent="0.3">
      <c r="A129" s="90" t="s">
        <v>181</v>
      </c>
      <c r="B129" s="90" t="s">
        <v>814</v>
      </c>
      <c r="C129" s="90" t="s">
        <v>815</v>
      </c>
      <c r="D129" s="90" t="s">
        <v>812</v>
      </c>
      <c r="E129" s="90" t="s">
        <v>748</v>
      </c>
      <c r="F129" s="90" t="s">
        <v>813</v>
      </c>
      <c r="G129" s="89">
        <v>143.38999999999999</v>
      </c>
      <c r="H129" s="141" t="str">
        <f t="shared" si="10"/>
        <v>123591695874</v>
      </c>
      <c r="I129" s="142">
        <v>1</v>
      </c>
      <c r="J129" s="142" t="s">
        <v>1484</v>
      </c>
      <c r="K129" s="143">
        <f t="shared" si="7"/>
        <v>143.38999999999999</v>
      </c>
      <c r="L129" s="144">
        <f t="shared" si="8"/>
        <v>0</v>
      </c>
      <c r="M129" s="144">
        <f t="shared" si="9"/>
        <v>143.38999999999999</v>
      </c>
      <c r="N129" s="145" t="s">
        <v>786</v>
      </c>
      <c r="O129" s="125"/>
    </row>
    <row r="130" spans="1:15" ht="15" customHeight="1" x14ac:dyDescent="0.3">
      <c r="A130" s="90" t="s">
        <v>181</v>
      </c>
      <c r="B130" s="90" t="s">
        <v>745</v>
      </c>
      <c r="C130" s="90" t="s">
        <v>746</v>
      </c>
      <c r="D130" s="90" t="s">
        <v>787</v>
      </c>
      <c r="E130" s="90" t="s">
        <v>788</v>
      </c>
      <c r="F130" s="90" t="s">
        <v>789</v>
      </c>
      <c r="G130" s="89">
        <v>152.01</v>
      </c>
      <c r="H130" s="141" t="str">
        <f t="shared" si="10"/>
        <v>141091175874</v>
      </c>
      <c r="I130" s="142">
        <v>1</v>
      </c>
      <c r="J130" s="142" t="s">
        <v>1873</v>
      </c>
      <c r="K130" s="143">
        <f t="shared" si="7"/>
        <v>152.01</v>
      </c>
      <c r="L130" s="144">
        <f t="shared" si="8"/>
        <v>0</v>
      </c>
      <c r="M130" s="144">
        <f t="shared" si="9"/>
        <v>152.01</v>
      </c>
      <c r="N130" s="145" t="s">
        <v>786</v>
      </c>
      <c r="O130" s="125"/>
    </row>
    <row r="131" spans="1:15" ht="15" customHeight="1" x14ac:dyDescent="0.3">
      <c r="A131" s="90" t="s">
        <v>181</v>
      </c>
      <c r="B131" s="90" t="s">
        <v>816</v>
      </c>
      <c r="C131" s="90" t="s">
        <v>817</v>
      </c>
      <c r="D131" s="90" t="s">
        <v>784</v>
      </c>
      <c r="E131" s="90" t="str">
        <f>RIGHT(D131,4)</f>
        <v>1250</v>
      </c>
      <c r="F131" s="90" t="s">
        <v>785</v>
      </c>
      <c r="G131" s="89">
        <v>195</v>
      </c>
      <c r="H131" s="141" t="str">
        <f t="shared" si="10"/>
        <v>115201250874</v>
      </c>
      <c r="I131" s="142">
        <v>0</v>
      </c>
      <c r="J131" s="142" t="s">
        <v>1863</v>
      </c>
      <c r="K131" s="143">
        <f t="shared" si="7"/>
        <v>0</v>
      </c>
      <c r="L131" s="144">
        <f t="shared" si="8"/>
        <v>195</v>
      </c>
      <c r="M131" s="144">
        <f t="shared" si="9"/>
        <v>195</v>
      </c>
      <c r="N131" s="145" t="s">
        <v>818</v>
      </c>
      <c r="O131" s="125"/>
    </row>
    <row r="132" spans="1:15" ht="15" customHeight="1" x14ac:dyDescent="0.3">
      <c r="A132" s="90" t="s">
        <v>181</v>
      </c>
      <c r="B132" s="90" t="s">
        <v>819</v>
      </c>
      <c r="C132" s="90" t="s">
        <v>820</v>
      </c>
      <c r="D132" s="90" t="s">
        <v>812</v>
      </c>
      <c r="E132" s="90" t="s">
        <v>748</v>
      </c>
      <c r="F132" s="90" t="s">
        <v>813</v>
      </c>
      <c r="G132" s="89">
        <v>243.36</v>
      </c>
      <c r="H132" s="141" t="str">
        <f t="shared" si="10"/>
        <v>135101695874</v>
      </c>
      <c r="I132" s="142">
        <v>0.11160000000000003</v>
      </c>
      <c r="J132" s="142" t="s">
        <v>1872</v>
      </c>
      <c r="K132" s="143">
        <f t="shared" si="7"/>
        <v>27.15897600000001</v>
      </c>
      <c r="L132" s="144">
        <f t="shared" si="8"/>
        <v>216.20102400000002</v>
      </c>
      <c r="M132" s="144">
        <f t="shared" si="9"/>
        <v>243.36</v>
      </c>
      <c r="N132" s="145" t="s">
        <v>786</v>
      </c>
      <c r="O132" s="125"/>
    </row>
    <row r="133" spans="1:15" ht="15" customHeight="1" x14ac:dyDescent="0.3">
      <c r="A133" s="90" t="s">
        <v>181</v>
      </c>
      <c r="B133" s="90" t="s">
        <v>763</v>
      </c>
      <c r="C133" s="90" t="s">
        <v>764</v>
      </c>
      <c r="D133" s="90" t="s">
        <v>821</v>
      </c>
      <c r="E133" s="90" t="s">
        <v>704</v>
      </c>
      <c r="F133" s="90" t="s">
        <v>822</v>
      </c>
      <c r="G133" s="89">
        <v>256.05</v>
      </c>
      <c r="H133" s="141" t="str">
        <f t="shared" si="10"/>
        <v>155201505874</v>
      </c>
      <c r="I133" s="142">
        <v>0.11209999999999998</v>
      </c>
      <c r="J133" s="142" t="s">
        <v>1864</v>
      </c>
      <c r="K133" s="143">
        <f t="shared" si="7"/>
        <v>28.703204999999997</v>
      </c>
      <c r="L133" s="144">
        <f t="shared" si="8"/>
        <v>227.34679500000001</v>
      </c>
      <c r="M133" s="144">
        <f t="shared" si="9"/>
        <v>256.05</v>
      </c>
      <c r="N133" s="145" t="s">
        <v>786</v>
      </c>
      <c r="O133" s="125"/>
    </row>
    <row r="134" spans="1:15" ht="15" customHeight="1" x14ac:dyDescent="0.3">
      <c r="A134" s="90" t="s">
        <v>181</v>
      </c>
      <c r="B134" s="90" t="s">
        <v>750</v>
      </c>
      <c r="C134" s="90" t="s">
        <v>751</v>
      </c>
      <c r="D134" s="90" t="s">
        <v>784</v>
      </c>
      <c r="E134" s="90" t="s">
        <v>761</v>
      </c>
      <c r="F134" s="90" t="s">
        <v>785</v>
      </c>
      <c r="G134" s="89">
        <v>397.7</v>
      </c>
      <c r="H134" s="141" t="str">
        <f t="shared" si="10"/>
        <v>155071250874</v>
      </c>
      <c r="I134" s="142">
        <v>6.5216999999999997E-2</v>
      </c>
      <c r="J134" s="142" t="s">
        <v>1866</v>
      </c>
      <c r="K134" s="143">
        <f t="shared" si="7"/>
        <v>25.936800899999998</v>
      </c>
      <c r="L134" s="144">
        <f t="shared" si="8"/>
        <v>371.76319910000001</v>
      </c>
      <c r="M134" s="144">
        <f t="shared" si="9"/>
        <v>397.7</v>
      </c>
      <c r="N134" s="145" t="s">
        <v>786</v>
      </c>
      <c r="O134" s="125"/>
    </row>
    <row r="135" spans="1:15" ht="15" customHeight="1" x14ac:dyDescent="0.3">
      <c r="A135" s="90" t="s">
        <v>181</v>
      </c>
      <c r="B135" s="90" t="s">
        <v>790</v>
      </c>
      <c r="C135" s="90" t="s">
        <v>791</v>
      </c>
      <c r="D135" s="90" t="s">
        <v>784</v>
      </c>
      <c r="E135" s="90" t="s">
        <v>761</v>
      </c>
      <c r="F135" s="90" t="s">
        <v>785</v>
      </c>
      <c r="G135" s="89">
        <v>532.75</v>
      </c>
      <c r="H135" s="141" t="str">
        <f t="shared" si="10"/>
        <v>510101250874</v>
      </c>
      <c r="I135" s="142">
        <v>0.11208</v>
      </c>
      <c r="J135" s="142" t="s">
        <v>1862</v>
      </c>
      <c r="K135" s="143">
        <f t="shared" si="7"/>
        <v>59.710619999999999</v>
      </c>
      <c r="L135" s="144">
        <f t="shared" si="8"/>
        <v>473.03937999999999</v>
      </c>
      <c r="M135" s="144">
        <f t="shared" si="9"/>
        <v>532.75</v>
      </c>
      <c r="N135" s="145" t="s">
        <v>786</v>
      </c>
      <c r="O135" s="125"/>
    </row>
    <row r="136" spans="1:15" ht="15" customHeight="1" x14ac:dyDescent="0.3">
      <c r="A136" s="90" t="s">
        <v>181</v>
      </c>
      <c r="B136" s="90" t="s">
        <v>688</v>
      </c>
      <c r="C136" s="90" t="s">
        <v>689</v>
      </c>
      <c r="D136" s="90" t="s">
        <v>812</v>
      </c>
      <c r="E136" s="90" t="s">
        <v>748</v>
      </c>
      <c r="F136" s="90" t="s">
        <v>813</v>
      </c>
      <c r="G136" s="89">
        <v>594.79999999999995</v>
      </c>
      <c r="H136" s="141" t="str">
        <f t="shared" si="10"/>
        <v>111001695874</v>
      </c>
      <c r="I136" s="142">
        <v>8.3600000000000008E-2</v>
      </c>
      <c r="J136" s="142" t="s">
        <v>1865</v>
      </c>
      <c r="K136" s="143">
        <f t="shared" si="7"/>
        <v>49.725279999999998</v>
      </c>
      <c r="L136" s="144">
        <f t="shared" si="8"/>
        <v>545.07471999999996</v>
      </c>
      <c r="M136" s="144">
        <f t="shared" si="9"/>
        <v>594.79999999999995</v>
      </c>
      <c r="N136" s="145" t="s">
        <v>786</v>
      </c>
      <c r="O136" s="125"/>
    </row>
    <row r="137" spans="1:15" ht="15" customHeight="1" x14ac:dyDescent="0.3">
      <c r="A137" s="90" t="s">
        <v>181</v>
      </c>
      <c r="B137" s="90" t="s">
        <v>684</v>
      </c>
      <c r="C137" s="90" t="s">
        <v>685</v>
      </c>
      <c r="D137" s="90" t="s">
        <v>823</v>
      </c>
      <c r="E137" s="90" t="s">
        <v>824</v>
      </c>
      <c r="F137" s="90" t="s">
        <v>825</v>
      </c>
      <c r="G137" s="89">
        <v>605.9</v>
      </c>
      <c r="H137" s="141" t="str">
        <f t="shared" si="10"/>
        <v>151001170874</v>
      </c>
      <c r="I137" s="142">
        <v>0</v>
      </c>
      <c r="J137" s="142" t="s">
        <v>1863</v>
      </c>
      <c r="K137" s="143">
        <f t="shared" si="7"/>
        <v>0</v>
      </c>
      <c r="L137" s="144">
        <f t="shared" si="8"/>
        <v>605.9</v>
      </c>
      <c r="M137" s="144">
        <f t="shared" si="9"/>
        <v>605.9</v>
      </c>
      <c r="N137" s="145" t="s">
        <v>786</v>
      </c>
      <c r="O137" s="125"/>
    </row>
    <row r="138" spans="1:15" ht="15" customHeight="1" x14ac:dyDescent="0.3">
      <c r="A138" s="90" t="s">
        <v>181</v>
      </c>
      <c r="B138" s="90" t="s">
        <v>688</v>
      </c>
      <c r="C138" s="90" t="s">
        <v>689</v>
      </c>
      <c r="D138" s="90" t="s">
        <v>784</v>
      </c>
      <c r="E138" s="90" t="s">
        <v>761</v>
      </c>
      <c r="F138" s="90" t="s">
        <v>785</v>
      </c>
      <c r="G138" s="89">
        <v>780</v>
      </c>
      <c r="H138" s="141" t="str">
        <f t="shared" si="10"/>
        <v>111001250874</v>
      </c>
      <c r="I138" s="142">
        <v>8.3600000000000008E-2</v>
      </c>
      <c r="J138" s="142" t="s">
        <v>1868</v>
      </c>
      <c r="K138" s="143">
        <f t="shared" si="7"/>
        <v>65.208000000000013</v>
      </c>
      <c r="L138" s="144">
        <f t="shared" si="8"/>
        <v>714.79200000000003</v>
      </c>
      <c r="M138" s="144">
        <f t="shared" si="9"/>
        <v>780</v>
      </c>
      <c r="N138" s="145" t="s">
        <v>786</v>
      </c>
      <c r="O138" s="125"/>
    </row>
    <row r="139" spans="1:15" ht="15" customHeight="1" x14ac:dyDescent="0.3">
      <c r="A139" s="90" t="s">
        <v>181</v>
      </c>
      <c r="B139" s="90" t="s">
        <v>690</v>
      </c>
      <c r="C139" s="90" t="s">
        <v>691</v>
      </c>
      <c r="D139" s="90" t="s">
        <v>802</v>
      </c>
      <c r="E139" s="90" t="s">
        <v>803</v>
      </c>
      <c r="F139" s="90" t="s">
        <v>789</v>
      </c>
      <c r="G139" s="89">
        <v>1228.93</v>
      </c>
      <c r="H139" s="141" t="str">
        <f t="shared" si="10"/>
        <v>141001180874</v>
      </c>
      <c r="I139" s="142">
        <v>1.1399999999999966E-2</v>
      </c>
      <c r="J139" s="142" t="s">
        <v>281</v>
      </c>
      <c r="K139" s="143">
        <f t="shared" si="7"/>
        <v>14.009801999999958</v>
      </c>
      <c r="L139" s="144">
        <f t="shared" si="8"/>
        <v>1214.920198</v>
      </c>
      <c r="M139" s="144">
        <f t="shared" si="9"/>
        <v>1228.93</v>
      </c>
      <c r="N139" s="145" t="s">
        <v>786</v>
      </c>
      <c r="O139" s="125"/>
    </row>
    <row r="140" spans="1:15" ht="15" customHeight="1" x14ac:dyDescent="0.3">
      <c r="A140" s="90" t="s">
        <v>181</v>
      </c>
      <c r="B140" s="90" t="s">
        <v>688</v>
      </c>
      <c r="C140" s="90" t="s">
        <v>689</v>
      </c>
      <c r="D140" s="90" t="s">
        <v>807</v>
      </c>
      <c r="E140" s="90" t="s">
        <v>808</v>
      </c>
      <c r="F140" s="90" t="s">
        <v>809</v>
      </c>
      <c r="G140" s="89">
        <v>1258.46</v>
      </c>
      <c r="H140" s="141" t="str">
        <f t="shared" si="10"/>
        <v>111001275874</v>
      </c>
      <c r="I140" s="142">
        <v>8.3600000000000008E-2</v>
      </c>
      <c r="J140" s="142" t="s">
        <v>1868</v>
      </c>
      <c r="K140" s="143">
        <f t="shared" si="7"/>
        <v>105.20725600000002</v>
      </c>
      <c r="L140" s="144">
        <f t="shared" si="8"/>
        <v>1153.2527440000001</v>
      </c>
      <c r="M140" s="144">
        <f t="shared" si="9"/>
        <v>1258.46</v>
      </c>
      <c r="N140" s="145" t="s">
        <v>786</v>
      </c>
      <c r="O140" s="125"/>
    </row>
    <row r="141" spans="1:15" ht="15" customHeight="1" x14ac:dyDescent="0.3">
      <c r="A141" s="90" t="s">
        <v>181</v>
      </c>
      <c r="B141" s="90" t="s">
        <v>750</v>
      </c>
      <c r="C141" s="90" t="s">
        <v>751</v>
      </c>
      <c r="D141" s="90" t="s">
        <v>795</v>
      </c>
      <c r="E141" s="90" t="s">
        <v>796</v>
      </c>
      <c r="F141" s="90" t="s">
        <v>797</v>
      </c>
      <c r="G141" s="89">
        <v>1535.8200000000002</v>
      </c>
      <c r="H141" s="141" t="str">
        <f t="shared" si="10"/>
        <v>155071280874</v>
      </c>
      <c r="I141" s="142">
        <v>6.5216999999999997E-2</v>
      </c>
      <c r="J141" s="142" t="s">
        <v>1866</v>
      </c>
      <c r="K141" s="143">
        <f t="shared" si="7"/>
        <v>100.16157294000001</v>
      </c>
      <c r="L141" s="144">
        <f t="shared" si="8"/>
        <v>1435.6584270600001</v>
      </c>
      <c r="M141" s="144">
        <f t="shared" si="9"/>
        <v>1535.8200000000002</v>
      </c>
      <c r="N141" s="145" t="s">
        <v>786</v>
      </c>
      <c r="O141" s="125"/>
    </row>
    <row r="142" spans="1:15" ht="15" customHeight="1" x14ac:dyDescent="0.3">
      <c r="A142" s="90" t="s">
        <v>181</v>
      </c>
      <c r="B142" s="90" t="s">
        <v>819</v>
      </c>
      <c r="C142" s="90" t="s">
        <v>820</v>
      </c>
      <c r="D142" s="90" t="s">
        <v>784</v>
      </c>
      <c r="E142" s="90" t="s">
        <v>761</v>
      </c>
      <c r="F142" s="90" t="s">
        <v>785</v>
      </c>
      <c r="G142" s="89">
        <v>1550.23</v>
      </c>
      <c r="H142" s="141" t="str">
        <f t="shared" si="10"/>
        <v>135101250874</v>
      </c>
      <c r="I142" s="142">
        <v>0.11160000000000003</v>
      </c>
      <c r="J142" s="142" t="s">
        <v>1871</v>
      </c>
      <c r="K142" s="143">
        <f t="shared" si="7"/>
        <v>173.00566800000004</v>
      </c>
      <c r="L142" s="144">
        <f t="shared" si="8"/>
        <v>1377.224332</v>
      </c>
      <c r="M142" s="144">
        <f t="shared" si="9"/>
        <v>1550.23</v>
      </c>
      <c r="N142" s="145" t="s">
        <v>786</v>
      </c>
      <c r="O142" s="125"/>
    </row>
    <row r="143" spans="1:15" ht="15" customHeight="1" x14ac:dyDescent="0.3">
      <c r="A143" s="90" t="s">
        <v>181</v>
      </c>
      <c r="B143" s="90" t="s">
        <v>684</v>
      </c>
      <c r="C143" s="90" t="s">
        <v>685</v>
      </c>
      <c r="D143" s="90" t="s">
        <v>807</v>
      </c>
      <c r="E143" s="90" t="s">
        <v>808</v>
      </c>
      <c r="F143" s="90" t="s">
        <v>809</v>
      </c>
      <c r="G143" s="89">
        <v>1790.06</v>
      </c>
      <c r="H143" s="141" t="str">
        <f t="shared" si="10"/>
        <v>151001275874</v>
      </c>
      <c r="I143" s="142">
        <v>0</v>
      </c>
      <c r="J143" s="142" t="s">
        <v>1863</v>
      </c>
      <c r="K143" s="143">
        <f t="shared" si="7"/>
        <v>0</v>
      </c>
      <c r="L143" s="144">
        <f t="shared" si="8"/>
        <v>1790.06</v>
      </c>
      <c r="M143" s="144">
        <f t="shared" si="9"/>
        <v>1790.06</v>
      </c>
      <c r="N143" s="145" t="s">
        <v>786</v>
      </c>
      <c r="O143" s="125"/>
    </row>
    <row r="144" spans="1:15" ht="15" customHeight="1" x14ac:dyDescent="0.3">
      <c r="A144" s="90" t="s">
        <v>181</v>
      </c>
      <c r="B144" s="90" t="s">
        <v>763</v>
      </c>
      <c r="C144" s="90" t="s">
        <v>764</v>
      </c>
      <c r="D144" s="90" t="s">
        <v>823</v>
      </c>
      <c r="E144" s="90" t="s">
        <v>824</v>
      </c>
      <c r="F144" s="90" t="s">
        <v>825</v>
      </c>
      <c r="G144" s="89">
        <v>1887.6799999999998</v>
      </c>
      <c r="H144" s="141" t="str">
        <f t="shared" si="10"/>
        <v>155201170874</v>
      </c>
      <c r="I144" s="142">
        <v>0.11209999999999998</v>
      </c>
      <c r="J144" s="142" t="s">
        <v>1864</v>
      </c>
      <c r="K144" s="143">
        <f t="shared" si="7"/>
        <v>211.60892799999993</v>
      </c>
      <c r="L144" s="144">
        <f t="shared" si="8"/>
        <v>1676.071072</v>
      </c>
      <c r="M144" s="144">
        <f t="shared" si="9"/>
        <v>1887.6799999999998</v>
      </c>
      <c r="N144" s="145" t="s">
        <v>786</v>
      </c>
      <c r="O144" s="125"/>
    </row>
    <row r="145" spans="1:15" ht="15" customHeight="1" x14ac:dyDescent="0.3">
      <c r="A145" s="90" t="s">
        <v>181</v>
      </c>
      <c r="B145" s="90" t="s">
        <v>819</v>
      </c>
      <c r="C145" s="90" t="s">
        <v>820</v>
      </c>
      <c r="D145" s="90" t="s">
        <v>804</v>
      </c>
      <c r="E145" s="90" t="s">
        <v>805</v>
      </c>
      <c r="F145" s="90" t="s">
        <v>806</v>
      </c>
      <c r="G145" s="89">
        <v>2057.12</v>
      </c>
      <c r="H145" s="141" t="str">
        <f t="shared" si="10"/>
        <v>135101187874</v>
      </c>
      <c r="I145" s="142">
        <v>0.11160000000000003</v>
      </c>
      <c r="J145" s="142" t="s">
        <v>1871</v>
      </c>
      <c r="K145" s="143">
        <f t="shared" si="7"/>
        <v>229.57459200000005</v>
      </c>
      <c r="L145" s="144">
        <f t="shared" si="8"/>
        <v>1827.545408</v>
      </c>
      <c r="M145" s="144">
        <f t="shared" si="9"/>
        <v>2057.12</v>
      </c>
      <c r="N145" s="145" t="s">
        <v>786</v>
      </c>
      <c r="O145" s="125"/>
    </row>
    <row r="146" spans="1:15" ht="15" customHeight="1" x14ac:dyDescent="0.3">
      <c r="A146" s="90" t="s">
        <v>181</v>
      </c>
      <c r="B146" s="90" t="s">
        <v>798</v>
      </c>
      <c r="C146" s="90" t="s">
        <v>799</v>
      </c>
      <c r="D146" s="90" t="s">
        <v>823</v>
      </c>
      <c r="E146" s="90" t="s">
        <v>824</v>
      </c>
      <c r="F146" s="90" t="s">
        <v>825</v>
      </c>
      <c r="G146" s="89">
        <v>2099.0299999999997</v>
      </c>
      <c r="H146" s="141" t="str">
        <f t="shared" si="10"/>
        <v>113201170874</v>
      </c>
      <c r="I146" s="142">
        <v>0.11160000000000003</v>
      </c>
      <c r="J146" s="142" t="s">
        <v>1871</v>
      </c>
      <c r="K146" s="143">
        <f t="shared" si="7"/>
        <v>234.25174800000005</v>
      </c>
      <c r="L146" s="144">
        <f t="shared" si="8"/>
        <v>1864.7782519999996</v>
      </c>
      <c r="M146" s="144">
        <f t="shared" si="9"/>
        <v>2099.0299999999997</v>
      </c>
      <c r="N146" s="145" t="s">
        <v>786</v>
      </c>
      <c r="O146" s="125"/>
    </row>
    <row r="147" spans="1:15" ht="15" customHeight="1" x14ac:dyDescent="0.3">
      <c r="A147" s="90" t="s">
        <v>181</v>
      </c>
      <c r="B147" s="90" t="s">
        <v>690</v>
      </c>
      <c r="C147" s="90" t="s">
        <v>691</v>
      </c>
      <c r="D147" s="90" t="s">
        <v>804</v>
      </c>
      <c r="E147" s="90" t="s">
        <v>805</v>
      </c>
      <c r="F147" s="90" t="s">
        <v>806</v>
      </c>
      <c r="G147" s="89">
        <v>2218.29</v>
      </c>
      <c r="H147" s="141" t="str">
        <f t="shared" si="10"/>
        <v>141001187874</v>
      </c>
      <c r="I147" s="142">
        <v>1.1399999999999966E-2</v>
      </c>
      <c r="J147" s="142" t="s">
        <v>281</v>
      </c>
      <c r="K147" s="143">
        <f t="shared" si="7"/>
        <v>25.288505999999924</v>
      </c>
      <c r="L147" s="144">
        <f t="shared" si="8"/>
        <v>2193.0014940000001</v>
      </c>
      <c r="M147" s="144">
        <f t="shared" si="9"/>
        <v>2218.29</v>
      </c>
      <c r="N147" s="145" t="s">
        <v>786</v>
      </c>
      <c r="O147" s="125"/>
    </row>
    <row r="148" spans="1:15" ht="15" customHeight="1" x14ac:dyDescent="0.3">
      <c r="A148" s="90" t="s">
        <v>181</v>
      </c>
      <c r="B148" s="90" t="s">
        <v>739</v>
      </c>
      <c r="C148" s="90" t="s">
        <v>740</v>
      </c>
      <c r="D148" s="90" t="s">
        <v>795</v>
      </c>
      <c r="E148" s="90" t="s">
        <v>796</v>
      </c>
      <c r="F148" s="90" t="s">
        <v>797</v>
      </c>
      <c r="G148" s="89">
        <v>2641.84</v>
      </c>
      <c r="H148" s="141" t="str">
        <f t="shared" si="10"/>
        <v>155061280874</v>
      </c>
      <c r="I148" s="142">
        <v>0</v>
      </c>
      <c r="J148" s="142" t="s">
        <v>1863</v>
      </c>
      <c r="K148" s="143">
        <f t="shared" si="7"/>
        <v>0</v>
      </c>
      <c r="L148" s="144">
        <f t="shared" si="8"/>
        <v>2641.84</v>
      </c>
      <c r="M148" s="144">
        <f t="shared" si="9"/>
        <v>2641.84</v>
      </c>
      <c r="N148" s="145" t="s">
        <v>786</v>
      </c>
      <c r="O148" s="125"/>
    </row>
    <row r="149" spans="1:15" ht="15" customHeight="1" x14ac:dyDescent="0.3">
      <c r="A149" s="90" t="s">
        <v>181</v>
      </c>
      <c r="B149" s="90" t="s">
        <v>684</v>
      </c>
      <c r="C149" s="90" t="s">
        <v>685</v>
      </c>
      <c r="D149" s="90" t="s">
        <v>812</v>
      </c>
      <c r="E149" s="90" t="s">
        <v>748</v>
      </c>
      <c r="F149" s="90" t="s">
        <v>813</v>
      </c>
      <c r="G149" s="89">
        <v>3071.8999999999996</v>
      </c>
      <c r="H149" s="141" t="str">
        <f t="shared" si="10"/>
        <v>151001695874</v>
      </c>
      <c r="I149" s="142">
        <v>0</v>
      </c>
      <c r="J149" s="142" t="s">
        <v>1863</v>
      </c>
      <c r="K149" s="143">
        <f t="shared" si="7"/>
        <v>0</v>
      </c>
      <c r="L149" s="144">
        <f t="shared" si="8"/>
        <v>3071.8999999999996</v>
      </c>
      <c r="M149" s="144">
        <f t="shared" si="9"/>
        <v>3071.8999999999996</v>
      </c>
      <c r="N149" s="145" t="s">
        <v>786</v>
      </c>
      <c r="O149" s="125"/>
    </row>
    <row r="150" spans="1:15" ht="15" customHeight="1" x14ac:dyDescent="0.3">
      <c r="A150" s="90" t="s">
        <v>181</v>
      </c>
      <c r="B150" s="90" t="s">
        <v>690</v>
      </c>
      <c r="C150" s="90" t="s">
        <v>691</v>
      </c>
      <c r="D150" s="90" t="s">
        <v>823</v>
      </c>
      <c r="E150" s="90" t="s">
        <v>824</v>
      </c>
      <c r="F150" s="90" t="s">
        <v>825</v>
      </c>
      <c r="G150" s="89">
        <v>3542.63</v>
      </c>
      <c r="H150" s="141" t="str">
        <f t="shared" si="10"/>
        <v>141001170874</v>
      </c>
      <c r="I150" s="142">
        <v>1.1399999999999966E-2</v>
      </c>
      <c r="J150" s="142" t="s">
        <v>281</v>
      </c>
      <c r="K150" s="143">
        <f t="shared" si="7"/>
        <v>40.385981999999878</v>
      </c>
      <c r="L150" s="144">
        <f t="shared" si="8"/>
        <v>3502.2440180000003</v>
      </c>
      <c r="M150" s="144">
        <f t="shared" si="9"/>
        <v>3542.63</v>
      </c>
      <c r="N150" s="145" t="s">
        <v>786</v>
      </c>
      <c r="O150" s="125"/>
    </row>
    <row r="151" spans="1:15" ht="15" customHeight="1" x14ac:dyDescent="0.3">
      <c r="A151" s="90" t="s">
        <v>181</v>
      </c>
      <c r="B151" s="90" t="s">
        <v>739</v>
      </c>
      <c r="C151" s="90" t="s">
        <v>740</v>
      </c>
      <c r="D151" s="90" t="s">
        <v>784</v>
      </c>
      <c r="E151" s="90" t="s">
        <v>761</v>
      </c>
      <c r="F151" s="90" t="s">
        <v>785</v>
      </c>
      <c r="G151" s="89">
        <v>3672.76</v>
      </c>
      <c r="H151" s="141" t="str">
        <f t="shared" si="10"/>
        <v>155061250874</v>
      </c>
      <c r="I151" s="142">
        <v>0</v>
      </c>
      <c r="J151" s="142" t="s">
        <v>1863</v>
      </c>
      <c r="K151" s="143">
        <f t="shared" si="7"/>
        <v>0</v>
      </c>
      <c r="L151" s="144">
        <f t="shared" si="8"/>
        <v>3672.76</v>
      </c>
      <c r="M151" s="144">
        <f t="shared" si="9"/>
        <v>3672.76</v>
      </c>
      <c r="N151" s="145" t="s">
        <v>786</v>
      </c>
      <c r="O151" s="125"/>
    </row>
    <row r="152" spans="1:15" ht="15" customHeight="1" x14ac:dyDescent="0.3">
      <c r="A152" s="90" t="s">
        <v>181</v>
      </c>
      <c r="B152" s="90" t="s">
        <v>684</v>
      </c>
      <c r="C152" s="90" t="s">
        <v>685</v>
      </c>
      <c r="D152" s="90" t="s">
        <v>792</v>
      </c>
      <c r="E152" s="90" t="s">
        <v>793</v>
      </c>
      <c r="F152" s="90" t="s">
        <v>794</v>
      </c>
      <c r="G152" s="89">
        <v>5524.36</v>
      </c>
      <c r="H152" s="141" t="str">
        <f t="shared" si="10"/>
        <v>151002090874</v>
      </c>
      <c r="I152" s="142">
        <v>0</v>
      </c>
      <c r="J152" s="142" t="s">
        <v>1863</v>
      </c>
      <c r="K152" s="143">
        <f t="shared" ref="K152:K215" si="11">G152*I152</f>
        <v>0</v>
      </c>
      <c r="L152" s="144">
        <f t="shared" ref="L152:L215" si="12">G152-K152</f>
        <v>5524.36</v>
      </c>
      <c r="M152" s="144">
        <f t="shared" ref="M152:M215" si="13">K152+L152</f>
        <v>5524.36</v>
      </c>
      <c r="N152" s="145" t="s">
        <v>786</v>
      </c>
      <c r="O152" s="125"/>
    </row>
    <row r="153" spans="1:15" ht="15" customHeight="1" x14ac:dyDescent="0.3">
      <c r="A153" s="90" t="s">
        <v>181</v>
      </c>
      <c r="B153" s="90" t="s">
        <v>684</v>
      </c>
      <c r="C153" s="90" t="s">
        <v>685</v>
      </c>
      <c r="D153" s="90" t="s">
        <v>802</v>
      </c>
      <c r="E153" s="90" t="s">
        <v>803</v>
      </c>
      <c r="F153" s="90" t="s">
        <v>789</v>
      </c>
      <c r="G153" s="89">
        <v>6562.52</v>
      </c>
      <c r="H153" s="141" t="str">
        <f t="shared" ref="H153:H216" si="14">CONCATENATE(B153,RIGHT(D153,4),A153)</f>
        <v>151001180874</v>
      </c>
      <c r="I153" s="142">
        <v>0</v>
      </c>
      <c r="J153" s="142" t="s">
        <v>1863</v>
      </c>
      <c r="K153" s="143">
        <f t="shared" si="11"/>
        <v>0</v>
      </c>
      <c r="L153" s="144">
        <f t="shared" si="12"/>
        <v>6562.52</v>
      </c>
      <c r="M153" s="144">
        <f t="shared" si="13"/>
        <v>6562.52</v>
      </c>
      <c r="N153" s="145" t="s">
        <v>786</v>
      </c>
      <c r="O153" s="125"/>
    </row>
    <row r="154" spans="1:15" ht="15" customHeight="1" x14ac:dyDescent="0.3">
      <c r="A154" s="90" t="s">
        <v>181</v>
      </c>
      <c r="B154" s="90" t="s">
        <v>688</v>
      </c>
      <c r="C154" s="90" t="s">
        <v>689</v>
      </c>
      <c r="D154" s="90" t="s">
        <v>823</v>
      </c>
      <c r="E154" s="90" t="s">
        <v>824</v>
      </c>
      <c r="F154" s="90" t="s">
        <v>825</v>
      </c>
      <c r="G154" s="89">
        <v>7232.38</v>
      </c>
      <c r="H154" s="141" t="str">
        <f t="shared" si="14"/>
        <v>111001170874</v>
      </c>
      <c r="I154" s="142">
        <v>8.3600000000000008E-2</v>
      </c>
      <c r="J154" s="142" t="s">
        <v>1865</v>
      </c>
      <c r="K154" s="143">
        <f t="shared" si="11"/>
        <v>604.62696800000003</v>
      </c>
      <c r="L154" s="144">
        <f t="shared" si="12"/>
        <v>6627.7530320000005</v>
      </c>
      <c r="M154" s="144">
        <f t="shared" si="13"/>
        <v>7232.380000000001</v>
      </c>
      <c r="N154" s="145" t="s">
        <v>786</v>
      </c>
      <c r="O154" s="125"/>
    </row>
    <row r="155" spans="1:15" ht="15" customHeight="1" x14ac:dyDescent="0.3">
      <c r="A155" s="90" t="s">
        <v>181</v>
      </c>
      <c r="B155" s="90" t="s">
        <v>684</v>
      </c>
      <c r="C155" s="90" t="s">
        <v>685</v>
      </c>
      <c r="D155" s="90" t="s">
        <v>804</v>
      </c>
      <c r="E155" s="90" t="s">
        <v>805</v>
      </c>
      <c r="F155" s="90" t="s">
        <v>806</v>
      </c>
      <c r="G155" s="89">
        <v>7440.3899999999994</v>
      </c>
      <c r="H155" s="141" t="str">
        <f t="shared" si="14"/>
        <v>151001187874</v>
      </c>
      <c r="I155" s="142">
        <v>0</v>
      </c>
      <c r="J155" s="142" t="s">
        <v>1863</v>
      </c>
      <c r="K155" s="143">
        <f t="shared" si="11"/>
        <v>0</v>
      </c>
      <c r="L155" s="144">
        <f t="shared" si="12"/>
        <v>7440.3899999999994</v>
      </c>
      <c r="M155" s="144">
        <f t="shared" si="13"/>
        <v>7440.3899999999994</v>
      </c>
      <c r="N155" s="145" t="s">
        <v>786</v>
      </c>
      <c r="O155" s="125"/>
    </row>
    <row r="156" spans="1:15" ht="15" customHeight="1" x14ac:dyDescent="0.3">
      <c r="A156" s="90" t="s">
        <v>181</v>
      </c>
      <c r="B156" s="90" t="s">
        <v>684</v>
      </c>
      <c r="C156" s="90" t="s">
        <v>685</v>
      </c>
      <c r="D156" s="90" t="s">
        <v>795</v>
      </c>
      <c r="E156" s="90" t="s">
        <v>796</v>
      </c>
      <c r="F156" s="90" t="s">
        <v>797</v>
      </c>
      <c r="G156" s="89">
        <v>8140.91</v>
      </c>
      <c r="H156" s="141" t="str">
        <f t="shared" si="14"/>
        <v>151001280874</v>
      </c>
      <c r="I156" s="142">
        <v>0</v>
      </c>
      <c r="J156" s="142" t="s">
        <v>1863</v>
      </c>
      <c r="K156" s="143">
        <f t="shared" si="11"/>
        <v>0</v>
      </c>
      <c r="L156" s="144">
        <f t="shared" si="12"/>
        <v>8140.91</v>
      </c>
      <c r="M156" s="144">
        <f t="shared" si="13"/>
        <v>8140.91</v>
      </c>
      <c r="N156" s="145" t="s">
        <v>786</v>
      </c>
      <c r="O156" s="125"/>
    </row>
    <row r="157" spans="1:15" ht="15" customHeight="1" x14ac:dyDescent="0.3">
      <c r="A157" s="90" t="s">
        <v>181</v>
      </c>
      <c r="B157" s="90" t="s">
        <v>819</v>
      </c>
      <c r="C157" s="90" t="s">
        <v>820</v>
      </c>
      <c r="D157" s="90" t="s">
        <v>792</v>
      </c>
      <c r="E157" s="90" t="s">
        <v>793</v>
      </c>
      <c r="F157" s="90" t="s">
        <v>794</v>
      </c>
      <c r="G157" s="89">
        <v>15973.799999999997</v>
      </c>
      <c r="H157" s="141" t="str">
        <f t="shared" si="14"/>
        <v>135102090874</v>
      </c>
      <c r="I157" s="142">
        <v>0.11160000000000003</v>
      </c>
      <c r="J157" s="142" t="s">
        <v>1871</v>
      </c>
      <c r="K157" s="143">
        <f t="shared" si="11"/>
        <v>1782.6760800000002</v>
      </c>
      <c r="L157" s="144">
        <f t="shared" si="12"/>
        <v>14191.123919999998</v>
      </c>
      <c r="M157" s="144">
        <f t="shared" si="13"/>
        <v>15973.8</v>
      </c>
      <c r="N157" s="145" t="s">
        <v>786</v>
      </c>
      <c r="O157" s="125"/>
    </row>
    <row r="158" spans="1:15" ht="15" customHeight="1" x14ac:dyDescent="0.3">
      <c r="A158" s="90" t="s">
        <v>181</v>
      </c>
      <c r="B158" s="90" t="s">
        <v>763</v>
      </c>
      <c r="C158" s="90" t="s">
        <v>764</v>
      </c>
      <c r="D158" s="90" t="s">
        <v>787</v>
      </c>
      <c r="E158" s="90" t="s">
        <v>788</v>
      </c>
      <c r="F158" s="90" t="s">
        <v>789</v>
      </c>
      <c r="G158" s="89">
        <v>18088.25</v>
      </c>
      <c r="H158" s="141" t="str">
        <f t="shared" si="14"/>
        <v>155201175874</v>
      </c>
      <c r="I158" s="142">
        <v>0.11209999999999998</v>
      </c>
      <c r="J158" s="142" t="s">
        <v>1864</v>
      </c>
      <c r="K158" s="143">
        <f t="shared" si="11"/>
        <v>2027.6928249999996</v>
      </c>
      <c r="L158" s="144">
        <f t="shared" si="12"/>
        <v>16060.557175</v>
      </c>
      <c r="M158" s="144">
        <f t="shared" si="13"/>
        <v>18088.25</v>
      </c>
      <c r="N158" s="145" t="s">
        <v>786</v>
      </c>
      <c r="O158" s="125"/>
    </row>
    <row r="159" spans="1:15" ht="15" customHeight="1" x14ac:dyDescent="0.3">
      <c r="A159" s="90" t="s">
        <v>181</v>
      </c>
      <c r="B159" s="90" t="s">
        <v>690</v>
      </c>
      <c r="C159" s="90" t="s">
        <v>691</v>
      </c>
      <c r="D159" s="90" t="s">
        <v>812</v>
      </c>
      <c r="E159" s="90" t="s">
        <v>748</v>
      </c>
      <c r="F159" s="90" t="s">
        <v>813</v>
      </c>
      <c r="G159" s="89">
        <v>19389.310000000001</v>
      </c>
      <c r="H159" s="141" t="str">
        <f t="shared" si="14"/>
        <v>141001695874</v>
      </c>
      <c r="I159" s="142">
        <v>1.1399999999999966E-2</v>
      </c>
      <c r="J159" s="142" t="s">
        <v>281</v>
      </c>
      <c r="K159" s="143">
        <f t="shared" si="11"/>
        <v>221.03813399999936</v>
      </c>
      <c r="L159" s="144">
        <f t="shared" si="12"/>
        <v>19168.271866000003</v>
      </c>
      <c r="M159" s="144">
        <f t="shared" si="13"/>
        <v>19389.310000000001</v>
      </c>
      <c r="N159" s="145" t="s">
        <v>786</v>
      </c>
      <c r="O159" s="125"/>
    </row>
    <row r="160" spans="1:15" ht="15" customHeight="1" x14ac:dyDescent="0.3">
      <c r="A160" s="90" t="s">
        <v>181</v>
      </c>
      <c r="B160" s="90" t="s">
        <v>826</v>
      </c>
      <c r="C160" s="90" t="s">
        <v>827</v>
      </c>
      <c r="D160" s="90" t="s">
        <v>828</v>
      </c>
      <c r="E160" s="90" t="s">
        <v>829</v>
      </c>
      <c r="F160" s="90" t="s">
        <v>830</v>
      </c>
      <c r="G160" s="89">
        <v>21071.48</v>
      </c>
      <c r="H160" s="141" t="str">
        <f t="shared" si="14"/>
        <v>162002345874</v>
      </c>
      <c r="I160" s="142">
        <v>0.11209999999999998</v>
      </c>
      <c r="J160" s="142" t="s">
        <v>1864</v>
      </c>
      <c r="K160" s="143">
        <f t="shared" si="11"/>
        <v>2362.1129079999996</v>
      </c>
      <c r="L160" s="144">
        <f t="shared" si="12"/>
        <v>18709.367092</v>
      </c>
      <c r="M160" s="144">
        <f t="shared" si="13"/>
        <v>21071.48</v>
      </c>
      <c r="N160" s="145" t="s">
        <v>786</v>
      </c>
      <c r="O160" s="125"/>
    </row>
    <row r="161" spans="1:15" ht="15" customHeight="1" x14ac:dyDescent="0.3">
      <c r="A161" s="90" t="s">
        <v>181</v>
      </c>
      <c r="B161" s="90" t="s">
        <v>750</v>
      </c>
      <c r="C161" s="90" t="s">
        <v>751</v>
      </c>
      <c r="D161" s="90" t="s">
        <v>812</v>
      </c>
      <c r="E161" s="90" t="s">
        <v>748</v>
      </c>
      <c r="F161" s="90" t="s">
        <v>813</v>
      </c>
      <c r="G161" s="89">
        <v>27176.35</v>
      </c>
      <c r="H161" s="141" t="str">
        <f t="shared" si="14"/>
        <v>155071695874</v>
      </c>
      <c r="I161" s="142">
        <v>6.5216999999999997E-2</v>
      </c>
      <c r="J161" s="142" t="s">
        <v>1866</v>
      </c>
      <c r="K161" s="143">
        <f t="shared" si="11"/>
        <v>1772.3600179499999</v>
      </c>
      <c r="L161" s="144">
        <f t="shared" si="12"/>
        <v>25403.98998205</v>
      </c>
      <c r="M161" s="144">
        <f t="shared" si="13"/>
        <v>27176.35</v>
      </c>
      <c r="N161" s="145" t="s">
        <v>786</v>
      </c>
      <c r="O161" s="125"/>
    </row>
    <row r="162" spans="1:15" ht="15" customHeight="1" x14ac:dyDescent="0.3">
      <c r="A162" s="90" t="s">
        <v>181</v>
      </c>
      <c r="B162" s="90" t="s">
        <v>690</v>
      </c>
      <c r="C162" s="90" t="s">
        <v>691</v>
      </c>
      <c r="D162" s="90" t="s">
        <v>792</v>
      </c>
      <c r="E162" s="90" t="s">
        <v>793</v>
      </c>
      <c r="F162" s="90" t="s">
        <v>794</v>
      </c>
      <c r="G162" s="89">
        <v>29181.77</v>
      </c>
      <c r="H162" s="141" t="str">
        <f t="shared" si="14"/>
        <v>141002090874</v>
      </c>
      <c r="I162" s="142">
        <v>1.1399999999999966E-2</v>
      </c>
      <c r="J162" s="142" t="s">
        <v>281</v>
      </c>
      <c r="K162" s="143">
        <f t="shared" si="11"/>
        <v>332.67217799999901</v>
      </c>
      <c r="L162" s="144">
        <f t="shared" si="12"/>
        <v>28849.097822</v>
      </c>
      <c r="M162" s="144">
        <f t="shared" si="13"/>
        <v>29181.77</v>
      </c>
      <c r="N162" s="145" t="s">
        <v>786</v>
      </c>
      <c r="O162" s="125"/>
    </row>
    <row r="163" spans="1:15" ht="15" customHeight="1" x14ac:dyDescent="0.3">
      <c r="A163" s="90" t="s">
        <v>181</v>
      </c>
      <c r="B163" s="90" t="s">
        <v>750</v>
      </c>
      <c r="C163" s="90" t="s">
        <v>751</v>
      </c>
      <c r="D163" s="90" t="s">
        <v>807</v>
      </c>
      <c r="E163" s="90" t="s">
        <v>808</v>
      </c>
      <c r="F163" s="90" t="s">
        <v>809</v>
      </c>
      <c r="G163" s="89">
        <v>31865.43</v>
      </c>
      <c r="H163" s="141" t="str">
        <f t="shared" si="14"/>
        <v>155071275874</v>
      </c>
      <c r="I163" s="142">
        <v>6.5216999999999997E-2</v>
      </c>
      <c r="J163" s="142" t="s">
        <v>1866</v>
      </c>
      <c r="K163" s="143">
        <f t="shared" si="11"/>
        <v>2078.1677483099998</v>
      </c>
      <c r="L163" s="144">
        <f t="shared" si="12"/>
        <v>29787.262251690001</v>
      </c>
      <c r="M163" s="144">
        <f t="shared" si="13"/>
        <v>31865.43</v>
      </c>
      <c r="N163" s="145" t="s">
        <v>786</v>
      </c>
      <c r="O163" s="125"/>
    </row>
    <row r="164" spans="1:15" ht="15" customHeight="1" x14ac:dyDescent="0.3">
      <c r="A164" s="90" t="s">
        <v>181</v>
      </c>
      <c r="B164" s="90" t="s">
        <v>686</v>
      </c>
      <c r="C164" s="90" t="s">
        <v>687</v>
      </c>
      <c r="D164" s="90" t="s">
        <v>784</v>
      </c>
      <c r="E164" s="90" t="s">
        <v>761</v>
      </c>
      <c r="F164" s="90" t="s">
        <v>785</v>
      </c>
      <c r="G164" s="89">
        <v>32266.760000000002</v>
      </c>
      <c r="H164" s="141" t="str">
        <f t="shared" si="14"/>
        <v>131001250874</v>
      </c>
      <c r="I164" s="142">
        <v>0.11209999999999998</v>
      </c>
      <c r="J164" s="142" t="s">
        <v>1864</v>
      </c>
      <c r="K164" s="143">
        <f t="shared" si="11"/>
        <v>3617.1037959999994</v>
      </c>
      <c r="L164" s="144">
        <f t="shared" si="12"/>
        <v>28649.656204000003</v>
      </c>
      <c r="M164" s="144">
        <f t="shared" si="13"/>
        <v>32266.760000000002</v>
      </c>
      <c r="N164" s="145" t="s">
        <v>786</v>
      </c>
      <c r="O164" s="125"/>
    </row>
    <row r="165" spans="1:15" ht="15" customHeight="1" x14ac:dyDescent="0.3">
      <c r="A165" s="90" t="s">
        <v>181</v>
      </c>
      <c r="B165" s="90" t="s">
        <v>745</v>
      </c>
      <c r="C165" s="90" t="s">
        <v>746</v>
      </c>
      <c r="D165" s="90" t="s">
        <v>807</v>
      </c>
      <c r="E165" s="90" t="s">
        <v>808</v>
      </c>
      <c r="F165" s="90" t="s">
        <v>809</v>
      </c>
      <c r="G165" s="89">
        <v>34971.550000000003</v>
      </c>
      <c r="H165" s="141" t="str">
        <f t="shared" si="14"/>
        <v>141091275874</v>
      </c>
      <c r="I165" s="142">
        <v>1</v>
      </c>
      <c r="J165" s="142" t="s">
        <v>1484</v>
      </c>
      <c r="K165" s="143">
        <f t="shared" si="11"/>
        <v>34971.550000000003</v>
      </c>
      <c r="L165" s="144">
        <f t="shared" si="12"/>
        <v>0</v>
      </c>
      <c r="M165" s="144">
        <f t="shared" si="13"/>
        <v>34971.550000000003</v>
      </c>
      <c r="N165" s="145" t="s">
        <v>786</v>
      </c>
      <c r="O165" s="125"/>
    </row>
    <row r="166" spans="1:15" ht="15" customHeight="1" x14ac:dyDescent="0.3">
      <c r="A166" s="90" t="s">
        <v>181</v>
      </c>
      <c r="B166" s="90" t="s">
        <v>745</v>
      </c>
      <c r="C166" s="90" t="s">
        <v>746</v>
      </c>
      <c r="D166" s="90" t="s">
        <v>823</v>
      </c>
      <c r="E166" s="90" t="s">
        <v>824</v>
      </c>
      <c r="F166" s="90" t="s">
        <v>825</v>
      </c>
      <c r="G166" s="89">
        <v>42256.08</v>
      </c>
      <c r="H166" s="141" t="str">
        <f t="shared" si="14"/>
        <v>141091170874</v>
      </c>
      <c r="I166" s="142">
        <v>1</v>
      </c>
      <c r="J166" s="142" t="s">
        <v>1484</v>
      </c>
      <c r="K166" s="143">
        <f t="shared" si="11"/>
        <v>42256.08</v>
      </c>
      <c r="L166" s="144">
        <f t="shared" si="12"/>
        <v>0</v>
      </c>
      <c r="M166" s="144">
        <f t="shared" si="13"/>
        <v>42256.08</v>
      </c>
      <c r="N166" s="145" t="s">
        <v>786</v>
      </c>
      <c r="O166" s="125"/>
    </row>
    <row r="167" spans="1:15" ht="15" customHeight="1" x14ac:dyDescent="0.3">
      <c r="A167" s="90" t="s">
        <v>181</v>
      </c>
      <c r="B167" s="90" t="s">
        <v>684</v>
      </c>
      <c r="C167" s="90" t="s">
        <v>685</v>
      </c>
      <c r="D167" s="90" t="s">
        <v>787</v>
      </c>
      <c r="E167" s="90" t="s">
        <v>788</v>
      </c>
      <c r="F167" s="90" t="s">
        <v>789</v>
      </c>
      <c r="G167" s="89">
        <v>42600.77</v>
      </c>
      <c r="H167" s="141" t="str">
        <f t="shared" si="14"/>
        <v>151001175874</v>
      </c>
      <c r="I167" s="142">
        <v>0</v>
      </c>
      <c r="J167" s="142" t="s">
        <v>1863</v>
      </c>
      <c r="K167" s="143">
        <f t="shared" si="11"/>
        <v>0</v>
      </c>
      <c r="L167" s="144">
        <f t="shared" si="12"/>
        <v>42600.77</v>
      </c>
      <c r="M167" s="144">
        <f t="shared" si="13"/>
        <v>42600.77</v>
      </c>
      <c r="N167" s="145" t="s">
        <v>786</v>
      </c>
      <c r="O167" s="125"/>
    </row>
    <row r="168" spans="1:15" ht="15" customHeight="1" x14ac:dyDescent="0.3">
      <c r="A168" s="90" t="s">
        <v>181</v>
      </c>
      <c r="B168" s="90" t="s">
        <v>745</v>
      </c>
      <c r="C168" s="90" t="s">
        <v>746</v>
      </c>
      <c r="D168" s="90" t="s">
        <v>804</v>
      </c>
      <c r="E168" s="90" t="s">
        <v>805</v>
      </c>
      <c r="F168" s="90" t="s">
        <v>806</v>
      </c>
      <c r="G168" s="89">
        <v>50269.35</v>
      </c>
      <c r="H168" s="141" t="str">
        <f t="shared" si="14"/>
        <v>141091187874</v>
      </c>
      <c r="I168" s="142">
        <v>1</v>
      </c>
      <c r="J168" s="142" t="s">
        <v>1873</v>
      </c>
      <c r="K168" s="143">
        <f t="shared" si="11"/>
        <v>50269.35</v>
      </c>
      <c r="L168" s="144">
        <f t="shared" si="12"/>
        <v>0</v>
      </c>
      <c r="M168" s="144">
        <f t="shared" si="13"/>
        <v>50269.35</v>
      </c>
      <c r="N168" s="145" t="s">
        <v>786</v>
      </c>
      <c r="O168" s="125"/>
    </row>
    <row r="169" spans="1:15" ht="15" customHeight="1" x14ac:dyDescent="0.3">
      <c r="A169" s="90" t="s">
        <v>181</v>
      </c>
      <c r="B169" s="90" t="s">
        <v>750</v>
      </c>
      <c r="C169" s="90" t="s">
        <v>751</v>
      </c>
      <c r="D169" s="90" t="s">
        <v>804</v>
      </c>
      <c r="E169" s="90" t="s">
        <v>805</v>
      </c>
      <c r="F169" s="90" t="s">
        <v>806</v>
      </c>
      <c r="G169" s="89">
        <v>51103.26</v>
      </c>
      <c r="H169" s="141" t="str">
        <f t="shared" si="14"/>
        <v>155071187874</v>
      </c>
      <c r="I169" s="142">
        <v>6.5216999999999997E-2</v>
      </c>
      <c r="J169" s="142" t="s">
        <v>1866</v>
      </c>
      <c r="K169" s="143">
        <f t="shared" si="11"/>
        <v>3332.8013074199998</v>
      </c>
      <c r="L169" s="144">
        <f t="shared" si="12"/>
        <v>47770.458692580003</v>
      </c>
      <c r="M169" s="144">
        <f t="shared" si="13"/>
        <v>51103.26</v>
      </c>
      <c r="N169" s="145" t="s">
        <v>786</v>
      </c>
      <c r="O169" s="125"/>
    </row>
    <row r="170" spans="1:15" ht="15" customHeight="1" x14ac:dyDescent="0.3">
      <c r="A170" s="90" t="s">
        <v>181</v>
      </c>
      <c r="B170" s="90" t="s">
        <v>750</v>
      </c>
      <c r="C170" s="90" t="s">
        <v>751</v>
      </c>
      <c r="D170" s="90" t="s">
        <v>823</v>
      </c>
      <c r="E170" s="90" t="s">
        <v>824</v>
      </c>
      <c r="F170" s="90" t="s">
        <v>825</v>
      </c>
      <c r="G170" s="89">
        <v>63935.479999999989</v>
      </c>
      <c r="H170" s="141" t="str">
        <f t="shared" si="14"/>
        <v>155071170874</v>
      </c>
      <c r="I170" s="142">
        <v>6.5216999999999997E-2</v>
      </c>
      <c r="J170" s="142" t="s">
        <v>1866</v>
      </c>
      <c r="K170" s="143">
        <f t="shared" si="11"/>
        <v>4169.6801991599987</v>
      </c>
      <c r="L170" s="144">
        <f t="shared" si="12"/>
        <v>59765.799800839988</v>
      </c>
      <c r="M170" s="144">
        <f t="shared" si="13"/>
        <v>63935.479999999989</v>
      </c>
      <c r="N170" s="145" t="s">
        <v>786</v>
      </c>
      <c r="O170" s="125"/>
    </row>
    <row r="171" spans="1:15" ht="15" customHeight="1" x14ac:dyDescent="0.3">
      <c r="A171" s="90" t="s">
        <v>181</v>
      </c>
      <c r="B171" s="90" t="s">
        <v>745</v>
      </c>
      <c r="C171" s="90" t="s">
        <v>746</v>
      </c>
      <c r="D171" s="90" t="s">
        <v>812</v>
      </c>
      <c r="E171" s="90" t="s">
        <v>748</v>
      </c>
      <c r="F171" s="90" t="s">
        <v>813</v>
      </c>
      <c r="G171" s="89">
        <v>64356.840000000011</v>
      </c>
      <c r="H171" s="141" t="str">
        <f t="shared" si="14"/>
        <v>141091695874</v>
      </c>
      <c r="I171" s="142">
        <v>1</v>
      </c>
      <c r="J171" s="142" t="s">
        <v>1484</v>
      </c>
      <c r="K171" s="143">
        <f t="shared" si="11"/>
        <v>64356.840000000011</v>
      </c>
      <c r="L171" s="144">
        <f t="shared" si="12"/>
        <v>0</v>
      </c>
      <c r="M171" s="144">
        <f t="shared" si="13"/>
        <v>64356.840000000011</v>
      </c>
      <c r="N171" s="145" t="s">
        <v>786</v>
      </c>
      <c r="O171" s="125"/>
    </row>
    <row r="172" spans="1:15" ht="15" customHeight="1" x14ac:dyDescent="0.3">
      <c r="A172" s="90" t="s">
        <v>181</v>
      </c>
      <c r="B172" s="90" t="s">
        <v>758</v>
      </c>
      <c r="C172" s="90" t="s">
        <v>759</v>
      </c>
      <c r="D172" s="90" t="s">
        <v>807</v>
      </c>
      <c r="E172" s="90" t="s">
        <v>808</v>
      </c>
      <c r="F172" s="90" t="s">
        <v>809</v>
      </c>
      <c r="G172" s="89">
        <v>80792.069999999992</v>
      </c>
      <c r="H172" s="141" t="str">
        <f t="shared" si="14"/>
        <v>155051275874</v>
      </c>
      <c r="I172" s="142">
        <v>0</v>
      </c>
      <c r="J172" s="142" t="s">
        <v>1867</v>
      </c>
      <c r="K172" s="143">
        <f t="shared" si="11"/>
        <v>0</v>
      </c>
      <c r="L172" s="144">
        <f t="shared" si="12"/>
        <v>80792.069999999992</v>
      </c>
      <c r="M172" s="144">
        <f t="shared" si="13"/>
        <v>80792.069999999992</v>
      </c>
      <c r="N172" s="145" t="s">
        <v>786</v>
      </c>
      <c r="O172" s="125"/>
    </row>
    <row r="173" spans="1:15" ht="15" customHeight="1" x14ac:dyDescent="0.3">
      <c r="A173" s="90" t="s">
        <v>181</v>
      </c>
      <c r="B173" s="90" t="s">
        <v>690</v>
      </c>
      <c r="C173" s="90" t="s">
        <v>691</v>
      </c>
      <c r="D173" s="90" t="s">
        <v>795</v>
      </c>
      <c r="E173" s="90" t="s">
        <v>796</v>
      </c>
      <c r="F173" s="90" t="s">
        <v>797</v>
      </c>
      <c r="G173" s="89">
        <v>104051.47</v>
      </c>
      <c r="H173" s="141" t="str">
        <f t="shared" si="14"/>
        <v>141001280874</v>
      </c>
      <c r="I173" s="142">
        <v>1.1399999999999966E-2</v>
      </c>
      <c r="J173" s="142" t="s">
        <v>281</v>
      </c>
      <c r="K173" s="143">
        <f t="shared" si="11"/>
        <v>1186.1867579999964</v>
      </c>
      <c r="L173" s="144">
        <f t="shared" si="12"/>
        <v>102865.283242</v>
      </c>
      <c r="M173" s="144">
        <f t="shared" si="13"/>
        <v>104051.47</v>
      </c>
      <c r="N173" s="145" t="s">
        <v>786</v>
      </c>
      <c r="O173" s="125"/>
    </row>
    <row r="174" spans="1:15" ht="15" customHeight="1" x14ac:dyDescent="0.3">
      <c r="A174" s="90" t="s">
        <v>181</v>
      </c>
      <c r="B174" s="90" t="s">
        <v>750</v>
      </c>
      <c r="C174" s="90" t="s">
        <v>751</v>
      </c>
      <c r="D174" s="90" t="s">
        <v>802</v>
      </c>
      <c r="E174" s="90" t="s">
        <v>803</v>
      </c>
      <c r="F174" s="90" t="s">
        <v>789</v>
      </c>
      <c r="G174" s="89">
        <v>113548.79000000001</v>
      </c>
      <c r="H174" s="141" t="str">
        <f t="shared" si="14"/>
        <v>155071180874</v>
      </c>
      <c r="I174" s="142">
        <v>6.5216999999999997E-2</v>
      </c>
      <c r="J174" s="142" t="s">
        <v>1866</v>
      </c>
      <c r="K174" s="143">
        <f t="shared" si="11"/>
        <v>7405.3114374300003</v>
      </c>
      <c r="L174" s="144">
        <f t="shared" si="12"/>
        <v>106143.47856257</v>
      </c>
      <c r="M174" s="144">
        <f t="shared" si="13"/>
        <v>113548.79000000001</v>
      </c>
      <c r="N174" s="145" t="s">
        <v>786</v>
      </c>
      <c r="O174" s="125"/>
    </row>
    <row r="175" spans="1:15" ht="15" customHeight="1" x14ac:dyDescent="0.3">
      <c r="A175" s="90" t="s">
        <v>181</v>
      </c>
      <c r="B175" s="90" t="s">
        <v>745</v>
      </c>
      <c r="C175" s="90" t="s">
        <v>746</v>
      </c>
      <c r="D175" s="90" t="s">
        <v>802</v>
      </c>
      <c r="E175" s="90" t="s">
        <v>803</v>
      </c>
      <c r="F175" s="90" t="s">
        <v>789</v>
      </c>
      <c r="G175" s="89">
        <v>115605.25</v>
      </c>
      <c r="H175" s="141" t="str">
        <f t="shared" si="14"/>
        <v>141091180874</v>
      </c>
      <c r="I175" s="142">
        <v>1</v>
      </c>
      <c r="J175" s="142" t="s">
        <v>1484</v>
      </c>
      <c r="K175" s="143">
        <f t="shared" si="11"/>
        <v>115605.25</v>
      </c>
      <c r="L175" s="144">
        <f t="shared" si="12"/>
        <v>0</v>
      </c>
      <c r="M175" s="144">
        <f t="shared" si="13"/>
        <v>115605.25</v>
      </c>
      <c r="N175" s="145" t="s">
        <v>786</v>
      </c>
      <c r="O175" s="125"/>
    </row>
    <row r="176" spans="1:15" ht="15" customHeight="1" x14ac:dyDescent="0.3">
      <c r="A176" s="90" t="s">
        <v>181</v>
      </c>
      <c r="B176" s="90" t="s">
        <v>750</v>
      </c>
      <c r="C176" s="90" t="s">
        <v>751</v>
      </c>
      <c r="D176" s="90" t="s">
        <v>787</v>
      </c>
      <c r="E176" s="90" t="s">
        <v>788</v>
      </c>
      <c r="F176" s="90" t="s">
        <v>789</v>
      </c>
      <c r="G176" s="89">
        <v>122723.15</v>
      </c>
      <c r="H176" s="141" t="str">
        <f t="shared" si="14"/>
        <v>155071175874</v>
      </c>
      <c r="I176" s="142">
        <v>6.5216999999999997E-2</v>
      </c>
      <c r="J176" s="142" t="s">
        <v>1866</v>
      </c>
      <c r="K176" s="143">
        <f t="shared" si="11"/>
        <v>8003.6356735499994</v>
      </c>
      <c r="L176" s="144">
        <f t="shared" si="12"/>
        <v>114719.51432644999</v>
      </c>
      <c r="M176" s="144">
        <f t="shared" si="13"/>
        <v>122723.15</v>
      </c>
      <c r="N176" s="145" t="s">
        <v>786</v>
      </c>
      <c r="O176" s="125"/>
    </row>
    <row r="177" spans="1:15" ht="15" customHeight="1" x14ac:dyDescent="0.3">
      <c r="A177" s="90" t="s">
        <v>181</v>
      </c>
      <c r="B177" s="90" t="s">
        <v>750</v>
      </c>
      <c r="C177" s="90" t="s">
        <v>751</v>
      </c>
      <c r="D177" s="90" t="s">
        <v>792</v>
      </c>
      <c r="E177" s="90" t="s">
        <v>793</v>
      </c>
      <c r="F177" s="90" t="s">
        <v>794</v>
      </c>
      <c r="G177" s="89">
        <v>137816.43</v>
      </c>
      <c r="H177" s="141" t="str">
        <f t="shared" si="14"/>
        <v>155072090874</v>
      </c>
      <c r="I177" s="142">
        <v>6.5216999999999997E-2</v>
      </c>
      <c r="J177" s="142" t="s">
        <v>1866</v>
      </c>
      <c r="K177" s="143">
        <f t="shared" si="11"/>
        <v>8987.9741153099985</v>
      </c>
      <c r="L177" s="144">
        <f t="shared" si="12"/>
        <v>128828.45588468999</v>
      </c>
      <c r="M177" s="144">
        <f t="shared" si="13"/>
        <v>137816.43</v>
      </c>
      <c r="N177" s="145" t="s">
        <v>786</v>
      </c>
      <c r="O177" s="125"/>
    </row>
    <row r="178" spans="1:15" ht="15" customHeight="1" x14ac:dyDescent="0.3">
      <c r="A178" s="90" t="s">
        <v>181</v>
      </c>
      <c r="B178" s="90" t="s">
        <v>739</v>
      </c>
      <c r="C178" s="90" t="s">
        <v>740</v>
      </c>
      <c r="D178" s="90" t="s">
        <v>804</v>
      </c>
      <c r="E178" s="90" t="s">
        <v>805</v>
      </c>
      <c r="F178" s="90" t="s">
        <v>806</v>
      </c>
      <c r="G178" s="89">
        <v>157795.64000000001</v>
      </c>
      <c r="H178" s="141" t="str">
        <f t="shared" si="14"/>
        <v>155061187874</v>
      </c>
      <c r="I178" s="142">
        <v>0</v>
      </c>
      <c r="J178" s="142" t="s">
        <v>1863</v>
      </c>
      <c r="K178" s="143">
        <f t="shared" si="11"/>
        <v>0</v>
      </c>
      <c r="L178" s="144">
        <f t="shared" si="12"/>
        <v>157795.64000000001</v>
      </c>
      <c r="M178" s="144">
        <f t="shared" si="13"/>
        <v>157795.64000000001</v>
      </c>
      <c r="N178" s="145" t="s">
        <v>786</v>
      </c>
      <c r="O178" s="125"/>
    </row>
    <row r="179" spans="1:15" ht="15" customHeight="1" x14ac:dyDescent="0.3">
      <c r="A179" s="90" t="s">
        <v>181</v>
      </c>
      <c r="B179" s="90" t="s">
        <v>745</v>
      </c>
      <c r="C179" s="90" t="s">
        <v>746</v>
      </c>
      <c r="D179" s="90" t="s">
        <v>792</v>
      </c>
      <c r="E179" s="90" t="s">
        <v>793</v>
      </c>
      <c r="F179" s="90" t="s">
        <v>794</v>
      </c>
      <c r="G179" s="89">
        <v>175061.42999999996</v>
      </c>
      <c r="H179" s="141" t="str">
        <f t="shared" si="14"/>
        <v>141092090874</v>
      </c>
      <c r="I179" s="142">
        <v>1</v>
      </c>
      <c r="J179" s="142" t="s">
        <v>1873</v>
      </c>
      <c r="K179" s="143">
        <f t="shared" si="11"/>
        <v>175061.42999999996</v>
      </c>
      <c r="L179" s="144">
        <f t="shared" si="12"/>
        <v>0</v>
      </c>
      <c r="M179" s="144">
        <f t="shared" si="13"/>
        <v>175061.42999999996</v>
      </c>
      <c r="N179" s="145" t="s">
        <v>786</v>
      </c>
      <c r="O179" s="125"/>
    </row>
    <row r="180" spans="1:15" ht="15" customHeight="1" x14ac:dyDescent="0.3">
      <c r="A180" s="90" t="s">
        <v>181</v>
      </c>
      <c r="B180" s="90" t="s">
        <v>739</v>
      </c>
      <c r="C180" s="90" t="s">
        <v>740</v>
      </c>
      <c r="D180" s="90" t="s">
        <v>807</v>
      </c>
      <c r="E180" s="90" t="s">
        <v>808</v>
      </c>
      <c r="F180" s="90" t="s">
        <v>809</v>
      </c>
      <c r="G180" s="89">
        <v>211410.68</v>
      </c>
      <c r="H180" s="141" t="str">
        <f t="shared" si="14"/>
        <v>155061275874</v>
      </c>
      <c r="I180" s="142">
        <v>0</v>
      </c>
      <c r="J180" s="142" t="s">
        <v>1863</v>
      </c>
      <c r="K180" s="143">
        <f t="shared" si="11"/>
        <v>0</v>
      </c>
      <c r="L180" s="144">
        <f t="shared" si="12"/>
        <v>211410.68</v>
      </c>
      <c r="M180" s="144">
        <f t="shared" si="13"/>
        <v>211410.68</v>
      </c>
      <c r="N180" s="145" t="s">
        <v>786</v>
      </c>
      <c r="O180" s="125"/>
    </row>
    <row r="181" spans="1:15" ht="15" customHeight="1" x14ac:dyDescent="0.3">
      <c r="A181" s="90" t="s">
        <v>181</v>
      </c>
      <c r="B181" s="90" t="s">
        <v>763</v>
      </c>
      <c r="C181" s="90" t="s">
        <v>764</v>
      </c>
      <c r="D181" s="90" t="s">
        <v>804</v>
      </c>
      <c r="E181" s="90" t="s">
        <v>805</v>
      </c>
      <c r="F181" s="90" t="s">
        <v>806</v>
      </c>
      <c r="G181" s="89">
        <v>276169.77</v>
      </c>
      <c r="H181" s="141" t="str">
        <f t="shared" si="14"/>
        <v>155201187874</v>
      </c>
      <c r="I181" s="142">
        <v>0.11209999999999998</v>
      </c>
      <c r="J181" s="142" t="s">
        <v>1864</v>
      </c>
      <c r="K181" s="143">
        <f t="shared" si="11"/>
        <v>30958.631216999995</v>
      </c>
      <c r="L181" s="144">
        <f t="shared" si="12"/>
        <v>245211.13878300003</v>
      </c>
      <c r="M181" s="144">
        <f t="shared" si="13"/>
        <v>276169.77</v>
      </c>
      <c r="N181" s="145" t="s">
        <v>786</v>
      </c>
      <c r="O181" s="125"/>
    </row>
    <row r="182" spans="1:15" ht="15" customHeight="1" x14ac:dyDescent="0.3">
      <c r="A182" s="90" t="s">
        <v>181</v>
      </c>
      <c r="B182" s="90" t="s">
        <v>739</v>
      </c>
      <c r="C182" s="90" t="s">
        <v>740</v>
      </c>
      <c r="D182" s="90" t="s">
        <v>823</v>
      </c>
      <c r="E182" s="90" t="s">
        <v>824</v>
      </c>
      <c r="F182" s="90" t="s">
        <v>825</v>
      </c>
      <c r="G182" s="89">
        <v>313490.86</v>
      </c>
      <c r="H182" s="141" t="str">
        <f t="shared" si="14"/>
        <v>155061170874</v>
      </c>
      <c r="I182" s="142">
        <v>0</v>
      </c>
      <c r="J182" s="142" t="s">
        <v>1863</v>
      </c>
      <c r="K182" s="143">
        <f t="shared" si="11"/>
        <v>0</v>
      </c>
      <c r="L182" s="144">
        <f t="shared" si="12"/>
        <v>313490.86</v>
      </c>
      <c r="M182" s="144">
        <f t="shared" si="13"/>
        <v>313490.86</v>
      </c>
      <c r="N182" s="145" t="s">
        <v>786</v>
      </c>
      <c r="O182" s="125"/>
    </row>
    <row r="183" spans="1:15" ht="15" customHeight="1" x14ac:dyDescent="0.3">
      <c r="A183" s="90" t="s">
        <v>181</v>
      </c>
      <c r="B183" s="90" t="s">
        <v>819</v>
      </c>
      <c r="C183" s="90" t="s">
        <v>820</v>
      </c>
      <c r="D183" s="90" t="s">
        <v>802</v>
      </c>
      <c r="E183" s="90" t="s">
        <v>803</v>
      </c>
      <c r="F183" s="90" t="s">
        <v>789</v>
      </c>
      <c r="G183" s="89">
        <v>347865.50000000006</v>
      </c>
      <c r="H183" s="141" t="str">
        <f t="shared" si="14"/>
        <v>135101180874</v>
      </c>
      <c r="I183" s="142">
        <v>0.11160000000000003</v>
      </c>
      <c r="J183" s="142" t="s">
        <v>1871</v>
      </c>
      <c r="K183" s="143">
        <f t="shared" si="11"/>
        <v>38821.78980000002</v>
      </c>
      <c r="L183" s="144">
        <f t="shared" si="12"/>
        <v>309043.71020000003</v>
      </c>
      <c r="M183" s="144">
        <f t="shared" si="13"/>
        <v>347865.50000000006</v>
      </c>
      <c r="N183" s="145" t="s">
        <v>786</v>
      </c>
      <c r="O183" s="125"/>
    </row>
    <row r="184" spans="1:15" ht="15" customHeight="1" x14ac:dyDescent="0.3">
      <c r="A184" s="90" t="s">
        <v>181</v>
      </c>
      <c r="B184" s="90" t="s">
        <v>739</v>
      </c>
      <c r="C184" s="90" t="s">
        <v>740</v>
      </c>
      <c r="D184" s="90" t="s">
        <v>812</v>
      </c>
      <c r="E184" s="90" t="s">
        <v>748</v>
      </c>
      <c r="F184" s="90" t="s">
        <v>813</v>
      </c>
      <c r="G184" s="89">
        <v>562537.25</v>
      </c>
      <c r="H184" s="141" t="str">
        <f t="shared" si="14"/>
        <v>155061695874</v>
      </c>
      <c r="I184" s="142">
        <v>0</v>
      </c>
      <c r="J184" s="142" t="s">
        <v>1863</v>
      </c>
      <c r="K184" s="143">
        <f t="shared" si="11"/>
        <v>0</v>
      </c>
      <c r="L184" s="144">
        <f t="shared" si="12"/>
        <v>562537.25</v>
      </c>
      <c r="M184" s="144">
        <f t="shared" si="13"/>
        <v>562537.25</v>
      </c>
      <c r="N184" s="145" t="s">
        <v>786</v>
      </c>
      <c r="O184" s="125"/>
    </row>
    <row r="185" spans="1:15" ht="15" customHeight="1" x14ac:dyDescent="0.3">
      <c r="A185" s="90" t="s">
        <v>181</v>
      </c>
      <c r="B185" s="90" t="s">
        <v>739</v>
      </c>
      <c r="C185" s="90" t="s">
        <v>740</v>
      </c>
      <c r="D185" s="90" t="s">
        <v>792</v>
      </c>
      <c r="E185" s="90" t="s">
        <v>793</v>
      </c>
      <c r="F185" s="90" t="s">
        <v>794</v>
      </c>
      <c r="G185" s="89">
        <v>722837.59</v>
      </c>
      <c r="H185" s="141" t="str">
        <f t="shared" si="14"/>
        <v>155062090874</v>
      </c>
      <c r="I185" s="142">
        <v>0</v>
      </c>
      <c r="J185" s="142" t="s">
        <v>1863</v>
      </c>
      <c r="K185" s="143">
        <f t="shared" si="11"/>
        <v>0</v>
      </c>
      <c r="L185" s="144">
        <f t="shared" si="12"/>
        <v>722837.59</v>
      </c>
      <c r="M185" s="144">
        <f t="shared" si="13"/>
        <v>722837.59</v>
      </c>
      <c r="N185" s="145" t="s">
        <v>786</v>
      </c>
      <c r="O185" s="125"/>
    </row>
    <row r="186" spans="1:15" ht="15" customHeight="1" x14ac:dyDescent="0.3">
      <c r="A186" s="90" t="s">
        <v>181</v>
      </c>
      <c r="B186" s="90" t="s">
        <v>739</v>
      </c>
      <c r="C186" s="90" t="s">
        <v>740</v>
      </c>
      <c r="D186" s="90" t="s">
        <v>802</v>
      </c>
      <c r="E186" s="90" t="s">
        <v>803</v>
      </c>
      <c r="F186" s="90" t="s">
        <v>789</v>
      </c>
      <c r="G186" s="89">
        <v>739862.39</v>
      </c>
      <c r="H186" s="141" t="str">
        <f t="shared" si="14"/>
        <v>155061180874</v>
      </c>
      <c r="I186" s="142">
        <v>0</v>
      </c>
      <c r="J186" s="142" t="s">
        <v>1863</v>
      </c>
      <c r="K186" s="143">
        <f t="shared" si="11"/>
        <v>0</v>
      </c>
      <c r="L186" s="144">
        <f t="shared" si="12"/>
        <v>739862.39</v>
      </c>
      <c r="M186" s="144">
        <f t="shared" si="13"/>
        <v>739862.39</v>
      </c>
      <c r="N186" s="145" t="s">
        <v>786</v>
      </c>
      <c r="O186" s="125"/>
    </row>
    <row r="187" spans="1:15" ht="15" customHeight="1" x14ac:dyDescent="0.3">
      <c r="A187" s="90" t="s">
        <v>181</v>
      </c>
      <c r="B187" s="90" t="s">
        <v>819</v>
      </c>
      <c r="C187" s="90" t="s">
        <v>820</v>
      </c>
      <c r="D187" s="90" t="s">
        <v>823</v>
      </c>
      <c r="E187" s="90" t="s">
        <v>824</v>
      </c>
      <c r="F187" s="90" t="s">
        <v>825</v>
      </c>
      <c r="G187" s="89">
        <v>866310.19000000006</v>
      </c>
      <c r="H187" s="141" t="str">
        <f t="shared" si="14"/>
        <v>135101170874</v>
      </c>
      <c r="I187" s="142">
        <v>0.11160000000000003</v>
      </c>
      <c r="J187" s="142" t="s">
        <v>1871</v>
      </c>
      <c r="K187" s="143">
        <f t="shared" si="11"/>
        <v>96680.21720400003</v>
      </c>
      <c r="L187" s="144">
        <f t="shared" si="12"/>
        <v>769629.97279600007</v>
      </c>
      <c r="M187" s="144">
        <f t="shared" si="13"/>
        <v>866310.19000000006</v>
      </c>
      <c r="N187" s="145" t="s">
        <v>786</v>
      </c>
      <c r="O187" s="125"/>
    </row>
    <row r="188" spans="1:15" ht="15" customHeight="1" x14ac:dyDescent="0.3">
      <c r="A188" s="90" t="s">
        <v>181</v>
      </c>
      <c r="B188" s="90" t="s">
        <v>763</v>
      </c>
      <c r="C188" s="90" t="s">
        <v>764</v>
      </c>
      <c r="D188" s="90" t="s">
        <v>802</v>
      </c>
      <c r="E188" s="90" t="s">
        <v>803</v>
      </c>
      <c r="F188" s="90" t="s">
        <v>789</v>
      </c>
      <c r="G188" s="89">
        <v>967994.57</v>
      </c>
      <c r="H188" s="141" t="str">
        <f t="shared" si="14"/>
        <v>155201180874</v>
      </c>
      <c r="I188" s="142">
        <v>0.11209999999999998</v>
      </c>
      <c r="J188" s="142" t="s">
        <v>1864</v>
      </c>
      <c r="K188" s="143">
        <f t="shared" si="11"/>
        <v>108512.19129699997</v>
      </c>
      <c r="L188" s="144">
        <f t="shared" si="12"/>
        <v>859482.37870300002</v>
      </c>
      <c r="M188" s="144">
        <f t="shared" si="13"/>
        <v>967994.57</v>
      </c>
      <c r="N188" s="145" t="s">
        <v>786</v>
      </c>
      <c r="O188" s="125"/>
    </row>
    <row r="189" spans="1:15" ht="15" customHeight="1" x14ac:dyDescent="0.3">
      <c r="A189" s="90" t="s">
        <v>181</v>
      </c>
      <c r="B189" s="90" t="s">
        <v>831</v>
      </c>
      <c r="C189" s="90" t="s">
        <v>832</v>
      </c>
      <c r="D189" s="90" t="s">
        <v>784</v>
      </c>
      <c r="E189" s="90" t="s">
        <v>761</v>
      </c>
      <c r="F189" s="90" t="s">
        <v>785</v>
      </c>
      <c r="G189" s="89">
        <v>968107.96</v>
      </c>
      <c r="H189" s="141" t="str">
        <f t="shared" si="14"/>
        <v>155091250874</v>
      </c>
      <c r="I189" s="142">
        <v>0.11209999999999998</v>
      </c>
      <c r="J189" s="142" t="s">
        <v>1864</v>
      </c>
      <c r="K189" s="143">
        <f t="shared" si="11"/>
        <v>108524.90231599998</v>
      </c>
      <c r="L189" s="144">
        <f t="shared" si="12"/>
        <v>859583.057684</v>
      </c>
      <c r="M189" s="144">
        <f t="shared" si="13"/>
        <v>968107.96</v>
      </c>
      <c r="N189" s="145" t="s">
        <v>786</v>
      </c>
      <c r="O189" s="125"/>
    </row>
    <row r="190" spans="1:15" ht="15" customHeight="1" x14ac:dyDescent="0.3">
      <c r="A190" s="90" t="s">
        <v>181</v>
      </c>
      <c r="B190" s="90" t="s">
        <v>763</v>
      </c>
      <c r="C190" s="90" t="s">
        <v>764</v>
      </c>
      <c r="D190" s="90" t="s">
        <v>784</v>
      </c>
      <c r="E190" s="90" t="s">
        <v>761</v>
      </c>
      <c r="F190" s="90" t="s">
        <v>785</v>
      </c>
      <c r="G190" s="89">
        <v>1453917</v>
      </c>
      <c r="H190" s="141" t="str">
        <f t="shared" si="14"/>
        <v>155201250874</v>
      </c>
      <c r="I190" s="142">
        <v>0.11209999999999998</v>
      </c>
      <c r="J190" s="142" t="s">
        <v>1864</v>
      </c>
      <c r="K190" s="143">
        <f t="shared" si="11"/>
        <v>162984.09569999998</v>
      </c>
      <c r="L190" s="144">
        <f t="shared" si="12"/>
        <v>1290932.9043000001</v>
      </c>
      <c r="M190" s="144">
        <f t="shared" si="13"/>
        <v>1453917</v>
      </c>
      <c r="N190" s="145" t="s">
        <v>786</v>
      </c>
      <c r="O190" s="125"/>
    </row>
    <row r="191" spans="1:15" ht="15" customHeight="1" x14ac:dyDescent="0.3">
      <c r="A191" s="90" t="s">
        <v>181</v>
      </c>
      <c r="B191" s="90" t="s">
        <v>831</v>
      </c>
      <c r="C191" s="90" t="s">
        <v>832</v>
      </c>
      <c r="D191" s="90" t="s">
        <v>802</v>
      </c>
      <c r="E191" s="90" t="s">
        <v>803</v>
      </c>
      <c r="F191" s="90" t="s">
        <v>789</v>
      </c>
      <c r="G191" s="89">
        <v>3827935.5999999996</v>
      </c>
      <c r="H191" s="141" t="str">
        <f t="shared" si="14"/>
        <v>155091180874</v>
      </c>
      <c r="I191" s="142">
        <v>0.11160000000000003</v>
      </c>
      <c r="J191" s="142" t="s">
        <v>1871</v>
      </c>
      <c r="K191" s="143">
        <f t="shared" si="11"/>
        <v>427197.61296000006</v>
      </c>
      <c r="L191" s="144">
        <f t="shared" si="12"/>
        <v>3400737.9870399996</v>
      </c>
      <c r="M191" s="144">
        <f t="shared" si="13"/>
        <v>3827935.5999999996</v>
      </c>
      <c r="N191" s="145" t="s">
        <v>786</v>
      </c>
      <c r="O191" s="125"/>
    </row>
    <row r="192" spans="1:15" ht="15" customHeight="1" x14ac:dyDescent="0.3">
      <c r="A192" s="90" t="s">
        <v>183</v>
      </c>
      <c r="B192" s="90" t="s">
        <v>690</v>
      </c>
      <c r="C192" s="90" t="s">
        <v>691</v>
      </c>
      <c r="D192" s="90" t="s">
        <v>833</v>
      </c>
      <c r="E192" s="90" t="s">
        <v>834</v>
      </c>
      <c r="F192" s="90" t="s">
        <v>835</v>
      </c>
      <c r="G192" s="89">
        <v>-5852.4699999999993</v>
      </c>
      <c r="H192" s="141" t="str">
        <f t="shared" si="14"/>
        <v>141001545875</v>
      </c>
      <c r="I192" s="142">
        <v>1.1399999999999966E-2</v>
      </c>
      <c r="J192" s="142" t="s">
        <v>281</v>
      </c>
      <c r="K192" s="143">
        <f t="shared" si="11"/>
        <v>-66.718157999999789</v>
      </c>
      <c r="L192" s="144">
        <f t="shared" si="12"/>
        <v>-5785.7518419999997</v>
      </c>
      <c r="M192" s="144">
        <f t="shared" si="13"/>
        <v>-5852.4699999999993</v>
      </c>
      <c r="N192" s="145" t="s">
        <v>836</v>
      </c>
      <c r="O192" s="125"/>
    </row>
    <row r="193" spans="1:15" ht="15" customHeight="1" x14ac:dyDescent="0.3">
      <c r="A193" s="90" t="s">
        <v>183</v>
      </c>
      <c r="B193" s="90" t="s">
        <v>739</v>
      </c>
      <c r="C193" s="90" t="s">
        <v>740</v>
      </c>
      <c r="D193" s="90" t="s">
        <v>837</v>
      </c>
      <c r="E193" s="90" t="s">
        <v>838</v>
      </c>
      <c r="F193" s="90" t="s">
        <v>839</v>
      </c>
      <c r="G193" s="89">
        <v>73.16</v>
      </c>
      <c r="H193" s="141" t="str">
        <f t="shared" si="14"/>
        <v>155061125875</v>
      </c>
      <c r="I193" s="142">
        <v>0</v>
      </c>
      <c r="J193" s="142" t="s">
        <v>1863</v>
      </c>
      <c r="K193" s="143">
        <f t="shared" si="11"/>
        <v>0</v>
      </c>
      <c r="L193" s="144">
        <f t="shared" si="12"/>
        <v>73.16</v>
      </c>
      <c r="M193" s="144">
        <f t="shared" si="13"/>
        <v>73.16</v>
      </c>
      <c r="N193" s="145" t="s">
        <v>836</v>
      </c>
      <c r="O193" s="125"/>
    </row>
    <row r="194" spans="1:15" ht="15" customHeight="1" x14ac:dyDescent="0.3">
      <c r="A194" s="90" t="s">
        <v>183</v>
      </c>
      <c r="B194" s="90" t="s">
        <v>819</v>
      </c>
      <c r="C194" s="90" t="s">
        <v>820</v>
      </c>
      <c r="D194" s="90" t="s">
        <v>833</v>
      </c>
      <c r="E194" s="90" t="s">
        <v>834</v>
      </c>
      <c r="F194" s="90" t="s">
        <v>835</v>
      </c>
      <c r="G194" s="89">
        <v>703.11</v>
      </c>
      <c r="H194" s="141" t="str">
        <f t="shared" si="14"/>
        <v>135101545875</v>
      </c>
      <c r="I194" s="142">
        <v>0.11160000000000003</v>
      </c>
      <c r="J194" s="142" t="s">
        <v>1871</v>
      </c>
      <c r="K194" s="143">
        <f t="shared" si="11"/>
        <v>78.46707600000002</v>
      </c>
      <c r="L194" s="144">
        <f t="shared" si="12"/>
        <v>624.64292399999999</v>
      </c>
      <c r="M194" s="144">
        <f t="shared" si="13"/>
        <v>703.11</v>
      </c>
      <c r="N194" s="145" t="s">
        <v>836</v>
      </c>
      <c r="O194" s="125"/>
    </row>
    <row r="195" spans="1:15" ht="15" customHeight="1" x14ac:dyDescent="0.3">
      <c r="A195" s="90" t="s">
        <v>183</v>
      </c>
      <c r="B195" s="90" t="s">
        <v>688</v>
      </c>
      <c r="C195" s="90" t="s">
        <v>689</v>
      </c>
      <c r="D195" s="90" t="s">
        <v>837</v>
      </c>
      <c r="E195" s="90" t="s">
        <v>838</v>
      </c>
      <c r="F195" s="90" t="s">
        <v>839</v>
      </c>
      <c r="G195" s="89">
        <v>2981.94</v>
      </c>
      <c r="H195" s="141" t="str">
        <f t="shared" si="14"/>
        <v>111001125875</v>
      </c>
      <c r="I195" s="142">
        <v>8.3600000000000008E-2</v>
      </c>
      <c r="J195" s="142" t="s">
        <v>1865</v>
      </c>
      <c r="K195" s="143">
        <f t="shared" si="11"/>
        <v>249.29018400000004</v>
      </c>
      <c r="L195" s="144">
        <f t="shared" si="12"/>
        <v>2732.6498160000001</v>
      </c>
      <c r="M195" s="144">
        <f t="shared" si="13"/>
        <v>2981.94</v>
      </c>
      <c r="N195" s="145" t="s">
        <v>836</v>
      </c>
      <c r="O195" s="125"/>
    </row>
    <row r="196" spans="1:15" ht="15" customHeight="1" x14ac:dyDescent="0.3">
      <c r="A196" s="90" t="s">
        <v>183</v>
      </c>
      <c r="B196" s="90" t="s">
        <v>688</v>
      </c>
      <c r="C196" s="90" t="s">
        <v>689</v>
      </c>
      <c r="D196" s="90" t="s">
        <v>840</v>
      </c>
      <c r="E196" s="90" t="s">
        <v>841</v>
      </c>
      <c r="F196" s="90" t="s">
        <v>842</v>
      </c>
      <c r="G196" s="89">
        <v>11212.29</v>
      </c>
      <c r="H196" s="141" t="str">
        <f t="shared" si="14"/>
        <v>111004420875</v>
      </c>
      <c r="I196" s="142">
        <v>8.3600000000000008E-2</v>
      </c>
      <c r="J196" s="142" t="s">
        <v>1865</v>
      </c>
      <c r="K196" s="143">
        <f t="shared" si="11"/>
        <v>937.34744400000011</v>
      </c>
      <c r="L196" s="144">
        <f t="shared" si="12"/>
        <v>10274.942556</v>
      </c>
      <c r="M196" s="144">
        <f t="shared" si="13"/>
        <v>11212.29</v>
      </c>
      <c r="N196" s="145" t="s">
        <v>836</v>
      </c>
      <c r="O196" s="125"/>
    </row>
    <row r="197" spans="1:15" ht="15" customHeight="1" x14ac:dyDescent="0.3">
      <c r="A197" s="90" t="s">
        <v>183</v>
      </c>
      <c r="B197" s="90" t="s">
        <v>686</v>
      </c>
      <c r="C197" s="90" t="s">
        <v>687</v>
      </c>
      <c r="D197" s="90" t="s">
        <v>840</v>
      </c>
      <c r="E197" s="90" t="s">
        <v>841</v>
      </c>
      <c r="F197" s="90" t="s">
        <v>842</v>
      </c>
      <c r="G197" s="89">
        <v>12627.13</v>
      </c>
      <c r="H197" s="141" t="str">
        <f t="shared" si="14"/>
        <v>131004420875</v>
      </c>
      <c r="I197" s="142">
        <v>0.11209999999999998</v>
      </c>
      <c r="J197" s="142" t="s">
        <v>1864</v>
      </c>
      <c r="K197" s="143">
        <f t="shared" si="11"/>
        <v>1415.5012729999996</v>
      </c>
      <c r="L197" s="144">
        <f t="shared" si="12"/>
        <v>11211.628726999999</v>
      </c>
      <c r="M197" s="144">
        <f t="shared" si="13"/>
        <v>12627.13</v>
      </c>
      <c r="N197" s="145" t="s">
        <v>836</v>
      </c>
      <c r="O197" s="125"/>
    </row>
    <row r="198" spans="1:15" ht="15" customHeight="1" x14ac:dyDescent="0.3">
      <c r="A198" s="90" t="s">
        <v>183</v>
      </c>
      <c r="B198" s="90" t="s">
        <v>639</v>
      </c>
      <c r="C198" s="90" t="s">
        <v>640</v>
      </c>
      <c r="D198" s="90" t="s">
        <v>843</v>
      </c>
      <c r="E198" s="90" t="s">
        <v>844</v>
      </c>
      <c r="F198" s="90" t="s">
        <v>845</v>
      </c>
      <c r="G198" s="89">
        <v>24761.01</v>
      </c>
      <c r="H198" s="141" t="str">
        <f t="shared" si="14"/>
        <v>161001645875</v>
      </c>
      <c r="I198" s="142">
        <v>0.12765957446808507</v>
      </c>
      <c r="J198" s="142" t="s">
        <v>1874</v>
      </c>
      <c r="K198" s="143">
        <f t="shared" si="11"/>
        <v>3160.9799999999987</v>
      </c>
      <c r="L198" s="144">
        <f t="shared" si="12"/>
        <v>21600.03</v>
      </c>
      <c r="M198" s="144">
        <f t="shared" si="13"/>
        <v>24761.01</v>
      </c>
      <c r="N198" s="145" t="s">
        <v>836</v>
      </c>
      <c r="O198" s="125"/>
    </row>
    <row r="199" spans="1:15" ht="15" customHeight="1" x14ac:dyDescent="0.3">
      <c r="A199" s="90" t="s">
        <v>183</v>
      </c>
      <c r="B199" s="90" t="s">
        <v>686</v>
      </c>
      <c r="C199" s="90" t="s">
        <v>687</v>
      </c>
      <c r="D199" s="90" t="s">
        <v>843</v>
      </c>
      <c r="E199" s="90" t="s">
        <v>844</v>
      </c>
      <c r="F199" s="90" t="s">
        <v>845</v>
      </c>
      <c r="G199" s="89">
        <v>55032.389999999992</v>
      </c>
      <c r="H199" s="141" t="str">
        <f t="shared" si="14"/>
        <v>131001645875</v>
      </c>
      <c r="I199" s="142">
        <v>0.12765957446808507</v>
      </c>
      <c r="J199" s="142" t="s">
        <v>1875</v>
      </c>
      <c r="K199" s="143">
        <f t="shared" si="11"/>
        <v>7025.4114893616988</v>
      </c>
      <c r="L199" s="144">
        <f t="shared" si="12"/>
        <v>48006.978510638291</v>
      </c>
      <c r="M199" s="144">
        <f t="shared" si="13"/>
        <v>55032.389999999992</v>
      </c>
      <c r="N199" s="145" t="s">
        <v>836</v>
      </c>
      <c r="O199" s="125"/>
    </row>
    <row r="200" spans="1:15" ht="15" customHeight="1" x14ac:dyDescent="0.3">
      <c r="A200" s="90" t="s">
        <v>183</v>
      </c>
      <c r="B200" s="90" t="s">
        <v>688</v>
      </c>
      <c r="C200" s="90" t="s">
        <v>689</v>
      </c>
      <c r="D200" s="90" t="s">
        <v>833</v>
      </c>
      <c r="E200" s="90" t="s">
        <v>834</v>
      </c>
      <c r="F200" s="90" t="s">
        <v>835</v>
      </c>
      <c r="G200" s="89">
        <v>97907.62999999999</v>
      </c>
      <c r="H200" s="141" t="str">
        <f t="shared" si="14"/>
        <v>111001545875</v>
      </c>
      <c r="I200" s="142">
        <v>8.3600000000000008E-2</v>
      </c>
      <c r="J200" s="142" t="s">
        <v>1865</v>
      </c>
      <c r="K200" s="143">
        <f t="shared" si="11"/>
        <v>8185.0778680000003</v>
      </c>
      <c r="L200" s="144">
        <f t="shared" si="12"/>
        <v>89722.552131999983</v>
      </c>
      <c r="M200" s="144">
        <f t="shared" si="13"/>
        <v>97907.629999999976</v>
      </c>
      <c r="N200" s="145" t="s">
        <v>836</v>
      </c>
      <c r="O200" s="125"/>
    </row>
    <row r="201" spans="1:15" ht="15" customHeight="1" x14ac:dyDescent="0.3">
      <c r="A201" s="90" t="s">
        <v>185</v>
      </c>
      <c r="B201" s="90" t="s">
        <v>688</v>
      </c>
      <c r="C201" s="90" t="s">
        <v>689</v>
      </c>
      <c r="D201" s="90" t="s">
        <v>846</v>
      </c>
      <c r="E201" s="90" t="s">
        <v>847</v>
      </c>
      <c r="F201" s="90" t="s">
        <v>848</v>
      </c>
      <c r="G201" s="89">
        <v>138.38999999999999</v>
      </c>
      <c r="H201" s="141" t="str">
        <f t="shared" si="14"/>
        <v>111001490877</v>
      </c>
      <c r="I201" s="142">
        <v>8.3600000000000008E-2</v>
      </c>
      <c r="J201" s="142" t="s">
        <v>1865</v>
      </c>
      <c r="K201" s="143">
        <f t="shared" si="11"/>
        <v>11.569404</v>
      </c>
      <c r="L201" s="144">
        <f t="shared" si="12"/>
        <v>126.82059599999998</v>
      </c>
      <c r="M201" s="144">
        <f t="shared" si="13"/>
        <v>138.38999999999999</v>
      </c>
      <c r="N201" s="145" t="s">
        <v>849</v>
      </c>
      <c r="O201" s="125"/>
    </row>
    <row r="202" spans="1:15" ht="15" customHeight="1" x14ac:dyDescent="0.3">
      <c r="A202" s="90" t="s">
        <v>185</v>
      </c>
      <c r="B202" s="90" t="s">
        <v>763</v>
      </c>
      <c r="C202" s="90" t="s">
        <v>764</v>
      </c>
      <c r="D202" s="90" t="s">
        <v>850</v>
      </c>
      <c r="E202" s="90" t="s">
        <v>851</v>
      </c>
      <c r="F202" s="90" t="s">
        <v>852</v>
      </c>
      <c r="G202" s="89">
        <v>186.94</v>
      </c>
      <c r="H202" s="141" t="str">
        <f t="shared" si="14"/>
        <v>155201495877</v>
      </c>
      <c r="I202" s="142">
        <v>0.11209999999999998</v>
      </c>
      <c r="J202" s="142" t="s">
        <v>1864</v>
      </c>
      <c r="K202" s="143">
        <f t="shared" si="11"/>
        <v>20.955973999999994</v>
      </c>
      <c r="L202" s="144">
        <f t="shared" si="12"/>
        <v>165.984026</v>
      </c>
      <c r="M202" s="144">
        <f t="shared" si="13"/>
        <v>186.94</v>
      </c>
      <c r="N202" s="145" t="s">
        <v>849</v>
      </c>
      <c r="O202" s="125"/>
    </row>
    <row r="203" spans="1:15" ht="15" customHeight="1" x14ac:dyDescent="0.3">
      <c r="A203" s="90" t="s">
        <v>185</v>
      </c>
      <c r="B203" s="90" t="s">
        <v>750</v>
      </c>
      <c r="C203" s="90" t="s">
        <v>751</v>
      </c>
      <c r="D203" s="90" t="s">
        <v>853</v>
      </c>
      <c r="E203" s="90" t="s">
        <v>854</v>
      </c>
      <c r="F203" s="90" t="s">
        <v>855</v>
      </c>
      <c r="G203" s="89">
        <v>540</v>
      </c>
      <c r="H203" s="141" t="str">
        <f t="shared" si="14"/>
        <v>155071040877</v>
      </c>
      <c r="I203" s="142">
        <v>6.5216999999999997E-2</v>
      </c>
      <c r="J203" s="142" t="s">
        <v>1866</v>
      </c>
      <c r="K203" s="143">
        <f t="shared" si="11"/>
        <v>35.217179999999999</v>
      </c>
      <c r="L203" s="144">
        <f t="shared" si="12"/>
        <v>504.78282000000002</v>
      </c>
      <c r="M203" s="144">
        <f t="shared" si="13"/>
        <v>540</v>
      </c>
      <c r="N203" s="145" t="s">
        <v>849</v>
      </c>
      <c r="O203" s="125"/>
    </row>
    <row r="204" spans="1:15" ht="15" customHeight="1" x14ac:dyDescent="0.3">
      <c r="A204" s="90" t="s">
        <v>185</v>
      </c>
      <c r="B204" s="90" t="s">
        <v>739</v>
      </c>
      <c r="C204" s="90" t="s">
        <v>740</v>
      </c>
      <c r="D204" s="90" t="s">
        <v>856</v>
      </c>
      <c r="E204" s="90" t="s">
        <v>857</v>
      </c>
      <c r="F204" s="90" t="s">
        <v>858</v>
      </c>
      <c r="G204" s="89">
        <v>593.75</v>
      </c>
      <c r="H204" s="141" t="str">
        <f t="shared" si="14"/>
        <v>155061480877</v>
      </c>
      <c r="I204" s="142">
        <v>0</v>
      </c>
      <c r="J204" s="142" t="s">
        <v>1876</v>
      </c>
      <c r="K204" s="143">
        <f t="shared" si="11"/>
        <v>0</v>
      </c>
      <c r="L204" s="144">
        <f t="shared" si="12"/>
        <v>593.75</v>
      </c>
      <c r="M204" s="144">
        <f t="shared" si="13"/>
        <v>593.75</v>
      </c>
      <c r="N204" s="145" t="s">
        <v>849</v>
      </c>
      <c r="O204" s="125"/>
    </row>
    <row r="205" spans="1:15" ht="15" customHeight="1" x14ac:dyDescent="0.3">
      <c r="A205" s="90" t="s">
        <v>185</v>
      </c>
      <c r="B205" s="90" t="s">
        <v>690</v>
      </c>
      <c r="C205" s="90" t="s">
        <v>691</v>
      </c>
      <c r="D205" s="90" t="s">
        <v>853</v>
      </c>
      <c r="E205" s="90" t="s">
        <v>854</v>
      </c>
      <c r="F205" s="90" t="s">
        <v>855</v>
      </c>
      <c r="G205" s="89">
        <v>1404.13</v>
      </c>
      <c r="H205" s="141" t="str">
        <f t="shared" si="14"/>
        <v>141001040877</v>
      </c>
      <c r="I205" s="142">
        <v>1.1399999999999966E-2</v>
      </c>
      <c r="J205" s="142" t="s">
        <v>281</v>
      </c>
      <c r="K205" s="143">
        <f t="shared" si="11"/>
        <v>16.007081999999954</v>
      </c>
      <c r="L205" s="144">
        <f t="shared" si="12"/>
        <v>1388.1229180000003</v>
      </c>
      <c r="M205" s="144">
        <f t="shared" si="13"/>
        <v>1404.13</v>
      </c>
      <c r="N205" s="145" t="s">
        <v>849</v>
      </c>
      <c r="O205" s="125"/>
    </row>
    <row r="206" spans="1:15" ht="15" customHeight="1" x14ac:dyDescent="0.3">
      <c r="A206" s="90" t="s">
        <v>185</v>
      </c>
      <c r="B206" s="90" t="s">
        <v>688</v>
      </c>
      <c r="C206" s="90" t="s">
        <v>689</v>
      </c>
      <c r="D206" s="90" t="s">
        <v>853</v>
      </c>
      <c r="E206" s="90" t="s">
        <v>854</v>
      </c>
      <c r="F206" s="90" t="s">
        <v>855</v>
      </c>
      <c r="G206" s="89">
        <v>10469.5</v>
      </c>
      <c r="H206" s="141" t="str">
        <f t="shared" si="14"/>
        <v>111001040877</v>
      </c>
      <c r="I206" s="142">
        <v>8.3600000000000008E-2</v>
      </c>
      <c r="J206" s="142" t="s">
        <v>1865</v>
      </c>
      <c r="K206" s="143">
        <f t="shared" si="11"/>
        <v>875.25020000000006</v>
      </c>
      <c r="L206" s="144">
        <f t="shared" si="12"/>
        <v>9594.2497999999996</v>
      </c>
      <c r="M206" s="144">
        <f t="shared" si="13"/>
        <v>10469.5</v>
      </c>
      <c r="N206" s="145" t="s">
        <v>849</v>
      </c>
      <c r="O206" s="125"/>
    </row>
    <row r="207" spans="1:15" ht="15" customHeight="1" x14ac:dyDescent="0.3">
      <c r="A207" s="90" t="s">
        <v>185</v>
      </c>
      <c r="B207" s="90" t="s">
        <v>798</v>
      </c>
      <c r="C207" s="90" t="s">
        <v>799</v>
      </c>
      <c r="D207" s="90" t="s">
        <v>850</v>
      </c>
      <c r="E207" s="90" t="s">
        <v>851</v>
      </c>
      <c r="F207" s="90" t="s">
        <v>852</v>
      </c>
      <c r="G207" s="89">
        <v>12056.610000000002</v>
      </c>
      <c r="H207" s="141" t="str">
        <f t="shared" si="14"/>
        <v>113201495877</v>
      </c>
      <c r="I207" s="142">
        <v>8.3600000000000008E-2</v>
      </c>
      <c r="J207" s="142" t="s">
        <v>1865</v>
      </c>
      <c r="K207" s="143">
        <f t="shared" si="11"/>
        <v>1007.9325960000003</v>
      </c>
      <c r="L207" s="144">
        <f t="shared" si="12"/>
        <v>11048.677404000002</v>
      </c>
      <c r="M207" s="144">
        <f t="shared" si="13"/>
        <v>12056.610000000002</v>
      </c>
      <c r="N207" s="145" t="s">
        <v>849</v>
      </c>
      <c r="O207" s="125"/>
    </row>
    <row r="208" spans="1:15" ht="15" customHeight="1" x14ac:dyDescent="0.3">
      <c r="A208" s="90" t="s">
        <v>185</v>
      </c>
      <c r="B208" s="90" t="s">
        <v>819</v>
      </c>
      <c r="C208" s="90" t="s">
        <v>820</v>
      </c>
      <c r="D208" s="90" t="s">
        <v>850</v>
      </c>
      <c r="E208" s="90" t="s">
        <v>851</v>
      </c>
      <c r="F208" s="90" t="s">
        <v>852</v>
      </c>
      <c r="G208" s="89">
        <v>19060.089999999997</v>
      </c>
      <c r="H208" s="141" t="str">
        <f t="shared" si="14"/>
        <v>135101495877</v>
      </c>
      <c r="I208" s="142">
        <v>0.11160000000000003</v>
      </c>
      <c r="J208" s="142" t="s">
        <v>1871</v>
      </c>
      <c r="K208" s="143">
        <f t="shared" si="11"/>
        <v>2127.1060440000001</v>
      </c>
      <c r="L208" s="144">
        <f t="shared" si="12"/>
        <v>16932.983955999996</v>
      </c>
      <c r="M208" s="144">
        <f t="shared" si="13"/>
        <v>19060.089999999997</v>
      </c>
      <c r="N208" s="145" t="s">
        <v>849</v>
      </c>
      <c r="O208" s="125"/>
    </row>
    <row r="209" spans="1:15" ht="15" customHeight="1" x14ac:dyDescent="0.3">
      <c r="A209" s="90" t="s">
        <v>185</v>
      </c>
      <c r="B209" s="90" t="s">
        <v>688</v>
      </c>
      <c r="C209" s="90" t="s">
        <v>689</v>
      </c>
      <c r="D209" s="90" t="s">
        <v>850</v>
      </c>
      <c r="E209" s="90" t="s">
        <v>851</v>
      </c>
      <c r="F209" s="90" t="s">
        <v>852</v>
      </c>
      <c r="G209" s="89">
        <v>36680.57</v>
      </c>
      <c r="H209" s="141" t="str">
        <f t="shared" si="14"/>
        <v>111001495877</v>
      </c>
      <c r="I209" s="142">
        <v>8.3600000000000008E-2</v>
      </c>
      <c r="J209" s="142" t="s">
        <v>1865</v>
      </c>
      <c r="K209" s="143">
        <f t="shared" si="11"/>
        <v>3066.4956520000001</v>
      </c>
      <c r="L209" s="144">
        <f t="shared" si="12"/>
        <v>33614.074348000002</v>
      </c>
      <c r="M209" s="144">
        <f t="shared" si="13"/>
        <v>36680.57</v>
      </c>
      <c r="N209" s="145" t="s">
        <v>849</v>
      </c>
      <c r="O209" s="125"/>
    </row>
    <row r="210" spans="1:15" ht="15" customHeight="1" x14ac:dyDescent="0.3">
      <c r="A210" s="90" t="s">
        <v>185</v>
      </c>
      <c r="B210" s="90" t="s">
        <v>686</v>
      </c>
      <c r="C210" s="90" t="s">
        <v>687</v>
      </c>
      <c r="D210" s="90" t="s">
        <v>853</v>
      </c>
      <c r="E210" s="90" t="s">
        <v>854</v>
      </c>
      <c r="F210" s="90" t="s">
        <v>855</v>
      </c>
      <c r="G210" s="89">
        <v>49090.000000000007</v>
      </c>
      <c r="H210" s="141" t="str">
        <f t="shared" si="14"/>
        <v>131001040877</v>
      </c>
      <c r="I210" s="142">
        <v>0.11209999999999998</v>
      </c>
      <c r="J210" s="142" t="s">
        <v>1864</v>
      </c>
      <c r="K210" s="143">
        <f t="shared" si="11"/>
        <v>5502.9889999999996</v>
      </c>
      <c r="L210" s="144">
        <f t="shared" si="12"/>
        <v>43587.011000000006</v>
      </c>
      <c r="M210" s="144">
        <f t="shared" si="13"/>
        <v>49090.000000000007</v>
      </c>
      <c r="N210" s="145" t="s">
        <v>849</v>
      </c>
      <c r="O210" s="125"/>
    </row>
    <row r="211" spans="1:15" ht="15" customHeight="1" x14ac:dyDescent="0.3">
      <c r="A211" s="90" t="s">
        <v>185</v>
      </c>
      <c r="B211" s="90" t="s">
        <v>688</v>
      </c>
      <c r="C211" s="90" t="s">
        <v>689</v>
      </c>
      <c r="D211" s="90" t="s">
        <v>856</v>
      </c>
      <c r="E211" s="90" t="s">
        <v>857</v>
      </c>
      <c r="F211" s="90" t="s">
        <v>858</v>
      </c>
      <c r="G211" s="89">
        <v>185610.42999999996</v>
      </c>
      <c r="H211" s="141" t="str">
        <f t="shared" si="14"/>
        <v>111001480877</v>
      </c>
      <c r="I211" s="142">
        <v>8.3600000000000008E-2</v>
      </c>
      <c r="J211" s="142" t="s">
        <v>1865</v>
      </c>
      <c r="K211" s="143">
        <f t="shared" si="11"/>
        <v>15517.031947999998</v>
      </c>
      <c r="L211" s="144">
        <f t="shared" si="12"/>
        <v>170093.39805199997</v>
      </c>
      <c r="M211" s="144">
        <f t="shared" si="13"/>
        <v>185610.42999999996</v>
      </c>
      <c r="N211" s="145" t="s">
        <v>849</v>
      </c>
      <c r="O211" s="125"/>
    </row>
    <row r="212" spans="1:15" ht="15" customHeight="1" x14ac:dyDescent="0.3">
      <c r="A212" s="90" t="s">
        <v>185</v>
      </c>
      <c r="B212" s="90" t="s">
        <v>688</v>
      </c>
      <c r="C212" s="90" t="s">
        <v>689</v>
      </c>
      <c r="D212" s="90" t="s">
        <v>859</v>
      </c>
      <c r="E212" s="90" t="s">
        <v>860</v>
      </c>
      <c r="F212" s="90" t="s">
        <v>861</v>
      </c>
      <c r="G212" s="89">
        <v>188616.54000000004</v>
      </c>
      <c r="H212" s="141" t="str">
        <f t="shared" si="14"/>
        <v>111001485877</v>
      </c>
      <c r="I212" s="142">
        <v>8.3600000000000008E-2</v>
      </c>
      <c r="J212" s="142" t="s">
        <v>1865</v>
      </c>
      <c r="K212" s="143">
        <f t="shared" si="11"/>
        <v>15768.342744000005</v>
      </c>
      <c r="L212" s="144">
        <f t="shared" si="12"/>
        <v>172848.19725600004</v>
      </c>
      <c r="M212" s="144">
        <f t="shared" si="13"/>
        <v>188616.54000000004</v>
      </c>
      <c r="N212" s="145" t="s">
        <v>849</v>
      </c>
      <c r="O212" s="125"/>
    </row>
    <row r="213" spans="1:15" ht="15" customHeight="1" x14ac:dyDescent="0.3">
      <c r="A213" s="90" t="s">
        <v>187</v>
      </c>
      <c r="B213" s="90" t="s">
        <v>800</v>
      </c>
      <c r="C213" s="90" t="s">
        <v>801</v>
      </c>
      <c r="D213" s="90" t="s">
        <v>862</v>
      </c>
      <c r="E213" s="90" t="s">
        <v>708</v>
      </c>
      <c r="F213" s="90" t="s">
        <v>863</v>
      </c>
      <c r="G213" s="89">
        <v>8.58</v>
      </c>
      <c r="H213" s="141" t="str">
        <f t="shared" si="14"/>
        <v>120131630878</v>
      </c>
      <c r="I213" s="142">
        <v>0.11160000000000003</v>
      </c>
      <c r="J213" s="142" t="s">
        <v>1871</v>
      </c>
      <c r="K213" s="143">
        <f t="shared" si="11"/>
        <v>0.95752800000000027</v>
      </c>
      <c r="L213" s="144">
        <f t="shared" si="12"/>
        <v>7.6224720000000001</v>
      </c>
      <c r="M213" s="144">
        <f t="shared" si="13"/>
        <v>8.58</v>
      </c>
      <c r="N213" s="145" t="s">
        <v>864</v>
      </c>
      <c r="O213" s="125"/>
    </row>
    <row r="214" spans="1:15" ht="15" customHeight="1" x14ac:dyDescent="0.3">
      <c r="A214" s="90" t="s">
        <v>187</v>
      </c>
      <c r="B214" s="90" t="s">
        <v>763</v>
      </c>
      <c r="C214" s="90" t="s">
        <v>764</v>
      </c>
      <c r="D214" s="90" t="s">
        <v>865</v>
      </c>
      <c r="E214" s="90" t="s">
        <v>866</v>
      </c>
      <c r="F214" s="90" t="s">
        <v>867</v>
      </c>
      <c r="G214" s="89">
        <v>62.16</v>
      </c>
      <c r="H214" s="141" t="str">
        <f t="shared" si="14"/>
        <v>155201330878</v>
      </c>
      <c r="I214" s="142">
        <v>0.11209999999999998</v>
      </c>
      <c r="J214" s="142" t="s">
        <v>308</v>
      </c>
      <c r="K214" s="143">
        <f t="shared" si="11"/>
        <v>6.9681359999999986</v>
      </c>
      <c r="L214" s="144">
        <f t="shared" si="12"/>
        <v>55.191863999999995</v>
      </c>
      <c r="M214" s="144">
        <f t="shared" si="13"/>
        <v>62.16</v>
      </c>
      <c r="N214" s="145" t="s">
        <v>864</v>
      </c>
      <c r="O214" s="125"/>
    </row>
    <row r="215" spans="1:15" ht="15" customHeight="1" x14ac:dyDescent="0.3">
      <c r="A215" s="90" t="s">
        <v>187</v>
      </c>
      <c r="B215" s="90" t="s">
        <v>798</v>
      </c>
      <c r="C215" s="90" t="s">
        <v>799</v>
      </c>
      <c r="D215" s="90" t="s">
        <v>868</v>
      </c>
      <c r="E215" s="90" t="s">
        <v>869</v>
      </c>
      <c r="F215" s="90" t="s">
        <v>870</v>
      </c>
      <c r="G215" s="89">
        <v>101.06</v>
      </c>
      <c r="H215" s="141" t="str">
        <f t="shared" si="14"/>
        <v>113204655878</v>
      </c>
      <c r="I215" s="142">
        <v>8.3899999999999975E-2</v>
      </c>
      <c r="J215" s="142" t="s">
        <v>1877</v>
      </c>
      <c r="K215" s="143">
        <f t="shared" si="11"/>
        <v>8.4789339999999971</v>
      </c>
      <c r="L215" s="144">
        <f t="shared" si="12"/>
        <v>92.581066000000007</v>
      </c>
      <c r="M215" s="144">
        <f t="shared" si="13"/>
        <v>101.06</v>
      </c>
      <c r="N215" s="145" t="s">
        <v>864</v>
      </c>
      <c r="O215" s="125"/>
    </row>
    <row r="216" spans="1:15" ht="15" customHeight="1" x14ac:dyDescent="0.3">
      <c r="A216" s="90" t="s">
        <v>187</v>
      </c>
      <c r="B216" s="90" t="s">
        <v>676</v>
      </c>
      <c r="C216" s="90" t="s">
        <v>677</v>
      </c>
      <c r="D216" s="90" t="s">
        <v>862</v>
      </c>
      <c r="E216" s="90" t="s">
        <v>708</v>
      </c>
      <c r="F216" s="90" t="s">
        <v>863</v>
      </c>
      <c r="G216" s="89">
        <v>111.99</v>
      </c>
      <c r="H216" s="141" t="str">
        <f t="shared" si="14"/>
        <v>154101630878</v>
      </c>
      <c r="I216" s="142">
        <v>0.11208</v>
      </c>
      <c r="J216" s="142" t="s">
        <v>1862</v>
      </c>
      <c r="K216" s="143">
        <f t="shared" ref="K216:K279" si="15">G216*I216</f>
        <v>12.5518392</v>
      </c>
      <c r="L216" s="144">
        <f t="shared" ref="L216:L279" si="16">G216-K216</f>
        <v>99.438160799999991</v>
      </c>
      <c r="M216" s="144">
        <f t="shared" ref="M216:M279" si="17">K216+L216</f>
        <v>111.99</v>
      </c>
      <c r="N216" s="145" t="s">
        <v>864</v>
      </c>
      <c r="O216" s="125"/>
    </row>
    <row r="217" spans="1:15" ht="15" customHeight="1" x14ac:dyDescent="0.3">
      <c r="A217" s="90" t="s">
        <v>187</v>
      </c>
      <c r="B217" s="90" t="s">
        <v>871</v>
      </c>
      <c r="C217" s="90" t="s">
        <v>872</v>
      </c>
      <c r="D217" s="90" t="s">
        <v>862</v>
      </c>
      <c r="E217" s="90" t="s">
        <v>708</v>
      </c>
      <c r="F217" s="90" t="s">
        <v>863</v>
      </c>
      <c r="G217" s="89">
        <v>128</v>
      </c>
      <c r="H217" s="141" t="str">
        <f t="shared" ref="H217:H280" si="18">CONCATENATE(B217,RIGHT(D217,4),A217)</f>
        <v>161451630878</v>
      </c>
      <c r="I217" s="142">
        <v>0</v>
      </c>
      <c r="J217" s="142" t="s">
        <v>1878</v>
      </c>
      <c r="K217" s="143">
        <f t="shared" si="15"/>
        <v>0</v>
      </c>
      <c r="L217" s="144">
        <f t="shared" si="16"/>
        <v>128</v>
      </c>
      <c r="M217" s="144">
        <f t="shared" si="17"/>
        <v>128</v>
      </c>
      <c r="N217" s="145" t="s">
        <v>864</v>
      </c>
      <c r="O217" s="125"/>
    </row>
    <row r="218" spans="1:15" ht="15" customHeight="1" x14ac:dyDescent="0.3">
      <c r="A218" s="90" t="s">
        <v>187</v>
      </c>
      <c r="B218" s="90" t="s">
        <v>690</v>
      </c>
      <c r="C218" s="90" t="s">
        <v>691</v>
      </c>
      <c r="D218" s="90" t="s">
        <v>873</v>
      </c>
      <c r="E218" s="90" t="s">
        <v>874</v>
      </c>
      <c r="F218" s="90" t="s">
        <v>875</v>
      </c>
      <c r="G218" s="89">
        <v>139.68</v>
      </c>
      <c r="H218" s="141" t="str">
        <f t="shared" si="18"/>
        <v>141001470878</v>
      </c>
      <c r="I218" s="142">
        <v>1.1399999999999966E-2</v>
      </c>
      <c r="J218" s="142" t="s">
        <v>691</v>
      </c>
      <c r="K218" s="143">
        <f t="shared" si="15"/>
        <v>1.5923519999999953</v>
      </c>
      <c r="L218" s="144">
        <f t="shared" si="16"/>
        <v>138.087648</v>
      </c>
      <c r="M218" s="144">
        <f t="shared" si="17"/>
        <v>139.68</v>
      </c>
      <c r="N218" s="145" t="s">
        <v>864</v>
      </c>
      <c r="O218" s="125"/>
    </row>
    <row r="219" spans="1:15" ht="15" customHeight="1" x14ac:dyDescent="0.3">
      <c r="A219" s="90" t="s">
        <v>187</v>
      </c>
      <c r="B219" s="90" t="s">
        <v>790</v>
      </c>
      <c r="C219" s="90" t="s">
        <v>791</v>
      </c>
      <c r="D219" s="90" t="s">
        <v>862</v>
      </c>
      <c r="E219" s="90" t="s">
        <v>708</v>
      </c>
      <c r="F219" s="90" t="s">
        <v>863</v>
      </c>
      <c r="G219" s="89">
        <v>150</v>
      </c>
      <c r="H219" s="141" t="str">
        <f t="shared" si="18"/>
        <v>510101630878</v>
      </c>
      <c r="I219" s="142">
        <v>0.11208</v>
      </c>
      <c r="J219" s="142" t="s">
        <v>1862</v>
      </c>
      <c r="K219" s="143">
        <f t="shared" si="15"/>
        <v>16.812000000000001</v>
      </c>
      <c r="L219" s="144">
        <f t="shared" si="16"/>
        <v>133.18799999999999</v>
      </c>
      <c r="M219" s="144">
        <f t="shared" si="17"/>
        <v>150</v>
      </c>
      <c r="N219" s="145" t="s">
        <v>864</v>
      </c>
      <c r="O219" s="125"/>
    </row>
    <row r="220" spans="1:15" ht="15" customHeight="1" x14ac:dyDescent="0.3">
      <c r="A220" s="90" t="s">
        <v>187</v>
      </c>
      <c r="B220" s="90" t="s">
        <v>690</v>
      </c>
      <c r="C220" s="90" t="s">
        <v>691</v>
      </c>
      <c r="D220" s="90" t="s">
        <v>862</v>
      </c>
      <c r="E220" s="90" t="s">
        <v>708</v>
      </c>
      <c r="F220" s="90" t="s">
        <v>863</v>
      </c>
      <c r="G220" s="89">
        <v>151.25</v>
      </c>
      <c r="H220" s="141" t="str">
        <f t="shared" si="18"/>
        <v>141001630878</v>
      </c>
      <c r="I220" s="142">
        <v>1.1399999999999966E-2</v>
      </c>
      <c r="J220" s="142" t="s">
        <v>281</v>
      </c>
      <c r="K220" s="143">
        <f t="shared" si="15"/>
        <v>1.7242499999999947</v>
      </c>
      <c r="L220" s="144">
        <f t="shared" si="16"/>
        <v>149.52575000000002</v>
      </c>
      <c r="M220" s="144">
        <f t="shared" si="17"/>
        <v>151.25</v>
      </c>
      <c r="N220" s="145" t="s">
        <v>864</v>
      </c>
      <c r="O220" s="125"/>
    </row>
    <row r="221" spans="1:15" ht="15" customHeight="1" x14ac:dyDescent="0.3">
      <c r="A221" s="90" t="s">
        <v>187</v>
      </c>
      <c r="B221" s="90" t="s">
        <v>739</v>
      </c>
      <c r="C221" s="90" t="s">
        <v>740</v>
      </c>
      <c r="D221" s="90" t="s">
        <v>876</v>
      </c>
      <c r="E221" s="90" t="s">
        <v>877</v>
      </c>
      <c r="F221" s="90" t="s">
        <v>878</v>
      </c>
      <c r="G221" s="89">
        <v>188.76</v>
      </c>
      <c r="H221" s="141" t="str">
        <f t="shared" si="18"/>
        <v>155061430878</v>
      </c>
      <c r="I221" s="142">
        <v>0</v>
      </c>
      <c r="J221" s="142" t="s">
        <v>1878</v>
      </c>
      <c r="K221" s="143">
        <f t="shared" si="15"/>
        <v>0</v>
      </c>
      <c r="L221" s="144">
        <f t="shared" si="16"/>
        <v>188.76</v>
      </c>
      <c r="M221" s="144">
        <f t="shared" si="17"/>
        <v>188.76</v>
      </c>
      <c r="N221" s="145" t="s">
        <v>864</v>
      </c>
      <c r="O221" s="125"/>
    </row>
    <row r="222" spans="1:15" ht="15" customHeight="1" x14ac:dyDescent="0.3">
      <c r="A222" s="90" t="s">
        <v>187</v>
      </c>
      <c r="B222" s="90" t="s">
        <v>684</v>
      </c>
      <c r="C222" s="90" t="s">
        <v>685</v>
      </c>
      <c r="D222" s="90" t="s">
        <v>879</v>
      </c>
      <c r="E222" s="90" t="s">
        <v>880</v>
      </c>
      <c r="F222" s="90" t="s">
        <v>881</v>
      </c>
      <c r="G222" s="89">
        <v>428.23</v>
      </c>
      <c r="H222" s="141" t="str">
        <f t="shared" si="18"/>
        <v>151001620878</v>
      </c>
      <c r="I222" s="142">
        <v>0</v>
      </c>
      <c r="J222" s="142" t="s">
        <v>1863</v>
      </c>
      <c r="K222" s="143">
        <f t="shared" si="15"/>
        <v>0</v>
      </c>
      <c r="L222" s="144">
        <f t="shared" si="16"/>
        <v>428.23</v>
      </c>
      <c r="M222" s="144">
        <f t="shared" si="17"/>
        <v>428.23</v>
      </c>
      <c r="N222" s="145" t="s">
        <v>864</v>
      </c>
      <c r="O222" s="125"/>
    </row>
    <row r="223" spans="1:15" ht="15" customHeight="1" x14ac:dyDescent="0.3">
      <c r="A223" s="90" t="s">
        <v>187</v>
      </c>
      <c r="B223" s="90" t="s">
        <v>690</v>
      </c>
      <c r="C223" s="90" t="s">
        <v>691</v>
      </c>
      <c r="D223" s="90" t="s">
        <v>865</v>
      </c>
      <c r="E223" s="90" t="s">
        <v>866</v>
      </c>
      <c r="F223" s="90" t="s">
        <v>867</v>
      </c>
      <c r="G223" s="89">
        <v>601.24</v>
      </c>
      <c r="H223" s="141" t="str">
        <f t="shared" si="18"/>
        <v>141001330878</v>
      </c>
      <c r="I223" s="142">
        <v>1.1399999999999966E-2</v>
      </c>
      <c r="J223" s="142" t="s">
        <v>1879</v>
      </c>
      <c r="K223" s="143">
        <f t="shared" si="15"/>
        <v>6.8541359999999791</v>
      </c>
      <c r="L223" s="144">
        <f t="shared" si="16"/>
        <v>594.38586400000008</v>
      </c>
      <c r="M223" s="144">
        <f t="shared" si="17"/>
        <v>601.24</v>
      </c>
      <c r="N223" s="145" t="s">
        <v>864</v>
      </c>
      <c r="O223" s="125"/>
    </row>
    <row r="224" spans="1:15" ht="15" customHeight="1" x14ac:dyDescent="0.3">
      <c r="A224" s="90" t="s">
        <v>187</v>
      </c>
      <c r="B224" s="90" t="s">
        <v>819</v>
      </c>
      <c r="C224" s="90" t="s">
        <v>820</v>
      </c>
      <c r="D224" s="90" t="s">
        <v>868</v>
      </c>
      <c r="E224" s="90" t="s">
        <v>869</v>
      </c>
      <c r="F224" s="90" t="s">
        <v>870</v>
      </c>
      <c r="G224" s="89">
        <v>658.62</v>
      </c>
      <c r="H224" s="141" t="str">
        <f t="shared" si="18"/>
        <v>135104655878</v>
      </c>
      <c r="I224" s="142">
        <v>8.3899999999999975E-2</v>
      </c>
      <c r="J224" s="142" t="s">
        <v>1877</v>
      </c>
      <c r="K224" s="143">
        <f t="shared" si="15"/>
        <v>55.258217999999985</v>
      </c>
      <c r="L224" s="144">
        <f t="shared" si="16"/>
        <v>603.36178200000006</v>
      </c>
      <c r="M224" s="144">
        <f t="shared" si="17"/>
        <v>658.62</v>
      </c>
      <c r="N224" s="145" t="s">
        <v>864</v>
      </c>
      <c r="O224" s="125"/>
    </row>
    <row r="225" spans="1:15" ht="15" customHeight="1" x14ac:dyDescent="0.3">
      <c r="A225" s="90" t="s">
        <v>187</v>
      </c>
      <c r="B225" s="90" t="s">
        <v>750</v>
      </c>
      <c r="C225" s="90" t="s">
        <v>751</v>
      </c>
      <c r="D225" s="90" t="s">
        <v>879</v>
      </c>
      <c r="E225" s="90" t="s">
        <v>880</v>
      </c>
      <c r="F225" s="90" t="s">
        <v>881</v>
      </c>
      <c r="G225" s="89">
        <v>1143.8499999999999</v>
      </c>
      <c r="H225" s="141" t="str">
        <f t="shared" si="18"/>
        <v>155071620878</v>
      </c>
      <c r="I225" s="142">
        <v>6.5216999999999997E-2</v>
      </c>
      <c r="J225" s="142" t="s">
        <v>1866</v>
      </c>
      <c r="K225" s="143">
        <f t="shared" si="15"/>
        <v>74.598465449999992</v>
      </c>
      <c r="L225" s="144">
        <f t="shared" si="16"/>
        <v>1069.2515345499999</v>
      </c>
      <c r="M225" s="144">
        <f t="shared" si="17"/>
        <v>1143.8499999999999</v>
      </c>
      <c r="N225" s="145" t="s">
        <v>864</v>
      </c>
      <c r="O225" s="125"/>
    </row>
    <row r="226" spans="1:15" ht="15" customHeight="1" x14ac:dyDescent="0.3">
      <c r="A226" s="90" t="s">
        <v>187</v>
      </c>
      <c r="B226" s="90" t="s">
        <v>819</v>
      </c>
      <c r="C226" s="90" t="s">
        <v>820</v>
      </c>
      <c r="D226" s="90" t="s">
        <v>882</v>
      </c>
      <c r="E226" s="90" t="s">
        <v>883</v>
      </c>
      <c r="F226" s="90" t="s">
        <v>884</v>
      </c>
      <c r="G226" s="89">
        <v>1724.08</v>
      </c>
      <c r="H226" s="141" t="str">
        <f t="shared" si="18"/>
        <v>135101410878</v>
      </c>
      <c r="I226" s="142">
        <v>0.11160000000000003</v>
      </c>
      <c r="J226" s="142" t="s">
        <v>1871</v>
      </c>
      <c r="K226" s="143">
        <f t="shared" si="15"/>
        <v>192.40732800000004</v>
      </c>
      <c r="L226" s="144">
        <f t="shared" si="16"/>
        <v>1531.6726719999999</v>
      </c>
      <c r="M226" s="144">
        <f t="shared" si="17"/>
        <v>1724.08</v>
      </c>
      <c r="N226" s="145" t="s">
        <v>864</v>
      </c>
      <c r="O226" s="125"/>
    </row>
    <row r="227" spans="1:15" ht="15" customHeight="1" x14ac:dyDescent="0.3">
      <c r="A227" s="90" t="s">
        <v>187</v>
      </c>
      <c r="B227" s="90" t="s">
        <v>688</v>
      </c>
      <c r="C227" s="90" t="s">
        <v>689</v>
      </c>
      <c r="D227" s="90" t="s">
        <v>865</v>
      </c>
      <c r="E227" s="90" t="s">
        <v>866</v>
      </c>
      <c r="F227" s="90" t="s">
        <v>867</v>
      </c>
      <c r="G227" s="89">
        <v>1746.9</v>
      </c>
      <c r="H227" s="141" t="str">
        <f t="shared" si="18"/>
        <v>111001330878</v>
      </c>
      <c r="I227" s="142">
        <v>8.3899999999999975E-2</v>
      </c>
      <c r="J227" s="142" t="s">
        <v>1880</v>
      </c>
      <c r="K227" s="143">
        <f t="shared" si="15"/>
        <v>146.56490999999997</v>
      </c>
      <c r="L227" s="144">
        <f t="shared" si="16"/>
        <v>1600.33509</v>
      </c>
      <c r="M227" s="144">
        <f t="shared" si="17"/>
        <v>1746.9</v>
      </c>
      <c r="N227" s="145" t="s">
        <v>864</v>
      </c>
      <c r="O227" s="125"/>
    </row>
    <row r="228" spans="1:15" ht="15" customHeight="1" x14ac:dyDescent="0.3">
      <c r="A228" s="90" t="s">
        <v>187</v>
      </c>
      <c r="B228" s="90" t="s">
        <v>739</v>
      </c>
      <c r="C228" s="90" t="s">
        <v>740</v>
      </c>
      <c r="D228" s="90" t="s">
        <v>879</v>
      </c>
      <c r="E228" s="90" t="s">
        <v>880</v>
      </c>
      <c r="F228" s="90" t="s">
        <v>881</v>
      </c>
      <c r="G228" s="89">
        <v>1768.8499999999997</v>
      </c>
      <c r="H228" s="141" t="str">
        <f t="shared" si="18"/>
        <v>155061620878</v>
      </c>
      <c r="I228" s="142">
        <v>0</v>
      </c>
      <c r="J228" s="142" t="s">
        <v>1863</v>
      </c>
      <c r="K228" s="143">
        <f t="shared" si="15"/>
        <v>0</v>
      </c>
      <c r="L228" s="144">
        <f t="shared" si="16"/>
        <v>1768.8499999999997</v>
      </c>
      <c r="M228" s="144">
        <f t="shared" si="17"/>
        <v>1768.8499999999997</v>
      </c>
      <c r="N228" s="145" t="s">
        <v>864</v>
      </c>
      <c r="O228" s="125"/>
    </row>
    <row r="229" spans="1:15" ht="15" customHeight="1" x14ac:dyDescent="0.3">
      <c r="A229" s="90" t="s">
        <v>187</v>
      </c>
      <c r="B229" s="90" t="s">
        <v>688</v>
      </c>
      <c r="C229" s="90" t="s">
        <v>689</v>
      </c>
      <c r="D229" s="90" t="s">
        <v>882</v>
      </c>
      <c r="E229" s="90" t="s">
        <v>883</v>
      </c>
      <c r="F229" s="90" t="s">
        <v>884</v>
      </c>
      <c r="G229" s="89">
        <v>2078.0299999999997</v>
      </c>
      <c r="H229" s="141" t="str">
        <f t="shared" si="18"/>
        <v>111001410878</v>
      </c>
      <c r="I229" s="142">
        <v>8.3899999999999975E-2</v>
      </c>
      <c r="J229" s="142" t="s">
        <v>1880</v>
      </c>
      <c r="K229" s="143">
        <f t="shared" si="15"/>
        <v>174.34671699999993</v>
      </c>
      <c r="L229" s="144">
        <f t="shared" si="16"/>
        <v>1903.6832829999998</v>
      </c>
      <c r="M229" s="144">
        <f t="shared" si="17"/>
        <v>2078.0299999999997</v>
      </c>
      <c r="N229" s="145" t="s">
        <v>864</v>
      </c>
      <c r="O229" s="125"/>
    </row>
    <row r="230" spans="1:15" ht="15" customHeight="1" x14ac:dyDescent="0.3">
      <c r="A230" s="90" t="s">
        <v>187</v>
      </c>
      <c r="B230" s="90" t="s">
        <v>819</v>
      </c>
      <c r="C230" s="90" t="s">
        <v>820</v>
      </c>
      <c r="D230" s="90" t="s">
        <v>865</v>
      </c>
      <c r="E230" s="90" t="s">
        <v>866</v>
      </c>
      <c r="F230" s="90" t="s">
        <v>867</v>
      </c>
      <c r="G230" s="89">
        <v>2910.7</v>
      </c>
      <c r="H230" s="141" t="str">
        <f t="shared" si="18"/>
        <v>135101330878</v>
      </c>
      <c r="I230" s="142">
        <v>0.11160000000000003</v>
      </c>
      <c r="J230" s="142" t="s">
        <v>1871</v>
      </c>
      <c r="K230" s="143">
        <f t="shared" si="15"/>
        <v>324.8341200000001</v>
      </c>
      <c r="L230" s="144">
        <f t="shared" si="16"/>
        <v>2585.8658799999998</v>
      </c>
      <c r="M230" s="144">
        <f t="shared" si="17"/>
        <v>2910.7</v>
      </c>
      <c r="N230" s="145" t="s">
        <v>864</v>
      </c>
      <c r="O230" s="125"/>
    </row>
    <row r="231" spans="1:15" ht="15" customHeight="1" x14ac:dyDescent="0.3">
      <c r="A231" s="90" t="s">
        <v>187</v>
      </c>
      <c r="B231" s="90" t="s">
        <v>688</v>
      </c>
      <c r="C231" s="90" t="s">
        <v>689</v>
      </c>
      <c r="D231" s="90" t="s">
        <v>873</v>
      </c>
      <c r="E231" s="90" t="s">
        <v>874</v>
      </c>
      <c r="F231" s="90" t="s">
        <v>875</v>
      </c>
      <c r="G231" s="89">
        <v>4634.9899999999989</v>
      </c>
      <c r="H231" s="141" t="str">
        <f t="shared" si="18"/>
        <v>111001470878</v>
      </c>
      <c r="I231" s="142">
        <v>8.3600000000000008E-2</v>
      </c>
      <c r="J231" s="142" t="s">
        <v>1865</v>
      </c>
      <c r="K231" s="143">
        <f t="shared" si="15"/>
        <v>387.48516399999994</v>
      </c>
      <c r="L231" s="144">
        <f t="shared" si="16"/>
        <v>4247.5048359999992</v>
      </c>
      <c r="M231" s="144">
        <f t="shared" si="17"/>
        <v>4634.9899999999989</v>
      </c>
      <c r="N231" s="145" t="s">
        <v>864</v>
      </c>
      <c r="O231" s="125"/>
    </row>
    <row r="232" spans="1:15" ht="15" customHeight="1" x14ac:dyDescent="0.3">
      <c r="A232" s="90" t="s">
        <v>187</v>
      </c>
      <c r="B232" s="90" t="s">
        <v>798</v>
      </c>
      <c r="C232" s="90" t="s">
        <v>799</v>
      </c>
      <c r="D232" s="90" t="s">
        <v>862</v>
      </c>
      <c r="E232" s="90" t="s">
        <v>708</v>
      </c>
      <c r="F232" s="90" t="s">
        <v>863</v>
      </c>
      <c r="G232" s="89">
        <v>10951.279999999999</v>
      </c>
      <c r="H232" s="141" t="str">
        <f t="shared" si="18"/>
        <v>113201630878</v>
      </c>
      <c r="I232" s="142">
        <v>0.11160000000000003</v>
      </c>
      <c r="J232" s="142" t="s">
        <v>1871</v>
      </c>
      <c r="K232" s="143">
        <f t="shared" si="15"/>
        <v>1222.1628480000002</v>
      </c>
      <c r="L232" s="144">
        <f t="shared" si="16"/>
        <v>9729.1171519999989</v>
      </c>
      <c r="M232" s="144">
        <f t="shared" si="17"/>
        <v>10951.279999999999</v>
      </c>
      <c r="N232" s="145" t="s">
        <v>864</v>
      </c>
      <c r="O232" s="125"/>
    </row>
    <row r="233" spans="1:15" ht="15" customHeight="1" x14ac:dyDescent="0.3">
      <c r="A233" s="90" t="s">
        <v>187</v>
      </c>
      <c r="B233" s="90" t="s">
        <v>688</v>
      </c>
      <c r="C233" s="90" t="s">
        <v>689</v>
      </c>
      <c r="D233" s="90" t="s">
        <v>876</v>
      </c>
      <c r="E233" s="90" t="s">
        <v>877</v>
      </c>
      <c r="F233" s="90" t="s">
        <v>878</v>
      </c>
      <c r="G233" s="89">
        <v>11104.21</v>
      </c>
      <c r="H233" s="141" t="str">
        <f t="shared" si="18"/>
        <v>111001430878</v>
      </c>
      <c r="I233" s="142">
        <v>8.3600000000000008E-2</v>
      </c>
      <c r="J233" s="142" t="s">
        <v>1865</v>
      </c>
      <c r="K233" s="143">
        <f t="shared" si="15"/>
        <v>928.31195600000001</v>
      </c>
      <c r="L233" s="144">
        <f t="shared" si="16"/>
        <v>10175.898044</v>
      </c>
      <c r="M233" s="144">
        <f t="shared" si="17"/>
        <v>11104.21</v>
      </c>
      <c r="N233" s="145" t="s">
        <v>864</v>
      </c>
      <c r="O233" s="125"/>
    </row>
    <row r="234" spans="1:15" ht="15" customHeight="1" x14ac:dyDescent="0.3">
      <c r="A234" s="90" t="s">
        <v>187</v>
      </c>
      <c r="B234" s="90" t="s">
        <v>798</v>
      </c>
      <c r="C234" s="90" t="s">
        <v>799</v>
      </c>
      <c r="D234" s="90" t="s">
        <v>879</v>
      </c>
      <c r="E234" s="90" t="s">
        <v>880</v>
      </c>
      <c r="F234" s="90" t="s">
        <v>881</v>
      </c>
      <c r="G234" s="89">
        <v>15071.609999999999</v>
      </c>
      <c r="H234" s="141" t="str">
        <f t="shared" si="18"/>
        <v>113201620878</v>
      </c>
      <c r="I234" s="142">
        <v>0.11160000000000003</v>
      </c>
      <c r="J234" s="142" t="s">
        <v>1871</v>
      </c>
      <c r="K234" s="143">
        <f t="shared" si="15"/>
        <v>1681.9916760000003</v>
      </c>
      <c r="L234" s="144">
        <f t="shared" si="16"/>
        <v>13389.618323999999</v>
      </c>
      <c r="M234" s="144">
        <f t="shared" si="17"/>
        <v>15071.609999999999</v>
      </c>
      <c r="N234" s="145" t="s">
        <v>864</v>
      </c>
      <c r="O234" s="125"/>
    </row>
    <row r="235" spans="1:15" ht="15" customHeight="1" x14ac:dyDescent="0.3">
      <c r="A235" s="90" t="s">
        <v>187</v>
      </c>
      <c r="B235" s="90" t="s">
        <v>688</v>
      </c>
      <c r="C235" s="90" t="s">
        <v>689</v>
      </c>
      <c r="D235" s="90" t="s">
        <v>868</v>
      </c>
      <c r="E235" s="90" t="s">
        <v>869</v>
      </c>
      <c r="F235" s="90" t="s">
        <v>870</v>
      </c>
      <c r="G235" s="89">
        <v>29632.63</v>
      </c>
      <c r="H235" s="141" t="str">
        <f t="shared" si="18"/>
        <v>111004655878</v>
      </c>
      <c r="I235" s="142">
        <v>8.3899999999999975E-2</v>
      </c>
      <c r="J235" s="142" t="s">
        <v>1880</v>
      </c>
      <c r="K235" s="143">
        <f t="shared" si="15"/>
        <v>2486.1776569999993</v>
      </c>
      <c r="L235" s="144">
        <f t="shared" si="16"/>
        <v>27146.452343000001</v>
      </c>
      <c r="M235" s="144">
        <f t="shared" si="17"/>
        <v>29632.63</v>
      </c>
      <c r="N235" s="145" t="s">
        <v>864</v>
      </c>
      <c r="O235" s="125"/>
    </row>
    <row r="236" spans="1:15" ht="15" customHeight="1" x14ac:dyDescent="0.3">
      <c r="A236" s="90" t="s">
        <v>187</v>
      </c>
      <c r="B236" s="90" t="s">
        <v>819</v>
      </c>
      <c r="C236" s="90" t="s">
        <v>820</v>
      </c>
      <c r="D236" s="90" t="s">
        <v>876</v>
      </c>
      <c r="E236" s="90" t="s">
        <v>877</v>
      </c>
      <c r="F236" s="90" t="s">
        <v>878</v>
      </c>
      <c r="G236" s="89">
        <v>98630.67</v>
      </c>
      <c r="H236" s="141" t="str">
        <f t="shared" si="18"/>
        <v>135101430878</v>
      </c>
      <c r="I236" s="142">
        <v>0.11160000000000003</v>
      </c>
      <c r="J236" s="142" t="s">
        <v>1871</v>
      </c>
      <c r="K236" s="143">
        <f t="shared" si="15"/>
        <v>11007.182772000004</v>
      </c>
      <c r="L236" s="144">
        <f t="shared" si="16"/>
        <v>87623.487227999998</v>
      </c>
      <c r="M236" s="144">
        <f t="shared" si="17"/>
        <v>98630.67</v>
      </c>
      <c r="N236" s="145" t="s">
        <v>864</v>
      </c>
      <c r="O236" s="125"/>
    </row>
    <row r="237" spans="1:15" ht="15" customHeight="1" x14ac:dyDescent="0.3">
      <c r="A237" s="90" t="s">
        <v>187</v>
      </c>
      <c r="B237" s="90" t="s">
        <v>819</v>
      </c>
      <c r="C237" s="90" t="s">
        <v>820</v>
      </c>
      <c r="D237" s="90" t="s">
        <v>862</v>
      </c>
      <c r="E237" s="90" t="s">
        <v>708</v>
      </c>
      <c r="F237" s="90" t="s">
        <v>863</v>
      </c>
      <c r="G237" s="89">
        <v>2138703.63</v>
      </c>
      <c r="H237" s="141" t="str">
        <f t="shared" si="18"/>
        <v>135101630878</v>
      </c>
      <c r="I237" s="142">
        <v>0.11160000000000003</v>
      </c>
      <c r="J237" s="142" t="s">
        <v>1871</v>
      </c>
      <c r="K237" s="143">
        <f t="shared" si="15"/>
        <v>238679.32510800005</v>
      </c>
      <c r="L237" s="144">
        <f t="shared" si="16"/>
        <v>1900024.3048919998</v>
      </c>
      <c r="M237" s="144">
        <f t="shared" si="17"/>
        <v>2138703.63</v>
      </c>
      <c r="N237" s="145" t="s">
        <v>864</v>
      </c>
      <c r="O237" s="125"/>
    </row>
    <row r="238" spans="1:15" ht="15" customHeight="1" x14ac:dyDescent="0.3">
      <c r="A238" s="90" t="s">
        <v>187</v>
      </c>
      <c r="B238" s="90" t="s">
        <v>819</v>
      </c>
      <c r="C238" s="90" t="s">
        <v>820</v>
      </c>
      <c r="D238" s="90" t="s">
        <v>879</v>
      </c>
      <c r="E238" s="90" t="s">
        <v>880</v>
      </c>
      <c r="F238" s="90" t="s">
        <v>881</v>
      </c>
      <c r="G238" s="89">
        <v>3699836.06</v>
      </c>
      <c r="H238" s="141" t="str">
        <f t="shared" si="18"/>
        <v>135101620878</v>
      </c>
      <c r="I238" s="142">
        <v>0.11160000000000003</v>
      </c>
      <c r="J238" s="142" t="s">
        <v>1871</v>
      </c>
      <c r="K238" s="143">
        <f t="shared" si="15"/>
        <v>412901.70429600013</v>
      </c>
      <c r="L238" s="144">
        <f t="shared" si="16"/>
        <v>3286934.3557039998</v>
      </c>
      <c r="M238" s="144">
        <f t="shared" si="17"/>
        <v>3699836.06</v>
      </c>
      <c r="N238" s="145" t="s">
        <v>864</v>
      </c>
      <c r="O238" s="125"/>
    </row>
    <row r="239" spans="1:15" ht="15" customHeight="1" x14ac:dyDescent="0.3">
      <c r="A239" s="90" t="s">
        <v>189</v>
      </c>
      <c r="B239" s="90" t="s">
        <v>684</v>
      </c>
      <c r="C239" s="90" t="s">
        <v>685</v>
      </c>
      <c r="D239" s="90" t="s">
        <v>885</v>
      </c>
      <c r="E239" s="90" t="s">
        <v>704</v>
      </c>
      <c r="F239" s="90" t="s">
        <v>886</v>
      </c>
      <c r="G239" s="89">
        <v>-6230.98</v>
      </c>
      <c r="H239" s="141" t="str">
        <f t="shared" si="18"/>
        <v>151001505879</v>
      </c>
      <c r="I239" s="142">
        <v>0</v>
      </c>
      <c r="J239" s="142" t="s">
        <v>1863</v>
      </c>
      <c r="K239" s="143">
        <f t="shared" si="15"/>
        <v>0</v>
      </c>
      <c r="L239" s="144">
        <f t="shared" si="16"/>
        <v>-6230.98</v>
      </c>
      <c r="M239" s="144">
        <f t="shared" si="17"/>
        <v>-6230.98</v>
      </c>
      <c r="N239" s="145" t="s">
        <v>887</v>
      </c>
      <c r="O239" s="125"/>
    </row>
    <row r="240" spans="1:15" ht="15" customHeight="1" x14ac:dyDescent="0.3">
      <c r="A240" s="90" t="s">
        <v>189</v>
      </c>
      <c r="B240" s="90" t="s">
        <v>688</v>
      </c>
      <c r="C240" s="90" t="s">
        <v>689</v>
      </c>
      <c r="D240" s="90" t="s">
        <v>888</v>
      </c>
      <c r="E240" s="90" t="s">
        <v>889</v>
      </c>
      <c r="F240" s="90" t="s">
        <v>890</v>
      </c>
      <c r="G240" s="89">
        <v>0</v>
      </c>
      <c r="H240" s="141" t="str">
        <f t="shared" si="18"/>
        <v>111001625879</v>
      </c>
      <c r="I240" s="142">
        <v>0.11160000000000003</v>
      </c>
      <c r="J240" s="142" t="s">
        <v>1871</v>
      </c>
      <c r="K240" s="143">
        <f t="shared" si="15"/>
        <v>0</v>
      </c>
      <c r="L240" s="144">
        <f t="shared" si="16"/>
        <v>0</v>
      </c>
      <c r="M240" s="144">
        <f t="shared" si="17"/>
        <v>0</v>
      </c>
      <c r="N240" s="145" t="s">
        <v>887</v>
      </c>
      <c r="O240" s="125"/>
    </row>
    <row r="241" spans="1:15" ht="15" customHeight="1" x14ac:dyDescent="0.3">
      <c r="A241" s="90" t="s">
        <v>189</v>
      </c>
      <c r="B241" s="90" t="s">
        <v>684</v>
      </c>
      <c r="C241" s="90" t="s">
        <v>685</v>
      </c>
      <c r="D241" s="90" t="s">
        <v>891</v>
      </c>
      <c r="E241" s="90" t="s">
        <v>708</v>
      </c>
      <c r="F241" s="90" t="s">
        <v>892</v>
      </c>
      <c r="G241" s="89">
        <v>10.8</v>
      </c>
      <c r="H241" s="141" t="str">
        <f t="shared" si="18"/>
        <v>151001630879</v>
      </c>
      <c r="I241" s="142">
        <v>0</v>
      </c>
      <c r="J241" s="142" t="s">
        <v>1878</v>
      </c>
      <c r="K241" s="143">
        <f t="shared" si="15"/>
        <v>0</v>
      </c>
      <c r="L241" s="144">
        <f t="shared" si="16"/>
        <v>10.8</v>
      </c>
      <c r="M241" s="144">
        <f t="shared" si="17"/>
        <v>10.8</v>
      </c>
      <c r="N241" s="145" t="s">
        <v>887</v>
      </c>
      <c r="O241" s="125"/>
    </row>
    <row r="242" spans="1:15" ht="15" customHeight="1" x14ac:dyDescent="0.3">
      <c r="A242" s="90" t="s">
        <v>189</v>
      </c>
      <c r="B242" s="90" t="s">
        <v>893</v>
      </c>
      <c r="C242" s="90" t="s">
        <v>894</v>
      </c>
      <c r="D242" s="90" t="s">
        <v>885</v>
      </c>
      <c r="E242" s="90" t="s">
        <v>704</v>
      </c>
      <c r="F242" s="90" t="s">
        <v>886</v>
      </c>
      <c r="G242" s="89">
        <v>135.02000000000001</v>
      </c>
      <c r="H242" s="141" t="str">
        <f t="shared" si="18"/>
        <v>134001505879</v>
      </c>
      <c r="I242" s="142">
        <v>0.11160000000000003</v>
      </c>
      <c r="J242" s="142" t="s">
        <v>1871</v>
      </c>
      <c r="K242" s="143">
        <f t="shared" si="15"/>
        <v>15.068232000000005</v>
      </c>
      <c r="L242" s="144">
        <f t="shared" si="16"/>
        <v>119.951768</v>
      </c>
      <c r="M242" s="144">
        <f t="shared" si="17"/>
        <v>135.02000000000001</v>
      </c>
      <c r="N242" s="145" t="s">
        <v>887</v>
      </c>
      <c r="O242" s="125"/>
    </row>
    <row r="243" spans="1:15" ht="15" customHeight="1" x14ac:dyDescent="0.3">
      <c r="A243" s="90" t="s">
        <v>189</v>
      </c>
      <c r="B243" s="90" t="s">
        <v>895</v>
      </c>
      <c r="C243" s="90" t="s">
        <v>896</v>
      </c>
      <c r="D243" s="90" t="s">
        <v>897</v>
      </c>
      <c r="E243" s="90" t="s">
        <v>880</v>
      </c>
      <c r="F243" s="90" t="s">
        <v>890</v>
      </c>
      <c r="G243" s="89">
        <v>182.04</v>
      </c>
      <c r="H243" s="141" t="str">
        <f t="shared" si="18"/>
        <v>135201620879</v>
      </c>
      <c r="I243" s="142">
        <v>0.11160000000000003</v>
      </c>
      <c r="J243" s="142" t="s">
        <v>1871</v>
      </c>
      <c r="K243" s="143">
        <f t="shared" si="15"/>
        <v>20.315664000000005</v>
      </c>
      <c r="L243" s="144">
        <f t="shared" si="16"/>
        <v>161.72433599999999</v>
      </c>
      <c r="M243" s="144">
        <f t="shared" si="17"/>
        <v>182.04</v>
      </c>
      <c r="N243" s="145" t="s">
        <v>887</v>
      </c>
      <c r="O243" s="125"/>
    </row>
    <row r="244" spans="1:15" ht="15" customHeight="1" x14ac:dyDescent="0.3">
      <c r="A244" s="90" t="s">
        <v>189</v>
      </c>
      <c r="B244" s="90" t="s">
        <v>745</v>
      </c>
      <c r="C244" s="90" t="s">
        <v>746</v>
      </c>
      <c r="D244" s="90" t="s">
        <v>898</v>
      </c>
      <c r="E244" s="90" t="s">
        <v>769</v>
      </c>
      <c r="F244" s="90" t="s">
        <v>899</v>
      </c>
      <c r="G244" s="89">
        <v>385.66</v>
      </c>
      <c r="H244" s="141" t="str">
        <f t="shared" si="18"/>
        <v>141091670879</v>
      </c>
      <c r="I244" s="142">
        <v>1</v>
      </c>
      <c r="J244" s="142" t="s">
        <v>1881</v>
      </c>
      <c r="K244" s="143">
        <f t="shared" si="15"/>
        <v>385.66</v>
      </c>
      <c r="L244" s="144">
        <f t="shared" si="16"/>
        <v>0</v>
      </c>
      <c r="M244" s="144">
        <f t="shared" si="17"/>
        <v>385.66</v>
      </c>
      <c r="N244" s="145" t="s">
        <v>887</v>
      </c>
      <c r="O244" s="125"/>
    </row>
    <row r="245" spans="1:15" ht="15" customHeight="1" x14ac:dyDescent="0.3">
      <c r="A245" s="90" t="s">
        <v>189</v>
      </c>
      <c r="B245" s="90" t="s">
        <v>690</v>
      </c>
      <c r="C245" s="90" t="s">
        <v>691</v>
      </c>
      <c r="D245" s="90" t="s">
        <v>897</v>
      </c>
      <c r="E245" s="90" t="s">
        <v>880</v>
      </c>
      <c r="F245" s="90" t="s">
        <v>890</v>
      </c>
      <c r="G245" s="89">
        <v>390.57</v>
      </c>
      <c r="H245" s="141" t="str">
        <f t="shared" si="18"/>
        <v>141001620879</v>
      </c>
      <c r="I245" s="142">
        <v>1.1399999999999966E-2</v>
      </c>
      <c r="J245" s="142" t="s">
        <v>281</v>
      </c>
      <c r="K245" s="143">
        <f t="shared" si="15"/>
        <v>4.452497999999987</v>
      </c>
      <c r="L245" s="144">
        <f t="shared" si="16"/>
        <v>386.117502</v>
      </c>
      <c r="M245" s="144">
        <f t="shared" si="17"/>
        <v>390.57</v>
      </c>
      <c r="N245" s="145" t="s">
        <v>887</v>
      </c>
      <c r="O245" s="125"/>
    </row>
    <row r="246" spans="1:15" ht="15" customHeight="1" x14ac:dyDescent="0.3">
      <c r="A246" s="90" t="s">
        <v>189</v>
      </c>
      <c r="B246" s="90" t="s">
        <v>900</v>
      </c>
      <c r="C246" s="90" t="s">
        <v>901</v>
      </c>
      <c r="D246" s="90" t="s">
        <v>885</v>
      </c>
      <c r="E246" s="90" t="s">
        <v>704</v>
      </c>
      <c r="F246" s="90" t="s">
        <v>886</v>
      </c>
      <c r="G246" s="89">
        <v>1071.6100000000001</v>
      </c>
      <c r="H246" s="141" t="str">
        <f t="shared" si="18"/>
        <v>135251505879</v>
      </c>
      <c r="I246" s="142">
        <v>0.11160000000000003</v>
      </c>
      <c r="J246" s="142" t="s">
        <v>1882</v>
      </c>
      <c r="K246" s="143">
        <f t="shared" si="15"/>
        <v>119.59167600000005</v>
      </c>
      <c r="L246" s="144">
        <f t="shared" si="16"/>
        <v>952.01832400000012</v>
      </c>
      <c r="M246" s="144">
        <f t="shared" si="17"/>
        <v>1071.6100000000001</v>
      </c>
      <c r="N246" s="145" t="s">
        <v>887</v>
      </c>
      <c r="O246" s="125"/>
    </row>
    <row r="247" spans="1:15" ht="15" customHeight="1" x14ac:dyDescent="0.3">
      <c r="A247" s="90" t="s">
        <v>189</v>
      </c>
      <c r="B247" s="90" t="s">
        <v>688</v>
      </c>
      <c r="C247" s="90" t="s">
        <v>689</v>
      </c>
      <c r="D247" s="90" t="s">
        <v>897</v>
      </c>
      <c r="E247" s="90" t="s">
        <v>880</v>
      </c>
      <c r="F247" s="90" t="s">
        <v>890</v>
      </c>
      <c r="G247" s="89">
        <v>1842.9900000000002</v>
      </c>
      <c r="H247" s="141" t="str">
        <f t="shared" si="18"/>
        <v>111001620879</v>
      </c>
      <c r="I247" s="142">
        <v>0.11160000000000003</v>
      </c>
      <c r="J247" s="142" t="s">
        <v>1871</v>
      </c>
      <c r="K247" s="143">
        <f t="shared" si="15"/>
        <v>205.67768400000008</v>
      </c>
      <c r="L247" s="144">
        <f t="shared" si="16"/>
        <v>1637.3123160000002</v>
      </c>
      <c r="M247" s="144">
        <f t="shared" si="17"/>
        <v>1842.9900000000002</v>
      </c>
      <c r="N247" s="145" t="s">
        <v>887</v>
      </c>
      <c r="O247" s="125"/>
    </row>
    <row r="248" spans="1:15" ht="15" customHeight="1" x14ac:dyDescent="0.3">
      <c r="A248" s="90" t="s">
        <v>189</v>
      </c>
      <c r="B248" s="90" t="s">
        <v>902</v>
      </c>
      <c r="C248" s="90" t="s">
        <v>903</v>
      </c>
      <c r="D248" s="90" t="s">
        <v>885</v>
      </c>
      <c r="E248" s="90" t="s">
        <v>704</v>
      </c>
      <c r="F248" s="90" t="s">
        <v>886</v>
      </c>
      <c r="G248" s="89">
        <v>2159.38</v>
      </c>
      <c r="H248" s="141" t="str">
        <f t="shared" si="18"/>
        <v>731001505879</v>
      </c>
      <c r="I248" s="142">
        <v>0.11209999999999998</v>
      </c>
      <c r="J248" s="142" t="s">
        <v>1864</v>
      </c>
      <c r="K248" s="143">
        <f t="shared" si="15"/>
        <v>242.06649799999997</v>
      </c>
      <c r="L248" s="144">
        <f t="shared" si="16"/>
        <v>1917.3135020000002</v>
      </c>
      <c r="M248" s="144">
        <f t="shared" si="17"/>
        <v>2159.38</v>
      </c>
      <c r="N248" s="145" t="s">
        <v>887</v>
      </c>
      <c r="O248" s="125"/>
    </row>
    <row r="249" spans="1:15" ht="15" customHeight="1" x14ac:dyDescent="0.3">
      <c r="A249" s="90" t="s">
        <v>189</v>
      </c>
      <c r="B249" s="90" t="s">
        <v>684</v>
      </c>
      <c r="C249" s="90" t="s">
        <v>685</v>
      </c>
      <c r="D249" s="90" t="s">
        <v>897</v>
      </c>
      <c r="E249" s="90" t="s">
        <v>880</v>
      </c>
      <c r="F249" s="90" t="s">
        <v>890</v>
      </c>
      <c r="G249" s="89">
        <v>2481.84</v>
      </c>
      <c r="H249" s="141" t="str">
        <f t="shared" si="18"/>
        <v>151001620879</v>
      </c>
      <c r="I249" s="142">
        <v>0</v>
      </c>
      <c r="J249" s="142" t="s">
        <v>1863</v>
      </c>
      <c r="K249" s="143">
        <f t="shared" si="15"/>
        <v>0</v>
      </c>
      <c r="L249" s="144">
        <f t="shared" si="16"/>
        <v>2481.84</v>
      </c>
      <c r="M249" s="144">
        <f t="shared" si="17"/>
        <v>2481.84</v>
      </c>
      <c r="N249" s="145" t="s">
        <v>887</v>
      </c>
      <c r="O249" s="125"/>
    </row>
    <row r="250" spans="1:15" ht="15" customHeight="1" x14ac:dyDescent="0.3">
      <c r="A250" s="90" t="s">
        <v>189</v>
      </c>
      <c r="B250" s="90" t="s">
        <v>739</v>
      </c>
      <c r="C250" s="90" t="s">
        <v>740</v>
      </c>
      <c r="D250" s="90" t="s">
        <v>885</v>
      </c>
      <c r="E250" s="90" t="s">
        <v>704</v>
      </c>
      <c r="F250" s="90" t="s">
        <v>886</v>
      </c>
      <c r="G250" s="89">
        <v>4453.49</v>
      </c>
      <c r="H250" s="141" t="str">
        <f t="shared" si="18"/>
        <v>155061505879</v>
      </c>
      <c r="I250" s="142">
        <v>0</v>
      </c>
      <c r="J250" s="142" t="s">
        <v>1863</v>
      </c>
      <c r="K250" s="143">
        <f t="shared" si="15"/>
        <v>0</v>
      </c>
      <c r="L250" s="144">
        <f t="shared" si="16"/>
        <v>4453.49</v>
      </c>
      <c r="M250" s="144">
        <f t="shared" si="17"/>
        <v>4453.49</v>
      </c>
      <c r="N250" s="145" t="s">
        <v>887</v>
      </c>
      <c r="O250" s="125"/>
    </row>
    <row r="251" spans="1:15" ht="15" customHeight="1" x14ac:dyDescent="0.3">
      <c r="A251" s="90" t="s">
        <v>189</v>
      </c>
      <c r="B251" s="90" t="s">
        <v>819</v>
      </c>
      <c r="C251" s="90" t="s">
        <v>820</v>
      </c>
      <c r="D251" s="90" t="s">
        <v>888</v>
      </c>
      <c r="E251" s="90" t="s">
        <v>889</v>
      </c>
      <c r="F251" s="90" t="s">
        <v>890</v>
      </c>
      <c r="G251" s="89">
        <v>4757.54</v>
      </c>
      <c r="H251" s="141" t="str">
        <f t="shared" si="18"/>
        <v>135101625879</v>
      </c>
      <c r="I251" s="142">
        <v>0.11160000000000003</v>
      </c>
      <c r="J251" s="142" t="s">
        <v>1871</v>
      </c>
      <c r="K251" s="143">
        <f t="shared" si="15"/>
        <v>530.94146400000011</v>
      </c>
      <c r="L251" s="144">
        <f t="shared" si="16"/>
        <v>4226.5985359999995</v>
      </c>
      <c r="M251" s="144">
        <f t="shared" si="17"/>
        <v>4757.54</v>
      </c>
      <c r="N251" s="145" t="s">
        <v>887</v>
      </c>
      <c r="O251" s="125"/>
    </row>
    <row r="252" spans="1:15" ht="15" customHeight="1" x14ac:dyDescent="0.3">
      <c r="A252" s="90" t="s">
        <v>189</v>
      </c>
      <c r="B252" s="90" t="s">
        <v>904</v>
      </c>
      <c r="C252" s="90" t="s">
        <v>905</v>
      </c>
      <c r="D252" s="90" t="s">
        <v>885</v>
      </c>
      <c r="E252" s="90" t="s">
        <v>704</v>
      </c>
      <c r="F252" s="90" t="s">
        <v>886</v>
      </c>
      <c r="G252" s="89">
        <v>8794.6700000000019</v>
      </c>
      <c r="H252" s="141" t="str">
        <f t="shared" si="18"/>
        <v>155101505879</v>
      </c>
      <c r="I252" s="142">
        <v>0.11209999999999998</v>
      </c>
      <c r="J252" s="142" t="s">
        <v>1864</v>
      </c>
      <c r="K252" s="143">
        <f t="shared" si="15"/>
        <v>985.88250700000003</v>
      </c>
      <c r="L252" s="144">
        <f t="shared" si="16"/>
        <v>7808.7874930000016</v>
      </c>
      <c r="M252" s="144">
        <f t="shared" si="17"/>
        <v>8794.6700000000019</v>
      </c>
      <c r="N252" s="145" t="s">
        <v>887</v>
      </c>
      <c r="O252" s="125"/>
    </row>
    <row r="253" spans="1:15" ht="15" customHeight="1" x14ac:dyDescent="0.3">
      <c r="A253" s="90" t="s">
        <v>189</v>
      </c>
      <c r="B253" s="90" t="s">
        <v>819</v>
      </c>
      <c r="C253" s="90" t="s">
        <v>820</v>
      </c>
      <c r="D253" s="90" t="s">
        <v>891</v>
      </c>
      <c r="E253" s="90" t="s">
        <v>708</v>
      </c>
      <c r="F253" s="90" t="s">
        <v>892</v>
      </c>
      <c r="G253" s="89">
        <v>13117.89</v>
      </c>
      <c r="H253" s="141" t="str">
        <f t="shared" si="18"/>
        <v>135101630879</v>
      </c>
      <c r="I253" s="142">
        <v>0.11160000000000003</v>
      </c>
      <c r="J253" s="142" t="s">
        <v>1871</v>
      </c>
      <c r="K253" s="143">
        <f t="shared" si="15"/>
        <v>1463.9565240000004</v>
      </c>
      <c r="L253" s="144">
        <f t="shared" si="16"/>
        <v>11653.933475999998</v>
      </c>
      <c r="M253" s="144">
        <f t="shared" si="17"/>
        <v>13117.89</v>
      </c>
      <c r="N253" s="145" t="s">
        <v>887</v>
      </c>
      <c r="O253" s="125"/>
    </row>
    <row r="254" spans="1:15" ht="15" customHeight="1" x14ac:dyDescent="0.3">
      <c r="A254" s="90" t="s">
        <v>189</v>
      </c>
      <c r="B254" s="90" t="s">
        <v>831</v>
      </c>
      <c r="C254" s="90" t="s">
        <v>832</v>
      </c>
      <c r="D254" s="90" t="s">
        <v>885</v>
      </c>
      <c r="E254" s="90" t="s">
        <v>704</v>
      </c>
      <c r="F254" s="90" t="s">
        <v>886</v>
      </c>
      <c r="G254" s="89">
        <v>13562.599999999999</v>
      </c>
      <c r="H254" s="141" t="str">
        <f t="shared" si="18"/>
        <v>155091505879</v>
      </c>
      <c r="I254" s="142">
        <v>0.11209999999999998</v>
      </c>
      <c r="J254" s="142" t="s">
        <v>1864</v>
      </c>
      <c r="K254" s="143">
        <f t="shared" si="15"/>
        <v>1520.3674599999995</v>
      </c>
      <c r="L254" s="144">
        <f t="shared" si="16"/>
        <v>12042.232539999999</v>
      </c>
      <c r="M254" s="144">
        <f t="shared" si="17"/>
        <v>13562.599999999999</v>
      </c>
      <c r="N254" s="145" t="s">
        <v>887</v>
      </c>
      <c r="O254" s="125"/>
    </row>
    <row r="255" spans="1:15" ht="15" customHeight="1" x14ac:dyDescent="0.3">
      <c r="A255" s="90" t="s">
        <v>189</v>
      </c>
      <c r="B255" s="90" t="s">
        <v>745</v>
      </c>
      <c r="C255" s="90" t="s">
        <v>746</v>
      </c>
      <c r="D255" s="90" t="s">
        <v>897</v>
      </c>
      <c r="E255" s="90" t="s">
        <v>880</v>
      </c>
      <c r="F255" s="90" t="s">
        <v>890</v>
      </c>
      <c r="G255" s="89">
        <v>22736.820000000003</v>
      </c>
      <c r="H255" s="141" t="str">
        <f t="shared" si="18"/>
        <v>141091620879</v>
      </c>
      <c r="I255" s="142">
        <v>1</v>
      </c>
      <c r="J255" s="142" t="s">
        <v>1484</v>
      </c>
      <c r="K255" s="143">
        <f t="shared" si="15"/>
        <v>22736.820000000003</v>
      </c>
      <c r="L255" s="144">
        <f t="shared" si="16"/>
        <v>0</v>
      </c>
      <c r="M255" s="144">
        <f t="shared" si="17"/>
        <v>22736.820000000003</v>
      </c>
      <c r="N255" s="145" t="s">
        <v>887</v>
      </c>
      <c r="O255" s="125"/>
    </row>
    <row r="256" spans="1:15" ht="15" customHeight="1" x14ac:dyDescent="0.3">
      <c r="A256" s="90" t="s">
        <v>189</v>
      </c>
      <c r="B256" s="90" t="s">
        <v>798</v>
      </c>
      <c r="C256" s="90" t="s">
        <v>799</v>
      </c>
      <c r="D256" s="90" t="s">
        <v>897</v>
      </c>
      <c r="E256" s="90" t="s">
        <v>880</v>
      </c>
      <c r="F256" s="90" t="s">
        <v>890</v>
      </c>
      <c r="G256" s="89">
        <v>24540.149999999998</v>
      </c>
      <c r="H256" s="141" t="str">
        <f t="shared" si="18"/>
        <v>113201620879</v>
      </c>
      <c r="I256" s="142">
        <v>0.11160000000000003</v>
      </c>
      <c r="J256" s="142" t="s">
        <v>1871</v>
      </c>
      <c r="K256" s="143">
        <f t="shared" si="15"/>
        <v>2738.6807400000007</v>
      </c>
      <c r="L256" s="144">
        <f t="shared" si="16"/>
        <v>21801.469259999998</v>
      </c>
      <c r="M256" s="144">
        <f t="shared" si="17"/>
        <v>24540.149999999998</v>
      </c>
      <c r="N256" s="145" t="s">
        <v>887</v>
      </c>
      <c r="O256" s="125"/>
    </row>
    <row r="257" spans="1:15" ht="15" customHeight="1" x14ac:dyDescent="0.3">
      <c r="A257" s="90" t="s">
        <v>189</v>
      </c>
      <c r="B257" s="90" t="s">
        <v>750</v>
      </c>
      <c r="C257" s="90" t="s">
        <v>751</v>
      </c>
      <c r="D257" s="90" t="s">
        <v>897</v>
      </c>
      <c r="E257" s="90" t="s">
        <v>880</v>
      </c>
      <c r="F257" s="90" t="s">
        <v>890</v>
      </c>
      <c r="G257" s="89">
        <v>62499.13</v>
      </c>
      <c r="H257" s="141" t="str">
        <f t="shared" si="18"/>
        <v>155071620879</v>
      </c>
      <c r="I257" s="142">
        <v>6.5216999999999997E-2</v>
      </c>
      <c r="J257" s="142" t="s">
        <v>1866</v>
      </c>
      <c r="K257" s="143">
        <f t="shared" si="15"/>
        <v>4076.0057612099995</v>
      </c>
      <c r="L257" s="144">
        <f t="shared" si="16"/>
        <v>58423.124238789998</v>
      </c>
      <c r="M257" s="144">
        <f t="shared" si="17"/>
        <v>62499.13</v>
      </c>
      <c r="N257" s="145" t="s">
        <v>887</v>
      </c>
      <c r="O257" s="125"/>
    </row>
    <row r="258" spans="1:15" ht="15" customHeight="1" x14ac:dyDescent="0.3">
      <c r="A258" s="90" t="s">
        <v>189</v>
      </c>
      <c r="B258" s="90" t="s">
        <v>826</v>
      </c>
      <c r="C258" s="90" t="s">
        <v>827</v>
      </c>
      <c r="D258" s="90" t="s">
        <v>906</v>
      </c>
      <c r="E258" s="90" t="s">
        <v>829</v>
      </c>
      <c r="F258" s="90" t="s">
        <v>907</v>
      </c>
      <c r="G258" s="89">
        <v>107971.57</v>
      </c>
      <c r="H258" s="141" t="str">
        <f t="shared" si="18"/>
        <v>162002345879</v>
      </c>
      <c r="I258" s="142">
        <v>0.11209999999999998</v>
      </c>
      <c r="J258" s="142" t="s">
        <v>1864</v>
      </c>
      <c r="K258" s="143">
        <f t="shared" si="15"/>
        <v>12103.612996999998</v>
      </c>
      <c r="L258" s="144">
        <f t="shared" si="16"/>
        <v>95867.957003000003</v>
      </c>
      <c r="M258" s="144">
        <f t="shared" si="17"/>
        <v>107971.57</v>
      </c>
      <c r="N258" s="145" t="s">
        <v>887</v>
      </c>
      <c r="O258" s="125"/>
    </row>
    <row r="259" spans="1:15" ht="15" customHeight="1" x14ac:dyDescent="0.3">
      <c r="A259" s="90" t="s">
        <v>189</v>
      </c>
      <c r="B259" s="90" t="s">
        <v>763</v>
      </c>
      <c r="C259" s="90" t="s">
        <v>764</v>
      </c>
      <c r="D259" s="90" t="s">
        <v>897</v>
      </c>
      <c r="E259" s="90" t="s">
        <v>880</v>
      </c>
      <c r="F259" s="90" t="s">
        <v>890</v>
      </c>
      <c r="G259" s="89">
        <v>129742.17000000001</v>
      </c>
      <c r="H259" s="141" t="str">
        <f t="shared" si="18"/>
        <v>155201620879</v>
      </c>
      <c r="I259" s="142">
        <v>0.11209999999999998</v>
      </c>
      <c r="J259" s="142" t="s">
        <v>1864</v>
      </c>
      <c r="K259" s="143">
        <f t="shared" si="15"/>
        <v>14544.097256999998</v>
      </c>
      <c r="L259" s="144">
        <f t="shared" si="16"/>
        <v>115198.07274300001</v>
      </c>
      <c r="M259" s="144">
        <f t="shared" si="17"/>
        <v>129742.17000000001</v>
      </c>
      <c r="N259" s="145" t="s">
        <v>887</v>
      </c>
      <c r="O259" s="125"/>
    </row>
    <row r="260" spans="1:15" ht="15" customHeight="1" x14ac:dyDescent="0.3">
      <c r="A260" s="90" t="s">
        <v>189</v>
      </c>
      <c r="B260" s="90" t="s">
        <v>739</v>
      </c>
      <c r="C260" s="90" t="s">
        <v>740</v>
      </c>
      <c r="D260" s="90" t="s">
        <v>897</v>
      </c>
      <c r="E260" s="90" t="s">
        <v>880</v>
      </c>
      <c r="F260" s="90" t="s">
        <v>890</v>
      </c>
      <c r="G260" s="89">
        <v>180699.59999999998</v>
      </c>
      <c r="H260" s="141" t="str">
        <f t="shared" si="18"/>
        <v>155061620879</v>
      </c>
      <c r="I260" s="142">
        <v>0</v>
      </c>
      <c r="J260" s="142" t="s">
        <v>1863</v>
      </c>
      <c r="K260" s="143">
        <f t="shared" si="15"/>
        <v>0</v>
      </c>
      <c r="L260" s="144">
        <f t="shared" si="16"/>
        <v>180699.59999999998</v>
      </c>
      <c r="M260" s="144">
        <f t="shared" si="17"/>
        <v>180699.59999999998</v>
      </c>
      <c r="N260" s="145" t="s">
        <v>887</v>
      </c>
      <c r="O260" s="125"/>
    </row>
    <row r="261" spans="1:15" ht="15" customHeight="1" x14ac:dyDescent="0.3">
      <c r="A261" s="90" t="s">
        <v>189</v>
      </c>
      <c r="B261" s="90" t="s">
        <v>819</v>
      </c>
      <c r="C261" s="90" t="s">
        <v>820</v>
      </c>
      <c r="D261" s="90" t="s">
        <v>885</v>
      </c>
      <c r="E261" s="90" t="s">
        <v>704</v>
      </c>
      <c r="F261" s="90" t="s">
        <v>886</v>
      </c>
      <c r="G261" s="89">
        <v>392907.45</v>
      </c>
      <c r="H261" s="141" t="str">
        <f t="shared" si="18"/>
        <v>135101505879</v>
      </c>
      <c r="I261" s="142">
        <v>0.11160000000000003</v>
      </c>
      <c r="J261" s="142" t="s">
        <v>1871</v>
      </c>
      <c r="K261" s="143">
        <f t="shared" si="15"/>
        <v>43848.471420000016</v>
      </c>
      <c r="L261" s="144">
        <f t="shared" si="16"/>
        <v>349058.97858</v>
      </c>
      <c r="M261" s="144">
        <f t="shared" si="17"/>
        <v>392907.45</v>
      </c>
      <c r="N261" s="145" t="s">
        <v>887</v>
      </c>
      <c r="O261" s="125"/>
    </row>
    <row r="262" spans="1:15" ht="15" customHeight="1" x14ac:dyDescent="0.3">
      <c r="A262" s="90" t="s">
        <v>189</v>
      </c>
      <c r="B262" s="90" t="s">
        <v>798</v>
      </c>
      <c r="C262" s="90" t="s">
        <v>799</v>
      </c>
      <c r="D262" s="90" t="s">
        <v>888</v>
      </c>
      <c r="E262" s="90" t="s">
        <v>889</v>
      </c>
      <c r="F262" s="90" t="s">
        <v>890</v>
      </c>
      <c r="G262" s="89">
        <v>613581.36</v>
      </c>
      <c r="H262" s="141" t="str">
        <f t="shared" si="18"/>
        <v>113201625879</v>
      </c>
      <c r="I262" s="142">
        <v>0.11160000000000003</v>
      </c>
      <c r="J262" s="142" t="s">
        <v>1871</v>
      </c>
      <c r="K262" s="143">
        <f t="shared" si="15"/>
        <v>68475.679776000019</v>
      </c>
      <c r="L262" s="144">
        <f t="shared" si="16"/>
        <v>545105.68022400001</v>
      </c>
      <c r="M262" s="144">
        <f t="shared" si="17"/>
        <v>613581.36</v>
      </c>
      <c r="N262" s="145" t="s">
        <v>887</v>
      </c>
      <c r="O262" s="125"/>
    </row>
    <row r="263" spans="1:15" ht="15" customHeight="1" x14ac:dyDescent="0.3">
      <c r="A263" s="90" t="s">
        <v>189</v>
      </c>
      <c r="B263" s="90" t="s">
        <v>895</v>
      </c>
      <c r="C263" s="90" t="s">
        <v>896</v>
      </c>
      <c r="D263" s="90" t="s">
        <v>885</v>
      </c>
      <c r="E263" s="90" t="s">
        <v>704</v>
      </c>
      <c r="F263" s="90" t="s">
        <v>886</v>
      </c>
      <c r="G263" s="89">
        <v>2336173.3800000004</v>
      </c>
      <c r="H263" s="141" t="str">
        <f t="shared" si="18"/>
        <v>135201505879</v>
      </c>
      <c r="I263" s="142">
        <v>0.11160000000000003</v>
      </c>
      <c r="J263" s="142" t="s">
        <v>1871</v>
      </c>
      <c r="K263" s="143">
        <f t="shared" si="15"/>
        <v>260716.94920800012</v>
      </c>
      <c r="L263" s="144">
        <f t="shared" si="16"/>
        <v>2075456.4307920001</v>
      </c>
      <c r="M263" s="144">
        <f t="shared" si="17"/>
        <v>2336173.3800000004</v>
      </c>
      <c r="N263" s="145" t="s">
        <v>887</v>
      </c>
      <c r="O263" s="125"/>
    </row>
    <row r="264" spans="1:15" ht="15" customHeight="1" x14ac:dyDescent="0.3">
      <c r="A264" s="90" t="s">
        <v>189</v>
      </c>
      <c r="B264" s="90" t="s">
        <v>819</v>
      </c>
      <c r="C264" s="90" t="s">
        <v>820</v>
      </c>
      <c r="D264" s="90" t="s">
        <v>897</v>
      </c>
      <c r="E264" s="90" t="s">
        <v>880</v>
      </c>
      <c r="F264" s="90" t="s">
        <v>890</v>
      </c>
      <c r="G264" s="89">
        <v>7118758.9500000002</v>
      </c>
      <c r="H264" s="141" t="str">
        <f t="shared" si="18"/>
        <v>135101620879</v>
      </c>
      <c r="I264" s="142">
        <v>0.11160000000000003</v>
      </c>
      <c r="J264" s="142" t="s">
        <v>1871</v>
      </c>
      <c r="K264" s="143">
        <f t="shared" si="15"/>
        <v>794453.49882000021</v>
      </c>
      <c r="L264" s="144">
        <f t="shared" si="16"/>
        <v>6324305.4511799999</v>
      </c>
      <c r="M264" s="144">
        <f t="shared" si="17"/>
        <v>7118758.9500000002</v>
      </c>
      <c r="N264" s="145" t="s">
        <v>887</v>
      </c>
      <c r="O264" s="125"/>
    </row>
    <row r="265" spans="1:15" ht="15" customHeight="1" x14ac:dyDescent="0.3">
      <c r="A265" s="90" t="s">
        <v>191</v>
      </c>
      <c r="B265" s="90" t="s">
        <v>750</v>
      </c>
      <c r="C265" s="90" t="s">
        <v>751</v>
      </c>
      <c r="D265" s="90" t="s">
        <v>908</v>
      </c>
      <c r="E265" s="90" t="s">
        <v>909</v>
      </c>
      <c r="F265" s="90" t="s">
        <v>910</v>
      </c>
      <c r="G265" s="89">
        <v>102.24</v>
      </c>
      <c r="H265" s="141" t="str">
        <f t="shared" si="18"/>
        <v>155071070880</v>
      </c>
      <c r="I265" s="142">
        <v>6.5216999999999997E-2</v>
      </c>
      <c r="J265" s="142" t="s">
        <v>1866</v>
      </c>
      <c r="K265" s="143">
        <f t="shared" si="15"/>
        <v>6.6677860799999991</v>
      </c>
      <c r="L265" s="144">
        <f t="shared" si="16"/>
        <v>95.572213919999996</v>
      </c>
      <c r="M265" s="144">
        <f t="shared" si="17"/>
        <v>102.24</v>
      </c>
      <c r="N265" s="145" t="s">
        <v>911</v>
      </c>
      <c r="O265" s="125"/>
    </row>
    <row r="266" spans="1:15" ht="15" customHeight="1" x14ac:dyDescent="0.3">
      <c r="A266" s="90" t="s">
        <v>191</v>
      </c>
      <c r="B266" s="90" t="s">
        <v>739</v>
      </c>
      <c r="C266" s="90" t="s">
        <v>740</v>
      </c>
      <c r="D266" s="90" t="s">
        <v>912</v>
      </c>
      <c r="E266" s="90" t="s">
        <v>769</v>
      </c>
      <c r="F266" s="90" t="s">
        <v>913</v>
      </c>
      <c r="G266" s="89">
        <v>180</v>
      </c>
      <c r="H266" s="141" t="str">
        <f t="shared" si="18"/>
        <v>155061670880</v>
      </c>
      <c r="I266" s="142">
        <v>0</v>
      </c>
      <c r="J266" s="142" t="s">
        <v>1863</v>
      </c>
      <c r="K266" s="143">
        <f t="shared" si="15"/>
        <v>0</v>
      </c>
      <c r="L266" s="144">
        <f t="shared" si="16"/>
        <v>180</v>
      </c>
      <c r="M266" s="144">
        <f t="shared" si="17"/>
        <v>180</v>
      </c>
      <c r="N266" s="145" t="s">
        <v>911</v>
      </c>
      <c r="O266" s="125"/>
    </row>
    <row r="267" spans="1:15" ht="15" customHeight="1" x14ac:dyDescent="0.3">
      <c r="A267" s="90" t="s">
        <v>191</v>
      </c>
      <c r="B267" s="90" t="s">
        <v>819</v>
      </c>
      <c r="C267" s="90" t="s">
        <v>820</v>
      </c>
      <c r="D267" s="90" t="s">
        <v>908</v>
      </c>
      <c r="E267" s="90" t="s">
        <v>909</v>
      </c>
      <c r="F267" s="90" t="s">
        <v>910</v>
      </c>
      <c r="G267" s="89">
        <v>207.3</v>
      </c>
      <c r="H267" s="141" t="str">
        <f t="shared" si="18"/>
        <v>135101070880</v>
      </c>
      <c r="I267" s="142">
        <v>0.11160000000000003</v>
      </c>
      <c r="J267" s="142" t="s">
        <v>1871</v>
      </c>
      <c r="K267" s="143">
        <f t="shared" si="15"/>
        <v>23.134680000000007</v>
      </c>
      <c r="L267" s="144">
        <f t="shared" si="16"/>
        <v>184.16532000000001</v>
      </c>
      <c r="M267" s="144">
        <f t="shared" si="17"/>
        <v>207.3</v>
      </c>
      <c r="N267" s="145" t="s">
        <v>911</v>
      </c>
      <c r="O267" s="125"/>
    </row>
    <row r="268" spans="1:15" ht="15" customHeight="1" x14ac:dyDescent="0.3">
      <c r="A268" s="90" t="s">
        <v>191</v>
      </c>
      <c r="B268" s="90" t="s">
        <v>763</v>
      </c>
      <c r="C268" s="90" t="s">
        <v>764</v>
      </c>
      <c r="D268" s="90" t="s">
        <v>912</v>
      </c>
      <c r="E268" s="90" t="s">
        <v>769</v>
      </c>
      <c r="F268" s="90" t="s">
        <v>913</v>
      </c>
      <c r="G268" s="89">
        <v>240</v>
      </c>
      <c r="H268" s="141" t="str">
        <f t="shared" si="18"/>
        <v>155201670880</v>
      </c>
      <c r="I268" s="142">
        <v>0.11209999999999998</v>
      </c>
      <c r="J268" s="142" t="s">
        <v>1864</v>
      </c>
      <c r="K268" s="143">
        <f t="shared" si="15"/>
        <v>26.903999999999996</v>
      </c>
      <c r="L268" s="144">
        <f t="shared" si="16"/>
        <v>213.096</v>
      </c>
      <c r="M268" s="144">
        <f t="shared" si="17"/>
        <v>240</v>
      </c>
      <c r="N268" s="145" t="s">
        <v>911</v>
      </c>
      <c r="O268" s="125"/>
    </row>
    <row r="269" spans="1:15" ht="15" customHeight="1" x14ac:dyDescent="0.3">
      <c r="A269" s="90" t="s">
        <v>191</v>
      </c>
      <c r="B269" s="90" t="s">
        <v>798</v>
      </c>
      <c r="C269" s="90" t="s">
        <v>799</v>
      </c>
      <c r="D269" s="90" t="s">
        <v>914</v>
      </c>
      <c r="E269" s="90" t="s">
        <v>808</v>
      </c>
      <c r="F269" s="90" t="s">
        <v>915</v>
      </c>
      <c r="G269" s="89">
        <v>240.87</v>
      </c>
      <c r="H269" s="141" t="str">
        <f t="shared" si="18"/>
        <v>113201275880</v>
      </c>
      <c r="I269" s="142">
        <v>0.11160000000000003</v>
      </c>
      <c r="J269" s="142" t="s">
        <v>1882</v>
      </c>
      <c r="K269" s="143">
        <f t="shared" si="15"/>
        <v>26.88109200000001</v>
      </c>
      <c r="L269" s="144">
        <f t="shared" si="16"/>
        <v>213.98890799999998</v>
      </c>
      <c r="M269" s="144">
        <f t="shared" si="17"/>
        <v>240.87</v>
      </c>
      <c r="N269" s="145" t="s">
        <v>911</v>
      </c>
      <c r="O269" s="125"/>
    </row>
    <row r="270" spans="1:15" ht="15" customHeight="1" x14ac:dyDescent="0.3">
      <c r="A270" s="90" t="s">
        <v>191</v>
      </c>
      <c r="B270" s="90" t="s">
        <v>814</v>
      </c>
      <c r="C270" s="90" t="s">
        <v>815</v>
      </c>
      <c r="D270" s="90" t="s">
        <v>916</v>
      </c>
      <c r="E270" s="90" t="s">
        <v>917</v>
      </c>
      <c r="F270" s="90" t="s">
        <v>918</v>
      </c>
      <c r="G270" s="89">
        <v>295.18</v>
      </c>
      <c r="H270" s="141" t="str">
        <f t="shared" si="18"/>
        <v>123591580880</v>
      </c>
      <c r="I270" s="142">
        <v>1</v>
      </c>
      <c r="J270" s="142" t="s">
        <v>1484</v>
      </c>
      <c r="K270" s="143">
        <f t="shared" si="15"/>
        <v>295.18</v>
      </c>
      <c r="L270" s="144">
        <f t="shared" si="16"/>
        <v>0</v>
      </c>
      <c r="M270" s="144">
        <f t="shared" si="17"/>
        <v>295.18</v>
      </c>
      <c r="N270" s="145" t="s">
        <v>911</v>
      </c>
      <c r="O270" s="125"/>
    </row>
    <row r="271" spans="1:15" ht="15" customHeight="1" x14ac:dyDescent="0.3">
      <c r="A271" s="90" t="s">
        <v>191</v>
      </c>
      <c r="B271" s="90" t="s">
        <v>684</v>
      </c>
      <c r="C271" s="90" t="s">
        <v>685</v>
      </c>
      <c r="D271" s="90" t="s">
        <v>919</v>
      </c>
      <c r="E271" s="90" t="s">
        <v>920</v>
      </c>
      <c r="F271" s="90" t="s">
        <v>921</v>
      </c>
      <c r="G271" s="89">
        <v>544.51</v>
      </c>
      <c r="H271" s="141" t="str">
        <f t="shared" si="18"/>
        <v>151001270880</v>
      </c>
      <c r="I271" s="142">
        <v>0</v>
      </c>
      <c r="J271" s="142" t="s">
        <v>1863</v>
      </c>
      <c r="K271" s="143">
        <f t="shared" si="15"/>
        <v>0</v>
      </c>
      <c r="L271" s="144">
        <f t="shared" si="16"/>
        <v>544.51</v>
      </c>
      <c r="M271" s="144">
        <f t="shared" si="17"/>
        <v>544.51</v>
      </c>
      <c r="N271" s="145" t="s">
        <v>911</v>
      </c>
      <c r="O271" s="125"/>
    </row>
    <row r="272" spans="1:15" ht="15" customHeight="1" x14ac:dyDescent="0.3">
      <c r="A272" s="90" t="s">
        <v>191</v>
      </c>
      <c r="B272" s="90" t="s">
        <v>745</v>
      </c>
      <c r="C272" s="90" t="s">
        <v>746</v>
      </c>
      <c r="D272" s="90" t="s">
        <v>919</v>
      </c>
      <c r="E272" s="90" t="s">
        <v>920</v>
      </c>
      <c r="F272" s="90" t="s">
        <v>921</v>
      </c>
      <c r="G272" s="89">
        <v>658.09999999999991</v>
      </c>
      <c r="H272" s="141" t="str">
        <f t="shared" si="18"/>
        <v>141091270880</v>
      </c>
      <c r="I272" s="142">
        <v>1</v>
      </c>
      <c r="J272" s="142" t="s">
        <v>1873</v>
      </c>
      <c r="K272" s="143">
        <f t="shared" si="15"/>
        <v>658.09999999999991</v>
      </c>
      <c r="L272" s="144">
        <f t="shared" si="16"/>
        <v>0</v>
      </c>
      <c r="M272" s="144">
        <f t="shared" si="17"/>
        <v>658.09999999999991</v>
      </c>
      <c r="N272" s="145" t="s">
        <v>911</v>
      </c>
      <c r="O272" s="125"/>
    </row>
    <row r="273" spans="1:15" ht="15" customHeight="1" x14ac:dyDescent="0.3">
      <c r="A273" s="90" t="s">
        <v>191</v>
      </c>
      <c r="B273" s="90" t="s">
        <v>763</v>
      </c>
      <c r="C273" s="90" t="s">
        <v>764</v>
      </c>
      <c r="D273" s="90" t="s">
        <v>922</v>
      </c>
      <c r="E273" s="90" t="s">
        <v>923</v>
      </c>
      <c r="F273" s="90" t="s">
        <v>924</v>
      </c>
      <c r="G273" s="89">
        <v>662.33</v>
      </c>
      <c r="H273" s="141" t="str">
        <f t="shared" si="18"/>
        <v>155201440880</v>
      </c>
      <c r="I273" s="142">
        <v>0.11209999999999998</v>
      </c>
      <c r="J273" s="142" t="s">
        <v>1864</v>
      </c>
      <c r="K273" s="143">
        <f t="shared" si="15"/>
        <v>74.247192999999996</v>
      </c>
      <c r="L273" s="144">
        <f t="shared" si="16"/>
        <v>588.082807</v>
      </c>
      <c r="M273" s="144">
        <f t="shared" si="17"/>
        <v>662.33</v>
      </c>
      <c r="N273" s="145" t="s">
        <v>911</v>
      </c>
      <c r="O273" s="125"/>
    </row>
    <row r="274" spans="1:15" ht="15" customHeight="1" x14ac:dyDescent="0.3">
      <c r="A274" s="90" t="s">
        <v>191</v>
      </c>
      <c r="B274" s="90" t="s">
        <v>690</v>
      </c>
      <c r="C274" s="90" t="s">
        <v>691</v>
      </c>
      <c r="D274" s="90" t="s">
        <v>922</v>
      </c>
      <c r="E274" s="90" t="s">
        <v>923</v>
      </c>
      <c r="F274" s="90" t="s">
        <v>924</v>
      </c>
      <c r="G274" s="89">
        <v>739.96999999999991</v>
      </c>
      <c r="H274" s="141" t="str">
        <f t="shared" si="18"/>
        <v>141001440880</v>
      </c>
      <c r="I274" s="142">
        <v>1.1399999999999966E-2</v>
      </c>
      <c r="J274" s="142" t="s">
        <v>281</v>
      </c>
      <c r="K274" s="143">
        <f t="shared" si="15"/>
        <v>8.4356579999999735</v>
      </c>
      <c r="L274" s="144">
        <f t="shared" si="16"/>
        <v>731.53434199999992</v>
      </c>
      <c r="M274" s="144">
        <f t="shared" si="17"/>
        <v>739.96999999999991</v>
      </c>
      <c r="N274" s="145" t="s">
        <v>911</v>
      </c>
      <c r="O274" s="125"/>
    </row>
    <row r="275" spans="1:15" ht="15" customHeight="1" x14ac:dyDescent="0.3">
      <c r="A275" s="90" t="s">
        <v>191</v>
      </c>
      <c r="B275" s="90" t="s">
        <v>739</v>
      </c>
      <c r="C275" s="90" t="s">
        <v>740</v>
      </c>
      <c r="D275" s="90" t="s">
        <v>908</v>
      </c>
      <c r="E275" s="90" t="s">
        <v>909</v>
      </c>
      <c r="F275" s="90" t="s">
        <v>910</v>
      </c>
      <c r="G275" s="89">
        <v>747.43</v>
      </c>
      <c r="H275" s="141" t="str">
        <f t="shared" si="18"/>
        <v>155061070880</v>
      </c>
      <c r="I275" s="142">
        <v>0</v>
      </c>
      <c r="J275" s="142" t="s">
        <v>1863</v>
      </c>
      <c r="K275" s="143">
        <f t="shared" si="15"/>
        <v>0</v>
      </c>
      <c r="L275" s="144">
        <f t="shared" si="16"/>
        <v>747.43</v>
      </c>
      <c r="M275" s="144">
        <f t="shared" si="17"/>
        <v>747.43</v>
      </c>
      <c r="N275" s="145" t="s">
        <v>911</v>
      </c>
      <c r="O275" s="125"/>
    </row>
    <row r="276" spans="1:15" ht="15" customHeight="1" x14ac:dyDescent="0.3">
      <c r="A276" s="90" t="s">
        <v>191</v>
      </c>
      <c r="B276" s="90" t="s">
        <v>684</v>
      </c>
      <c r="C276" s="90" t="s">
        <v>685</v>
      </c>
      <c r="D276" s="90" t="s">
        <v>925</v>
      </c>
      <c r="E276" s="90" t="s">
        <v>926</v>
      </c>
      <c r="F276" s="90" t="s">
        <v>927</v>
      </c>
      <c r="G276" s="89">
        <v>795.74</v>
      </c>
      <c r="H276" s="141" t="str">
        <f t="shared" si="18"/>
        <v>151001680880</v>
      </c>
      <c r="I276" s="142">
        <v>0</v>
      </c>
      <c r="J276" s="142" t="s">
        <v>1863</v>
      </c>
      <c r="K276" s="143">
        <f t="shared" si="15"/>
        <v>0</v>
      </c>
      <c r="L276" s="144">
        <f t="shared" si="16"/>
        <v>795.74</v>
      </c>
      <c r="M276" s="144">
        <f t="shared" si="17"/>
        <v>795.74</v>
      </c>
      <c r="N276" s="145" t="s">
        <v>911</v>
      </c>
      <c r="O276" s="125"/>
    </row>
    <row r="277" spans="1:15" ht="15" customHeight="1" x14ac:dyDescent="0.3">
      <c r="A277" s="90" t="s">
        <v>191</v>
      </c>
      <c r="B277" s="90" t="s">
        <v>745</v>
      </c>
      <c r="C277" s="90" t="s">
        <v>746</v>
      </c>
      <c r="D277" s="90" t="s">
        <v>922</v>
      </c>
      <c r="E277" s="90" t="s">
        <v>923</v>
      </c>
      <c r="F277" s="90" t="s">
        <v>924</v>
      </c>
      <c r="G277" s="89">
        <v>875.11</v>
      </c>
      <c r="H277" s="141" t="str">
        <f t="shared" si="18"/>
        <v>141091440880</v>
      </c>
      <c r="I277" s="142">
        <v>1</v>
      </c>
      <c r="J277" s="142" t="s">
        <v>1484</v>
      </c>
      <c r="K277" s="143">
        <f t="shared" si="15"/>
        <v>875.11</v>
      </c>
      <c r="L277" s="144">
        <f t="shared" si="16"/>
        <v>0</v>
      </c>
      <c r="M277" s="144">
        <f t="shared" si="17"/>
        <v>875.11</v>
      </c>
      <c r="N277" s="145" t="s">
        <v>911</v>
      </c>
      <c r="O277" s="125"/>
    </row>
    <row r="278" spans="1:15" ht="15" customHeight="1" x14ac:dyDescent="0.3">
      <c r="A278" s="90" t="s">
        <v>191</v>
      </c>
      <c r="B278" s="90" t="s">
        <v>763</v>
      </c>
      <c r="C278" s="90" t="s">
        <v>764</v>
      </c>
      <c r="D278" s="90" t="s">
        <v>919</v>
      </c>
      <c r="E278" s="90" t="s">
        <v>920</v>
      </c>
      <c r="F278" s="90" t="s">
        <v>921</v>
      </c>
      <c r="G278" s="89">
        <v>973.38000000000011</v>
      </c>
      <c r="H278" s="141" t="str">
        <f t="shared" si="18"/>
        <v>155201270880</v>
      </c>
      <c r="I278" s="142">
        <v>0.11209999999999998</v>
      </c>
      <c r="J278" s="142" t="s">
        <v>1864</v>
      </c>
      <c r="K278" s="143">
        <f t="shared" si="15"/>
        <v>109.11589799999999</v>
      </c>
      <c r="L278" s="144">
        <f t="shared" si="16"/>
        <v>864.26410200000009</v>
      </c>
      <c r="M278" s="144">
        <f t="shared" si="17"/>
        <v>973.38000000000011</v>
      </c>
      <c r="N278" s="145" t="s">
        <v>911</v>
      </c>
      <c r="O278" s="125"/>
    </row>
    <row r="279" spans="1:15" ht="15" customHeight="1" x14ac:dyDescent="0.3">
      <c r="A279" s="90" t="s">
        <v>191</v>
      </c>
      <c r="B279" s="90" t="s">
        <v>819</v>
      </c>
      <c r="C279" s="90" t="s">
        <v>820</v>
      </c>
      <c r="D279" s="90" t="s">
        <v>925</v>
      </c>
      <c r="E279" s="90" t="s">
        <v>926</v>
      </c>
      <c r="F279" s="90" t="s">
        <v>927</v>
      </c>
      <c r="G279" s="89">
        <v>990.75</v>
      </c>
      <c r="H279" s="141" t="str">
        <f t="shared" si="18"/>
        <v>135101680880</v>
      </c>
      <c r="I279" s="142">
        <v>0.11160000000000003</v>
      </c>
      <c r="J279" s="142" t="s">
        <v>1871</v>
      </c>
      <c r="K279" s="143">
        <f t="shared" si="15"/>
        <v>110.56770000000003</v>
      </c>
      <c r="L279" s="144">
        <f t="shared" si="16"/>
        <v>880.18229999999994</v>
      </c>
      <c r="M279" s="144">
        <f t="shared" si="17"/>
        <v>990.75</v>
      </c>
      <c r="N279" s="145" t="s">
        <v>911</v>
      </c>
      <c r="O279" s="125"/>
    </row>
    <row r="280" spans="1:15" ht="15" customHeight="1" x14ac:dyDescent="0.3">
      <c r="A280" s="90" t="s">
        <v>191</v>
      </c>
      <c r="B280" s="90" t="s">
        <v>814</v>
      </c>
      <c r="C280" s="90" t="s">
        <v>815</v>
      </c>
      <c r="D280" s="90" t="s">
        <v>928</v>
      </c>
      <c r="E280" s="90" t="s">
        <v>929</v>
      </c>
      <c r="F280" s="90" t="s">
        <v>930</v>
      </c>
      <c r="G280" s="89">
        <v>1264.3400000000001</v>
      </c>
      <c r="H280" s="141" t="str">
        <f t="shared" si="18"/>
        <v>123591315880</v>
      </c>
      <c r="I280" s="142">
        <v>1</v>
      </c>
      <c r="J280" s="142" t="s">
        <v>1484</v>
      </c>
      <c r="K280" s="143">
        <f t="shared" ref="K280:K343" si="19">G280*I280</f>
        <v>1264.3400000000001</v>
      </c>
      <c r="L280" s="144">
        <f t="shared" ref="L280:L343" si="20">G280-K280</f>
        <v>0</v>
      </c>
      <c r="M280" s="144">
        <f t="shared" ref="M280:M343" si="21">K280+L280</f>
        <v>1264.3400000000001</v>
      </c>
      <c r="N280" s="145" t="s">
        <v>911</v>
      </c>
      <c r="O280" s="125"/>
    </row>
    <row r="281" spans="1:15" ht="15" customHeight="1" x14ac:dyDescent="0.3">
      <c r="A281" s="90" t="s">
        <v>191</v>
      </c>
      <c r="B281" s="90" t="s">
        <v>750</v>
      </c>
      <c r="C281" s="90" t="s">
        <v>751</v>
      </c>
      <c r="D281" s="90" t="s">
        <v>919</v>
      </c>
      <c r="E281" s="90" t="s">
        <v>920</v>
      </c>
      <c r="F281" s="90" t="s">
        <v>921</v>
      </c>
      <c r="G281" s="89">
        <v>1279.02</v>
      </c>
      <c r="H281" s="141" t="str">
        <f t="shared" ref="H281:H344" si="22">CONCATENATE(B281,RIGHT(D281,4),A281)</f>
        <v>155071270880</v>
      </c>
      <c r="I281" s="142">
        <v>6.5216999999999997E-2</v>
      </c>
      <c r="J281" s="142" t="s">
        <v>1866</v>
      </c>
      <c r="K281" s="143">
        <f t="shared" si="19"/>
        <v>83.41384733999999</v>
      </c>
      <c r="L281" s="144">
        <f t="shared" si="20"/>
        <v>1195.6061526599999</v>
      </c>
      <c r="M281" s="144">
        <f t="shared" si="21"/>
        <v>1279.02</v>
      </c>
      <c r="N281" s="145" t="s">
        <v>911</v>
      </c>
      <c r="O281" s="125"/>
    </row>
    <row r="282" spans="1:15" ht="15" customHeight="1" x14ac:dyDescent="0.3">
      <c r="A282" s="90" t="s">
        <v>191</v>
      </c>
      <c r="B282" s="90" t="s">
        <v>690</v>
      </c>
      <c r="C282" s="90" t="s">
        <v>691</v>
      </c>
      <c r="D282" s="90" t="s">
        <v>925</v>
      </c>
      <c r="E282" s="90" t="s">
        <v>926</v>
      </c>
      <c r="F282" s="90" t="s">
        <v>927</v>
      </c>
      <c r="G282" s="89">
        <v>1333.67</v>
      </c>
      <c r="H282" s="141" t="str">
        <f t="shared" si="22"/>
        <v>141001680880</v>
      </c>
      <c r="I282" s="142">
        <v>1.1399999999999966E-2</v>
      </c>
      <c r="J282" s="142" t="s">
        <v>281</v>
      </c>
      <c r="K282" s="143">
        <f t="shared" si="19"/>
        <v>15.203837999999955</v>
      </c>
      <c r="L282" s="144">
        <f t="shared" si="20"/>
        <v>1318.4661620000002</v>
      </c>
      <c r="M282" s="144">
        <f t="shared" si="21"/>
        <v>1333.67</v>
      </c>
      <c r="N282" s="145" t="s">
        <v>911</v>
      </c>
      <c r="O282" s="125"/>
    </row>
    <row r="283" spans="1:15" ht="15" customHeight="1" x14ac:dyDescent="0.3">
      <c r="A283" s="90" t="s">
        <v>191</v>
      </c>
      <c r="B283" s="90" t="s">
        <v>798</v>
      </c>
      <c r="C283" s="90" t="s">
        <v>799</v>
      </c>
      <c r="D283" s="90" t="s">
        <v>916</v>
      </c>
      <c r="E283" s="90" t="s">
        <v>917</v>
      </c>
      <c r="F283" s="90" t="s">
        <v>918</v>
      </c>
      <c r="G283" s="89">
        <v>1401.02</v>
      </c>
      <c r="H283" s="141" t="str">
        <f t="shared" si="22"/>
        <v>113201580880</v>
      </c>
      <c r="I283" s="142">
        <v>0.11160000000000003</v>
      </c>
      <c r="J283" s="142" t="s">
        <v>1871</v>
      </c>
      <c r="K283" s="143">
        <f t="shared" si="19"/>
        <v>156.35383200000004</v>
      </c>
      <c r="L283" s="144">
        <f t="shared" si="20"/>
        <v>1244.666168</v>
      </c>
      <c r="M283" s="144">
        <f t="shared" si="21"/>
        <v>1401.02</v>
      </c>
      <c r="N283" s="145" t="s">
        <v>911</v>
      </c>
      <c r="O283" s="125"/>
    </row>
    <row r="284" spans="1:15" ht="15" customHeight="1" x14ac:dyDescent="0.3">
      <c r="A284" s="90" t="s">
        <v>191</v>
      </c>
      <c r="B284" s="90" t="s">
        <v>814</v>
      </c>
      <c r="C284" s="90" t="s">
        <v>815</v>
      </c>
      <c r="D284" s="90" t="s">
        <v>931</v>
      </c>
      <c r="E284" s="90" t="s">
        <v>932</v>
      </c>
      <c r="F284" s="90" t="s">
        <v>933</v>
      </c>
      <c r="G284" s="89">
        <v>1792.5900000000001</v>
      </c>
      <c r="H284" s="141" t="str">
        <f t="shared" si="22"/>
        <v>123591512880</v>
      </c>
      <c r="I284" s="142">
        <v>1</v>
      </c>
      <c r="J284" s="142" t="s">
        <v>1484</v>
      </c>
      <c r="K284" s="143">
        <f t="shared" si="19"/>
        <v>1792.5900000000001</v>
      </c>
      <c r="L284" s="144">
        <f t="shared" si="20"/>
        <v>0</v>
      </c>
      <c r="M284" s="144">
        <f t="shared" si="21"/>
        <v>1792.5900000000001</v>
      </c>
      <c r="N284" s="145" t="s">
        <v>911</v>
      </c>
      <c r="O284" s="125"/>
    </row>
    <row r="285" spans="1:15" ht="15" customHeight="1" x14ac:dyDescent="0.3">
      <c r="A285" s="90" t="s">
        <v>191</v>
      </c>
      <c r="B285" s="90" t="s">
        <v>819</v>
      </c>
      <c r="C285" s="90" t="s">
        <v>820</v>
      </c>
      <c r="D285" s="90" t="s">
        <v>912</v>
      </c>
      <c r="E285" s="90" t="s">
        <v>769</v>
      </c>
      <c r="F285" s="90" t="s">
        <v>913</v>
      </c>
      <c r="G285" s="89">
        <v>1800</v>
      </c>
      <c r="H285" s="141" t="str">
        <f t="shared" si="22"/>
        <v>135101670880</v>
      </c>
      <c r="I285" s="142">
        <v>0.11160000000000003</v>
      </c>
      <c r="J285" s="142" t="s">
        <v>1871</v>
      </c>
      <c r="K285" s="143">
        <f t="shared" si="19"/>
        <v>200.88000000000005</v>
      </c>
      <c r="L285" s="144">
        <f t="shared" si="20"/>
        <v>1599.12</v>
      </c>
      <c r="M285" s="144">
        <f t="shared" si="21"/>
        <v>1800</v>
      </c>
      <c r="N285" s="145" t="s">
        <v>911</v>
      </c>
      <c r="O285" s="125"/>
    </row>
    <row r="286" spans="1:15" ht="15" customHeight="1" x14ac:dyDescent="0.3">
      <c r="A286" s="90" t="s">
        <v>191</v>
      </c>
      <c r="B286" s="90" t="s">
        <v>690</v>
      </c>
      <c r="C286" s="90" t="s">
        <v>691</v>
      </c>
      <c r="D286" s="90" t="s">
        <v>912</v>
      </c>
      <c r="E286" s="90" t="s">
        <v>769</v>
      </c>
      <c r="F286" s="90" t="s">
        <v>913</v>
      </c>
      <c r="G286" s="89">
        <v>1872.72</v>
      </c>
      <c r="H286" s="141" t="str">
        <f t="shared" si="22"/>
        <v>141001670880</v>
      </c>
      <c r="I286" s="142">
        <v>1.1399999999999966E-2</v>
      </c>
      <c r="J286" s="142" t="s">
        <v>281</v>
      </c>
      <c r="K286" s="143">
        <f t="shared" si="19"/>
        <v>21.349007999999937</v>
      </c>
      <c r="L286" s="144">
        <f t="shared" si="20"/>
        <v>1851.3709920000001</v>
      </c>
      <c r="M286" s="144">
        <f t="shared" si="21"/>
        <v>1872.72</v>
      </c>
      <c r="N286" s="145" t="s">
        <v>911</v>
      </c>
      <c r="O286" s="125"/>
    </row>
    <row r="287" spans="1:15" ht="15" customHeight="1" x14ac:dyDescent="0.3">
      <c r="A287" s="90" t="s">
        <v>191</v>
      </c>
      <c r="B287" s="90" t="s">
        <v>750</v>
      </c>
      <c r="C287" s="90" t="s">
        <v>751</v>
      </c>
      <c r="D287" s="90" t="s">
        <v>922</v>
      </c>
      <c r="E287" s="90" t="s">
        <v>923</v>
      </c>
      <c r="F287" s="90" t="s">
        <v>924</v>
      </c>
      <c r="G287" s="89">
        <v>2923.2799999999997</v>
      </c>
      <c r="H287" s="141" t="str">
        <f t="shared" si="22"/>
        <v>155071440880</v>
      </c>
      <c r="I287" s="142">
        <v>6.5216999999999997E-2</v>
      </c>
      <c r="J287" s="142" t="s">
        <v>1866</v>
      </c>
      <c r="K287" s="143">
        <f t="shared" si="19"/>
        <v>190.64755175999997</v>
      </c>
      <c r="L287" s="144">
        <f t="shared" si="20"/>
        <v>2732.6324482399996</v>
      </c>
      <c r="M287" s="144">
        <f t="shared" si="21"/>
        <v>2923.2799999999997</v>
      </c>
      <c r="N287" s="145" t="s">
        <v>911</v>
      </c>
      <c r="O287" s="125"/>
    </row>
    <row r="288" spans="1:15" ht="15" customHeight="1" x14ac:dyDescent="0.3">
      <c r="A288" s="90" t="s">
        <v>191</v>
      </c>
      <c r="B288" s="90" t="s">
        <v>798</v>
      </c>
      <c r="C288" s="90" t="s">
        <v>799</v>
      </c>
      <c r="D288" s="90" t="s">
        <v>928</v>
      </c>
      <c r="E288" s="90" t="s">
        <v>929</v>
      </c>
      <c r="F288" s="90" t="s">
        <v>930</v>
      </c>
      <c r="G288" s="89">
        <v>3066.3599999999997</v>
      </c>
      <c r="H288" s="141" t="str">
        <f t="shared" si="22"/>
        <v>113201315880</v>
      </c>
      <c r="I288" s="142">
        <v>0.11160000000000003</v>
      </c>
      <c r="J288" s="142" t="s">
        <v>1871</v>
      </c>
      <c r="K288" s="143">
        <f t="shared" si="19"/>
        <v>342.20577600000007</v>
      </c>
      <c r="L288" s="144">
        <f t="shared" si="20"/>
        <v>2724.1542239999994</v>
      </c>
      <c r="M288" s="144">
        <f t="shared" si="21"/>
        <v>3066.3599999999997</v>
      </c>
      <c r="N288" s="145" t="s">
        <v>911</v>
      </c>
      <c r="O288" s="125"/>
    </row>
    <row r="289" spans="1:15" ht="15" customHeight="1" x14ac:dyDescent="0.3">
      <c r="A289" s="90" t="s">
        <v>191</v>
      </c>
      <c r="B289" s="90" t="s">
        <v>745</v>
      </c>
      <c r="C289" s="90" t="s">
        <v>746</v>
      </c>
      <c r="D289" s="90" t="s">
        <v>928</v>
      </c>
      <c r="E289" s="90" t="s">
        <v>929</v>
      </c>
      <c r="F289" s="90" t="s">
        <v>930</v>
      </c>
      <c r="G289" s="89">
        <v>3246.1499999999996</v>
      </c>
      <c r="H289" s="141" t="str">
        <f t="shared" si="22"/>
        <v>141091315880</v>
      </c>
      <c r="I289" s="142">
        <v>1</v>
      </c>
      <c r="J289" s="142" t="s">
        <v>1873</v>
      </c>
      <c r="K289" s="143">
        <f t="shared" si="19"/>
        <v>3246.1499999999996</v>
      </c>
      <c r="L289" s="144">
        <f t="shared" si="20"/>
        <v>0</v>
      </c>
      <c r="M289" s="144">
        <f t="shared" si="21"/>
        <v>3246.1499999999996</v>
      </c>
      <c r="N289" s="145" t="s">
        <v>911</v>
      </c>
      <c r="O289" s="125"/>
    </row>
    <row r="290" spans="1:15" ht="15" customHeight="1" x14ac:dyDescent="0.3">
      <c r="A290" s="90" t="s">
        <v>191</v>
      </c>
      <c r="B290" s="90" t="s">
        <v>819</v>
      </c>
      <c r="C290" s="90" t="s">
        <v>820</v>
      </c>
      <c r="D290" s="90" t="s">
        <v>922</v>
      </c>
      <c r="E290" s="90" t="s">
        <v>923</v>
      </c>
      <c r="F290" s="90" t="s">
        <v>924</v>
      </c>
      <c r="G290" s="89">
        <v>3841.1000000000004</v>
      </c>
      <c r="H290" s="141" t="str">
        <f t="shared" si="22"/>
        <v>135101440880</v>
      </c>
      <c r="I290" s="142">
        <v>0.11160000000000003</v>
      </c>
      <c r="J290" s="142" t="s">
        <v>1871</v>
      </c>
      <c r="K290" s="143">
        <f t="shared" si="19"/>
        <v>428.66676000000018</v>
      </c>
      <c r="L290" s="144">
        <f t="shared" si="20"/>
        <v>3412.4332400000003</v>
      </c>
      <c r="M290" s="144">
        <f t="shared" si="21"/>
        <v>3841.1000000000004</v>
      </c>
      <c r="N290" s="145" t="s">
        <v>911</v>
      </c>
      <c r="O290" s="125"/>
    </row>
    <row r="291" spans="1:15" ht="15" customHeight="1" x14ac:dyDescent="0.3">
      <c r="A291" s="90" t="s">
        <v>191</v>
      </c>
      <c r="B291" s="90" t="s">
        <v>790</v>
      </c>
      <c r="C291" s="90" t="s">
        <v>791</v>
      </c>
      <c r="D291" s="90" t="s">
        <v>916</v>
      </c>
      <c r="E291" s="90" t="s">
        <v>917</v>
      </c>
      <c r="F291" s="90" t="s">
        <v>918</v>
      </c>
      <c r="G291" s="89">
        <v>4271.01</v>
      </c>
      <c r="H291" s="141" t="str">
        <f t="shared" si="22"/>
        <v>510101580880</v>
      </c>
      <c r="I291" s="142">
        <v>0.11208</v>
      </c>
      <c r="J291" s="142" t="s">
        <v>1862</v>
      </c>
      <c r="K291" s="143">
        <f t="shared" si="19"/>
        <v>478.6948008</v>
      </c>
      <c r="L291" s="144">
        <f t="shared" si="20"/>
        <v>3792.3151992000003</v>
      </c>
      <c r="M291" s="144">
        <f t="shared" si="21"/>
        <v>4271.01</v>
      </c>
      <c r="N291" s="145" t="s">
        <v>911</v>
      </c>
      <c r="O291" s="125"/>
    </row>
    <row r="292" spans="1:15" ht="15" customHeight="1" x14ac:dyDescent="0.3">
      <c r="A292" s="90" t="s">
        <v>191</v>
      </c>
      <c r="B292" s="90" t="s">
        <v>688</v>
      </c>
      <c r="C292" s="90" t="s">
        <v>689</v>
      </c>
      <c r="D292" s="90" t="s">
        <v>908</v>
      </c>
      <c r="E292" s="90" t="s">
        <v>909</v>
      </c>
      <c r="F292" s="90" t="s">
        <v>910</v>
      </c>
      <c r="G292" s="89">
        <v>4436.78</v>
      </c>
      <c r="H292" s="141" t="str">
        <f t="shared" si="22"/>
        <v>111001070880</v>
      </c>
      <c r="I292" s="142">
        <v>8.3600000000000008E-2</v>
      </c>
      <c r="J292" s="142" t="s">
        <v>1865</v>
      </c>
      <c r="K292" s="143">
        <f t="shared" si="19"/>
        <v>370.91480799999999</v>
      </c>
      <c r="L292" s="144">
        <f t="shared" si="20"/>
        <v>4065.8651919999998</v>
      </c>
      <c r="M292" s="144">
        <f t="shared" si="21"/>
        <v>4436.78</v>
      </c>
      <c r="N292" s="145" t="s">
        <v>911</v>
      </c>
      <c r="O292" s="125"/>
    </row>
    <row r="293" spans="1:15" ht="15" customHeight="1" x14ac:dyDescent="0.3">
      <c r="A293" s="90" t="s">
        <v>191</v>
      </c>
      <c r="B293" s="90" t="s">
        <v>688</v>
      </c>
      <c r="C293" s="90" t="s">
        <v>689</v>
      </c>
      <c r="D293" s="90" t="s">
        <v>919</v>
      </c>
      <c r="E293" s="90" t="s">
        <v>920</v>
      </c>
      <c r="F293" s="90" t="s">
        <v>921</v>
      </c>
      <c r="G293" s="89">
        <v>4529.63</v>
      </c>
      <c r="H293" s="141" t="str">
        <f t="shared" si="22"/>
        <v>111001270880</v>
      </c>
      <c r="I293" s="142">
        <v>8.3600000000000008E-2</v>
      </c>
      <c r="J293" s="142" t="s">
        <v>1865</v>
      </c>
      <c r="K293" s="143">
        <f t="shared" si="19"/>
        <v>378.67706800000002</v>
      </c>
      <c r="L293" s="144">
        <f t="shared" si="20"/>
        <v>4150.9529320000001</v>
      </c>
      <c r="M293" s="144">
        <f t="shared" si="21"/>
        <v>4529.63</v>
      </c>
      <c r="N293" s="145" t="s">
        <v>911</v>
      </c>
      <c r="O293" s="125"/>
    </row>
    <row r="294" spans="1:15" ht="15" customHeight="1" x14ac:dyDescent="0.3">
      <c r="A294" s="90" t="s">
        <v>191</v>
      </c>
      <c r="B294" s="90" t="s">
        <v>798</v>
      </c>
      <c r="C294" s="90" t="s">
        <v>799</v>
      </c>
      <c r="D294" s="90" t="s">
        <v>919</v>
      </c>
      <c r="E294" s="90" t="s">
        <v>920</v>
      </c>
      <c r="F294" s="90" t="s">
        <v>921</v>
      </c>
      <c r="G294" s="89">
        <v>4733.01</v>
      </c>
      <c r="H294" s="141" t="str">
        <f t="shared" si="22"/>
        <v>113201270880</v>
      </c>
      <c r="I294" s="142">
        <v>0.11160000000000003</v>
      </c>
      <c r="J294" s="142" t="s">
        <v>1871</v>
      </c>
      <c r="K294" s="143">
        <f t="shared" si="19"/>
        <v>528.20391600000016</v>
      </c>
      <c r="L294" s="144">
        <f t="shared" si="20"/>
        <v>4204.8060839999998</v>
      </c>
      <c r="M294" s="144">
        <f t="shared" si="21"/>
        <v>4733.01</v>
      </c>
      <c r="N294" s="145" t="s">
        <v>911</v>
      </c>
      <c r="O294" s="125"/>
    </row>
    <row r="295" spans="1:15" ht="15" customHeight="1" x14ac:dyDescent="0.3">
      <c r="A295" s="90" t="s">
        <v>191</v>
      </c>
      <c r="B295" s="90" t="s">
        <v>739</v>
      </c>
      <c r="C295" s="90" t="s">
        <v>740</v>
      </c>
      <c r="D295" s="90" t="s">
        <v>925</v>
      </c>
      <c r="E295" s="90" t="s">
        <v>926</v>
      </c>
      <c r="F295" s="90" t="s">
        <v>927</v>
      </c>
      <c r="G295" s="89">
        <v>4874.7199999999993</v>
      </c>
      <c r="H295" s="141" t="str">
        <f t="shared" si="22"/>
        <v>155061680880</v>
      </c>
      <c r="I295" s="142">
        <v>0</v>
      </c>
      <c r="J295" s="142" t="s">
        <v>1863</v>
      </c>
      <c r="K295" s="143">
        <f t="shared" si="19"/>
        <v>0</v>
      </c>
      <c r="L295" s="144">
        <f t="shared" si="20"/>
        <v>4874.7199999999993</v>
      </c>
      <c r="M295" s="144">
        <f t="shared" si="21"/>
        <v>4874.7199999999993</v>
      </c>
      <c r="N295" s="145" t="s">
        <v>911</v>
      </c>
      <c r="O295" s="125"/>
    </row>
    <row r="296" spans="1:15" ht="15" customHeight="1" x14ac:dyDescent="0.3">
      <c r="A296" s="90" t="s">
        <v>191</v>
      </c>
      <c r="B296" s="90" t="s">
        <v>745</v>
      </c>
      <c r="C296" s="90" t="s">
        <v>746</v>
      </c>
      <c r="D296" s="90" t="s">
        <v>934</v>
      </c>
      <c r="E296" s="90" t="s">
        <v>704</v>
      </c>
      <c r="F296" s="90" t="s">
        <v>935</v>
      </c>
      <c r="G296" s="89">
        <v>4950.119999999999</v>
      </c>
      <c r="H296" s="141" t="str">
        <f t="shared" si="22"/>
        <v>141091505880</v>
      </c>
      <c r="I296" s="142">
        <v>1</v>
      </c>
      <c r="J296" s="142" t="s">
        <v>1873</v>
      </c>
      <c r="K296" s="143">
        <f t="shared" si="19"/>
        <v>4950.119999999999</v>
      </c>
      <c r="L296" s="144">
        <f t="shared" si="20"/>
        <v>0</v>
      </c>
      <c r="M296" s="144">
        <f t="shared" si="21"/>
        <v>4950.119999999999</v>
      </c>
      <c r="N296" s="145" t="s">
        <v>911</v>
      </c>
      <c r="O296" s="125"/>
    </row>
    <row r="297" spans="1:15" ht="15" customHeight="1" x14ac:dyDescent="0.3">
      <c r="A297" s="90" t="s">
        <v>191</v>
      </c>
      <c r="B297" s="90" t="s">
        <v>798</v>
      </c>
      <c r="C297" s="90" t="s">
        <v>799</v>
      </c>
      <c r="D297" s="90" t="s">
        <v>931</v>
      </c>
      <c r="E297" s="90" t="s">
        <v>932</v>
      </c>
      <c r="F297" s="90" t="s">
        <v>933</v>
      </c>
      <c r="G297" s="89">
        <v>5080</v>
      </c>
      <c r="H297" s="141" t="str">
        <f t="shared" si="22"/>
        <v>113201512880</v>
      </c>
      <c r="I297" s="142">
        <v>0.11160000000000003</v>
      </c>
      <c r="J297" s="142" t="s">
        <v>1871</v>
      </c>
      <c r="K297" s="143">
        <f t="shared" si="19"/>
        <v>566.92800000000011</v>
      </c>
      <c r="L297" s="144">
        <f t="shared" si="20"/>
        <v>4513.0720000000001</v>
      </c>
      <c r="M297" s="144">
        <f t="shared" si="21"/>
        <v>5080</v>
      </c>
      <c r="N297" s="145" t="s">
        <v>911</v>
      </c>
      <c r="O297" s="125"/>
    </row>
    <row r="298" spans="1:15" ht="15" customHeight="1" x14ac:dyDescent="0.3">
      <c r="A298" s="90" t="s">
        <v>191</v>
      </c>
      <c r="B298" s="90" t="s">
        <v>750</v>
      </c>
      <c r="C298" s="90" t="s">
        <v>751</v>
      </c>
      <c r="D298" s="90" t="s">
        <v>931</v>
      </c>
      <c r="E298" s="90" t="s">
        <v>932</v>
      </c>
      <c r="F298" s="90" t="s">
        <v>933</v>
      </c>
      <c r="G298" s="89">
        <v>5798.63</v>
      </c>
      <c r="H298" s="141" t="str">
        <f t="shared" si="22"/>
        <v>155071512880</v>
      </c>
      <c r="I298" s="142">
        <v>6.5216999999999997E-2</v>
      </c>
      <c r="J298" s="142" t="s">
        <v>1866</v>
      </c>
      <c r="K298" s="143">
        <f t="shared" si="19"/>
        <v>378.16925270999997</v>
      </c>
      <c r="L298" s="144">
        <f t="shared" si="20"/>
        <v>5420.4607472899997</v>
      </c>
      <c r="M298" s="144">
        <f t="shared" si="21"/>
        <v>5798.63</v>
      </c>
      <c r="N298" s="145" t="s">
        <v>911</v>
      </c>
      <c r="O298" s="125"/>
    </row>
    <row r="299" spans="1:15" ht="15" customHeight="1" x14ac:dyDescent="0.3">
      <c r="A299" s="90" t="s">
        <v>191</v>
      </c>
      <c r="B299" s="90" t="s">
        <v>745</v>
      </c>
      <c r="C299" s="90" t="s">
        <v>746</v>
      </c>
      <c r="D299" s="90" t="s">
        <v>931</v>
      </c>
      <c r="E299" s="90" t="s">
        <v>932</v>
      </c>
      <c r="F299" s="90" t="s">
        <v>933</v>
      </c>
      <c r="G299" s="89">
        <v>6043.15</v>
      </c>
      <c r="H299" s="141" t="str">
        <f t="shared" si="22"/>
        <v>141091512880</v>
      </c>
      <c r="I299" s="142">
        <v>1</v>
      </c>
      <c r="J299" s="142" t="s">
        <v>1873</v>
      </c>
      <c r="K299" s="143">
        <f t="shared" si="19"/>
        <v>6043.15</v>
      </c>
      <c r="L299" s="144">
        <f t="shared" si="20"/>
        <v>0</v>
      </c>
      <c r="M299" s="144">
        <f t="shared" si="21"/>
        <v>6043.15</v>
      </c>
      <c r="N299" s="145" t="s">
        <v>911</v>
      </c>
      <c r="O299" s="125"/>
    </row>
    <row r="300" spans="1:15" ht="15" customHeight="1" x14ac:dyDescent="0.3">
      <c r="A300" s="90" t="s">
        <v>191</v>
      </c>
      <c r="B300" s="90" t="s">
        <v>684</v>
      </c>
      <c r="C300" s="90" t="s">
        <v>685</v>
      </c>
      <c r="D300" s="90" t="s">
        <v>931</v>
      </c>
      <c r="E300" s="90" t="s">
        <v>932</v>
      </c>
      <c r="F300" s="90" t="s">
        <v>933</v>
      </c>
      <c r="G300" s="89">
        <v>6145.829999999999</v>
      </c>
      <c r="H300" s="141" t="str">
        <f t="shared" si="22"/>
        <v>151001512880</v>
      </c>
      <c r="I300" s="142">
        <v>0</v>
      </c>
      <c r="J300" s="142" t="s">
        <v>1863</v>
      </c>
      <c r="K300" s="143">
        <f t="shared" si="19"/>
        <v>0</v>
      </c>
      <c r="L300" s="144">
        <f t="shared" si="20"/>
        <v>6145.829999999999</v>
      </c>
      <c r="M300" s="144">
        <f t="shared" si="21"/>
        <v>6145.829999999999</v>
      </c>
      <c r="N300" s="145" t="s">
        <v>911</v>
      </c>
      <c r="O300" s="125"/>
    </row>
    <row r="301" spans="1:15" ht="15" customHeight="1" x14ac:dyDescent="0.3">
      <c r="A301" s="90" t="s">
        <v>191</v>
      </c>
      <c r="B301" s="90" t="s">
        <v>739</v>
      </c>
      <c r="C301" s="90" t="s">
        <v>740</v>
      </c>
      <c r="D301" s="90" t="s">
        <v>922</v>
      </c>
      <c r="E301" s="90" t="s">
        <v>923</v>
      </c>
      <c r="F301" s="90" t="s">
        <v>924</v>
      </c>
      <c r="G301" s="89">
        <v>8164.6100000000006</v>
      </c>
      <c r="H301" s="141" t="str">
        <f t="shared" si="22"/>
        <v>155061440880</v>
      </c>
      <c r="I301" s="142">
        <v>0</v>
      </c>
      <c r="J301" s="142" t="s">
        <v>1863</v>
      </c>
      <c r="K301" s="143">
        <f t="shared" si="19"/>
        <v>0</v>
      </c>
      <c r="L301" s="144">
        <f t="shared" si="20"/>
        <v>8164.6100000000006</v>
      </c>
      <c r="M301" s="144">
        <f t="shared" si="21"/>
        <v>8164.6100000000006</v>
      </c>
      <c r="N301" s="145" t="s">
        <v>911</v>
      </c>
      <c r="O301" s="125"/>
    </row>
    <row r="302" spans="1:15" ht="15" customHeight="1" x14ac:dyDescent="0.3">
      <c r="A302" s="90" t="s">
        <v>191</v>
      </c>
      <c r="B302" s="90" t="s">
        <v>763</v>
      </c>
      <c r="C302" s="90" t="s">
        <v>764</v>
      </c>
      <c r="D302" s="90" t="s">
        <v>931</v>
      </c>
      <c r="E302" s="90" t="s">
        <v>932</v>
      </c>
      <c r="F302" s="90" t="s">
        <v>933</v>
      </c>
      <c r="G302" s="89">
        <v>8238.5</v>
      </c>
      <c r="H302" s="141" t="str">
        <f t="shared" si="22"/>
        <v>155201512880</v>
      </c>
      <c r="I302" s="142">
        <v>0.11209999999999998</v>
      </c>
      <c r="J302" s="142" t="s">
        <v>1864</v>
      </c>
      <c r="K302" s="143">
        <f t="shared" si="19"/>
        <v>923.53584999999987</v>
      </c>
      <c r="L302" s="144">
        <f t="shared" si="20"/>
        <v>7314.9641499999998</v>
      </c>
      <c r="M302" s="144">
        <f t="shared" si="21"/>
        <v>8238.5</v>
      </c>
      <c r="N302" s="145" t="s">
        <v>911</v>
      </c>
      <c r="O302" s="125"/>
    </row>
    <row r="303" spans="1:15" ht="15" customHeight="1" x14ac:dyDescent="0.3">
      <c r="A303" s="90" t="s">
        <v>191</v>
      </c>
      <c r="B303" s="90" t="s">
        <v>690</v>
      </c>
      <c r="C303" s="90" t="s">
        <v>691</v>
      </c>
      <c r="D303" s="90" t="s">
        <v>931</v>
      </c>
      <c r="E303" s="90" t="s">
        <v>932</v>
      </c>
      <c r="F303" s="90" t="s">
        <v>933</v>
      </c>
      <c r="G303" s="89">
        <v>8623.19</v>
      </c>
      <c r="H303" s="141" t="str">
        <f t="shared" si="22"/>
        <v>141001512880</v>
      </c>
      <c r="I303" s="142">
        <v>1.1399999999999966E-2</v>
      </c>
      <c r="J303" s="142" t="s">
        <v>281</v>
      </c>
      <c r="K303" s="143">
        <f t="shared" si="19"/>
        <v>98.304365999999703</v>
      </c>
      <c r="L303" s="144">
        <f t="shared" si="20"/>
        <v>8524.8856340000002</v>
      </c>
      <c r="M303" s="144">
        <f t="shared" si="21"/>
        <v>8623.19</v>
      </c>
      <c r="N303" s="145" t="s">
        <v>911</v>
      </c>
      <c r="O303" s="125"/>
    </row>
    <row r="304" spans="1:15" ht="15" customHeight="1" x14ac:dyDescent="0.3">
      <c r="A304" s="90" t="s">
        <v>191</v>
      </c>
      <c r="B304" s="90" t="s">
        <v>750</v>
      </c>
      <c r="C304" s="90" t="s">
        <v>751</v>
      </c>
      <c r="D304" s="90" t="s">
        <v>928</v>
      </c>
      <c r="E304" s="90" t="s">
        <v>929</v>
      </c>
      <c r="F304" s="90" t="s">
        <v>930</v>
      </c>
      <c r="G304" s="89">
        <v>8890.23</v>
      </c>
      <c r="H304" s="141" t="str">
        <f t="shared" si="22"/>
        <v>155071315880</v>
      </c>
      <c r="I304" s="142">
        <v>6.5216999999999997E-2</v>
      </c>
      <c r="J304" s="142" t="s">
        <v>1866</v>
      </c>
      <c r="K304" s="143">
        <f t="shared" si="19"/>
        <v>579.79412990999992</v>
      </c>
      <c r="L304" s="144">
        <f t="shared" si="20"/>
        <v>8310.4358700899993</v>
      </c>
      <c r="M304" s="144">
        <f t="shared" si="21"/>
        <v>8890.23</v>
      </c>
      <c r="N304" s="145" t="s">
        <v>911</v>
      </c>
      <c r="O304" s="125"/>
    </row>
    <row r="305" spans="1:15" ht="15" customHeight="1" x14ac:dyDescent="0.3">
      <c r="A305" s="90" t="s">
        <v>191</v>
      </c>
      <c r="B305" s="90" t="s">
        <v>763</v>
      </c>
      <c r="C305" s="90" t="s">
        <v>764</v>
      </c>
      <c r="D305" s="90" t="s">
        <v>916</v>
      </c>
      <c r="E305" s="90" t="s">
        <v>917</v>
      </c>
      <c r="F305" s="90" t="s">
        <v>918</v>
      </c>
      <c r="G305" s="89">
        <v>9286.4299999999985</v>
      </c>
      <c r="H305" s="141" t="str">
        <f t="shared" si="22"/>
        <v>155201580880</v>
      </c>
      <c r="I305" s="142">
        <v>0.11209999999999998</v>
      </c>
      <c r="J305" s="142" t="s">
        <v>1864</v>
      </c>
      <c r="K305" s="143">
        <f t="shared" si="19"/>
        <v>1041.0088029999997</v>
      </c>
      <c r="L305" s="144">
        <f t="shared" si="20"/>
        <v>8245.4211969999997</v>
      </c>
      <c r="M305" s="144">
        <f t="shared" si="21"/>
        <v>9286.43</v>
      </c>
      <c r="N305" s="145" t="s">
        <v>911</v>
      </c>
      <c r="O305" s="125"/>
    </row>
    <row r="306" spans="1:15" ht="15" customHeight="1" x14ac:dyDescent="0.3">
      <c r="A306" s="90" t="s">
        <v>191</v>
      </c>
      <c r="B306" s="90" t="s">
        <v>745</v>
      </c>
      <c r="C306" s="90" t="s">
        <v>746</v>
      </c>
      <c r="D306" s="90" t="s">
        <v>916</v>
      </c>
      <c r="E306" s="90" t="s">
        <v>917</v>
      </c>
      <c r="F306" s="90" t="s">
        <v>918</v>
      </c>
      <c r="G306" s="89">
        <v>9642.369999999999</v>
      </c>
      <c r="H306" s="141" t="str">
        <f t="shared" si="22"/>
        <v>141091580880</v>
      </c>
      <c r="I306" s="142">
        <v>1</v>
      </c>
      <c r="J306" s="142" t="s">
        <v>1484</v>
      </c>
      <c r="K306" s="143">
        <f t="shared" si="19"/>
        <v>9642.369999999999</v>
      </c>
      <c r="L306" s="144">
        <f t="shared" si="20"/>
        <v>0</v>
      </c>
      <c r="M306" s="144">
        <f t="shared" si="21"/>
        <v>9642.369999999999</v>
      </c>
      <c r="N306" s="145" t="s">
        <v>911</v>
      </c>
      <c r="O306" s="125"/>
    </row>
    <row r="307" spans="1:15" ht="15" customHeight="1" x14ac:dyDescent="0.3">
      <c r="A307" s="90" t="s">
        <v>191</v>
      </c>
      <c r="B307" s="90" t="s">
        <v>690</v>
      </c>
      <c r="C307" s="90" t="s">
        <v>691</v>
      </c>
      <c r="D307" s="90" t="s">
        <v>916</v>
      </c>
      <c r="E307" s="90" t="s">
        <v>917</v>
      </c>
      <c r="F307" s="90" t="s">
        <v>918</v>
      </c>
      <c r="G307" s="89">
        <v>10862.619999999999</v>
      </c>
      <c r="H307" s="141" t="str">
        <f t="shared" si="22"/>
        <v>141001580880</v>
      </c>
      <c r="I307" s="142">
        <v>1.1399999999999966E-2</v>
      </c>
      <c r="J307" s="142" t="s">
        <v>281</v>
      </c>
      <c r="K307" s="143">
        <f t="shared" si="19"/>
        <v>123.83386799999961</v>
      </c>
      <c r="L307" s="144">
        <f t="shared" si="20"/>
        <v>10738.786131999999</v>
      </c>
      <c r="M307" s="144">
        <f t="shared" si="21"/>
        <v>10862.619999999999</v>
      </c>
      <c r="N307" s="145" t="s">
        <v>911</v>
      </c>
      <c r="O307" s="125"/>
    </row>
    <row r="308" spans="1:15" ht="15" customHeight="1" x14ac:dyDescent="0.3">
      <c r="A308" s="90" t="s">
        <v>191</v>
      </c>
      <c r="B308" s="90" t="s">
        <v>739</v>
      </c>
      <c r="C308" s="90" t="s">
        <v>740</v>
      </c>
      <c r="D308" s="90" t="s">
        <v>934</v>
      </c>
      <c r="E308" s="90" t="s">
        <v>704</v>
      </c>
      <c r="F308" s="90" t="s">
        <v>935</v>
      </c>
      <c r="G308" s="89">
        <v>10902.63</v>
      </c>
      <c r="H308" s="141" t="str">
        <f t="shared" si="22"/>
        <v>155061505880</v>
      </c>
      <c r="I308" s="142">
        <v>0</v>
      </c>
      <c r="J308" s="142" t="s">
        <v>1863</v>
      </c>
      <c r="K308" s="143">
        <f t="shared" si="19"/>
        <v>0</v>
      </c>
      <c r="L308" s="144">
        <f t="shared" si="20"/>
        <v>10902.63</v>
      </c>
      <c r="M308" s="144">
        <f t="shared" si="21"/>
        <v>10902.63</v>
      </c>
      <c r="N308" s="145" t="s">
        <v>911</v>
      </c>
      <c r="O308" s="125"/>
    </row>
    <row r="309" spans="1:15" ht="15" customHeight="1" x14ac:dyDescent="0.3">
      <c r="A309" s="90" t="s">
        <v>191</v>
      </c>
      <c r="B309" s="90" t="s">
        <v>690</v>
      </c>
      <c r="C309" s="90" t="s">
        <v>691</v>
      </c>
      <c r="D309" s="90" t="s">
        <v>928</v>
      </c>
      <c r="E309" s="90" t="s">
        <v>929</v>
      </c>
      <c r="F309" s="90" t="s">
        <v>930</v>
      </c>
      <c r="G309" s="89">
        <v>11086.61</v>
      </c>
      <c r="H309" s="141" t="str">
        <f t="shared" si="22"/>
        <v>141001315880</v>
      </c>
      <c r="I309" s="142">
        <v>1.1399999999999966E-2</v>
      </c>
      <c r="J309" s="142" t="s">
        <v>281</v>
      </c>
      <c r="K309" s="143">
        <f t="shared" si="19"/>
        <v>126.38735399999963</v>
      </c>
      <c r="L309" s="144">
        <f t="shared" si="20"/>
        <v>10960.222646</v>
      </c>
      <c r="M309" s="144">
        <f t="shared" si="21"/>
        <v>11086.61</v>
      </c>
      <c r="N309" s="145" t="s">
        <v>911</v>
      </c>
      <c r="O309" s="125"/>
    </row>
    <row r="310" spans="1:15" ht="15" customHeight="1" x14ac:dyDescent="0.3">
      <c r="A310" s="90" t="s">
        <v>191</v>
      </c>
      <c r="B310" s="90" t="s">
        <v>750</v>
      </c>
      <c r="C310" s="90" t="s">
        <v>751</v>
      </c>
      <c r="D310" s="90" t="s">
        <v>916</v>
      </c>
      <c r="E310" s="90" t="s">
        <v>917</v>
      </c>
      <c r="F310" s="90" t="s">
        <v>918</v>
      </c>
      <c r="G310" s="89">
        <v>11640.14</v>
      </c>
      <c r="H310" s="141" t="str">
        <f t="shared" si="22"/>
        <v>155071580880</v>
      </c>
      <c r="I310" s="142">
        <v>6.5216999999999997E-2</v>
      </c>
      <c r="J310" s="142" t="s">
        <v>1866</v>
      </c>
      <c r="K310" s="143">
        <f t="shared" si="19"/>
        <v>759.13501037999993</v>
      </c>
      <c r="L310" s="144">
        <f t="shared" si="20"/>
        <v>10881.00498962</v>
      </c>
      <c r="M310" s="144">
        <f t="shared" si="21"/>
        <v>11640.14</v>
      </c>
      <c r="N310" s="145" t="s">
        <v>911</v>
      </c>
      <c r="O310" s="125"/>
    </row>
    <row r="311" spans="1:15" ht="15" customHeight="1" x14ac:dyDescent="0.3">
      <c r="A311" s="90" t="s">
        <v>191</v>
      </c>
      <c r="B311" s="90" t="s">
        <v>819</v>
      </c>
      <c r="C311" s="90" t="s">
        <v>820</v>
      </c>
      <c r="D311" s="90" t="s">
        <v>919</v>
      </c>
      <c r="E311" s="90" t="s">
        <v>920</v>
      </c>
      <c r="F311" s="90" t="s">
        <v>921</v>
      </c>
      <c r="G311" s="89">
        <v>11798.919999999998</v>
      </c>
      <c r="H311" s="141" t="str">
        <f t="shared" si="22"/>
        <v>135101270880</v>
      </c>
      <c r="I311" s="142">
        <v>0.11160000000000003</v>
      </c>
      <c r="J311" s="142" t="s">
        <v>1871</v>
      </c>
      <c r="K311" s="143">
        <f t="shared" si="19"/>
        <v>1316.7594720000002</v>
      </c>
      <c r="L311" s="144">
        <f t="shared" si="20"/>
        <v>10482.160527999999</v>
      </c>
      <c r="M311" s="144">
        <f t="shared" si="21"/>
        <v>11798.919999999998</v>
      </c>
      <c r="N311" s="145" t="s">
        <v>911</v>
      </c>
      <c r="O311" s="125"/>
    </row>
    <row r="312" spans="1:15" ht="15" customHeight="1" x14ac:dyDescent="0.3">
      <c r="A312" s="90" t="s">
        <v>191</v>
      </c>
      <c r="B312" s="90" t="s">
        <v>684</v>
      </c>
      <c r="C312" s="90" t="s">
        <v>685</v>
      </c>
      <c r="D312" s="90" t="s">
        <v>916</v>
      </c>
      <c r="E312" s="90" t="s">
        <v>917</v>
      </c>
      <c r="F312" s="90" t="s">
        <v>918</v>
      </c>
      <c r="G312" s="89">
        <v>12007.499999999998</v>
      </c>
      <c r="H312" s="141" t="str">
        <f t="shared" si="22"/>
        <v>151001580880</v>
      </c>
      <c r="I312" s="142">
        <v>0</v>
      </c>
      <c r="J312" s="142" t="s">
        <v>1863</v>
      </c>
      <c r="K312" s="143">
        <f t="shared" si="19"/>
        <v>0</v>
      </c>
      <c r="L312" s="144">
        <f t="shared" si="20"/>
        <v>12007.499999999998</v>
      </c>
      <c r="M312" s="144">
        <f t="shared" si="21"/>
        <v>12007.499999999998</v>
      </c>
      <c r="N312" s="145" t="s">
        <v>911</v>
      </c>
      <c r="O312" s="125"/>
    </row>
    <row r="313" spans="1:15" ht="15" customHeight="1" x14ac:dyDescent="0.3">
      <c r="A313" s="90" t="s">
        <v>191</v>
      </c>
      <c r="B313" s="90" t="s">
        <v>688</v>
      </c>
      <c r="C313" s="90" t="s">
        <v>689</v>
      </c>
      <c r="D313" s="90" t="s">
        <v>916</v>
      </c>
      <c r="E313" s="90" t="s">
        <v>917</v>
      </c>
      <c r="F313" s="90" t="s">
        <v>918</v>
      </c>
      <c r="G313" s="89">
        <v>12336.63</v>
      </c>
      <c r="H313" s="141" t="str">
        <f t="shared" si="22"/>
        <v>111001580880</v>
      </c>
      <c r="I313" s="142">
        <v>8.3600000000000008E-2</v>
      </c>
      <c r="J313" s="142" t="s">
        <v>1865</v>
      </c>
      <c r="K313" s="143">
        <f t="shared" si="19"/>
        <v>1031.3422680000001</v>
      </c>
      <c r="L313" s="144">
        <f t="shared" si="20"/>
        <v>11305.287731999999</v>
      </c>
      <c r="M313" s="144">
        <f t="shared" si="21"/>
        <v>12336.63</v>
      </c>
      <c r="N313" s="145" t="s">
        <v>911</v>
      </c>
      <c r="O313" s="125"/>
    </row>
    <row r="314" spans="1:15" ht="15" customHeight="1" x14ac:dyDescent="0.3">
      <c r="A314" s="90" t="s">
        <v>191</v>
      </c>
      <c r="B314" s="90" t="s">
        <v>750</v>
      </c>
      <c r="C314" s="90" t="s">
        <v>751</v>
      </c>
      <c r="D314" s="90" t="s">
        <v>925</v>
      </c>
      <c r="E314" s="90" t="s">
        <v>926</v>
      </c>
      <c r="F314" s="90" t="s">
        <v>927</v>
      </c>
      <c r="G314" s="89">
        <v>14038.25</v>
      </c>
      <c r="H314" s="141" t="str">
        <f t="shared" si="22"/>
        <v>155071680880</v>
      </c>
      <c r="I314" s="142">
        <v>6.5216999999999997E-2</v>
      </c>
      <c r="J314" s="142" t="s">
        <v>1866</v>
      </c>
      <c r="K314" s="143">
        <f t="shared" si="19"/>
        <v>915.53255024999999</v>
      </c>
      <c r="L314" s="144">
        <f t="shared" si="20"/>
        <v>13122.71744975</v>
      </c>
      <c r="M314" s="144">
        <f t="shared" si="21"/>
        <v>14038.25</v>
      </c>
      <c r="N314" s="145" t="s">
        <v>911</v>
      </c>
      <c r="O314" s="125"/>
    </row>
    <row r="315" spans="1:15" ht="15" customHeight="1" x14ac:dyDescent="0.3">
      <c r="A315" s="90" t="s">
        <v>191</v>
      </c>
      <c r="B315" s="90" t="s">
        <v>688</v>
      </c>
      <c r="C315" s="90" t="s">
        <v>689</v>
      </c>
      <c r="D315" s="90" t="s">
        <v>931</v>
      </c>
      <c r="E315" s="90" t="s">
        <v>932</v>
      </c>
      <c r="F315" s="90" t="s">
        <v>933</v>
      </c>
      <c r="G315" s="89">
        <v>15863.219999999998</v>
      </c>
      <c r="H315" s="141" t="str">
        <f t="shared" si="22"/>
        <v>111001512880</v>
      </c>
      <c r="I315" s="142">
        <v>8.3600000000000008E-2</v>
      </c>
      <c r="J315" s="142" t="s">
        <v>1865</v>
      </c>
      <c r="K315" s="143">
        <f t="shared" si="19"/>
        <v>1326.1651919999999</v>
      </c>
      <c r="L315" s="144">
        <f t="shared" si="20"/>
        <v>14537.054807999997</v>
      </c>
      <c r="M315" s="144">
        <f t="shared" si="21"/>
        <v>15863.219999999998</v>
      </c>
      <c r="N315" s="145" t="s">
        <v>911</v>
      </c>
      <c r="O315" s="125"/>
    </row>
    <row r="316" spans="1:15" ht="15" customHeight="1" x14ac:dyDescent="0.3">
      <c r="A316" s="90" t="s">
        <v>191</v>
      </c>
      <c r="B316" s="90" t="s">
        <v>739</v>
      </c>
      <c r="C316" s="90" t="s">
        <v>740</v>
      </c>
      <c r="D316" s="90" t="s">
        <v>919</v>
      </c>
      <c r="E316" s="90" t="s">
        <v>920</v>
      </c>
      <c r="F316" s="90" t="s">
        <v>921</v>
      </c>
      <c r="G316" s="89">
        <v>20092.250000000004</v>
      </c>
      <c r="H316" s="141" t="str">
        <f t="shared" si="22"/>
        <v>155061270880</v>
      </c>
      <c r="I316" s="142">
        <v>0</v>
      </c>
      <c r="J316" s="142" t="s">
        <v>1863</v>
      </c>
      <c r="K316" s="143">
        <f t="shared" si="19"/>
        <v>0</v>
      </c>
      <c r="L316" s="144">
        <f t="shared" si="20"/>
        <v>20092.250000000004</v>
      </c>
      <c r="M316" s="144">
        <f t="shared" si="21"/>
        <v>20092.250000000004</v>
      </c>
      <c r="N316" s="145" t="s">
        <v>911</v>
      </c>
      <c r="O316" s="125"/>
    </row>
    <row r="317" spans="1:15" ht="15" customHeight="1" x14ac:dyDescent="0.3">
      <c r="A317" s="90" t="s">
        <v>191</v>
      </c>
      <c r="B317" s="90" t="s">
        <v>819</v>
      </c>
      <c r="C317" s="90" t="s">
        <v>820</v>
      </c>
      <c r="D317" s="90" t="s">
        <v>936</v>
      </c>
      <c r="E317" s="90" t="s">
        <v>937</v>
      </c>
      <c r="F317" s="90" t="s">
        <v>938</v>
      </c>
      <c r="G317" s="89">
        <v>21466.269999999997</v>
      </c>
      <c r="H317" s="141" t="str">
        <f t="shared" si="22"/>
        <v>135101671880</v>
      </c>
      <c r="I317" s="142">
        <v>0.11160000000000003</v>
      </c>
      <c r="J317" s="142" t="s">
        <v>1871</v>
      </c>
      <c r="K317" s="143">
        <f t="shared" si="19"/>
        <v>2395.6357320000002</v>
      </c>
      <c r="L317" s="144">
        <f t="shared" si="20"/>
        <v>19070.634267999998</v>
      </c>
      <c r="M317" s="144">
        <f t="shared" si="21"/>
        <v>21466.269999999997</v>
      </c>
      <c r="N317" s="145" t="s">
        <v>911</v>
      </c>
      <c r="O317" s="125"/>
    </row>
    <row r="318" spans="1:15" ht="15" customHeight="1" x14ac:dyDescent="0.3">
      <c r="A318" s="90" t="s">
        <v>191</v>
      </c>
      <c r="B318" s="90" t="s">
        <v>739</v>
      </c>
      <c r="C318" s="90" t="s">
        <v>740</v>
      </c>
      <c r="D318" s="90" t="s">
        <v>928</v>
      </c>
      <c r="E318" s="90" t="s">
        <v>929</v>
      </c>
      <c r="F318" s="90" t="s">
        <v>930</v>
      </c>
      <c r="G318" s="89">
        <v>21989.800000000003</v>
      </c>
      <c r="H318" s="141" t="str">
        <f t="shared" si="22"/>
        <v>155061315880</v>
      </c>
      <c r="I318" s="142">
        <v>0</v>
      </c>
      <c r="J318" s="142" t="s">
        <v>1863</v>
      </c>
      <c r="K318" s="143">
        <f t="shared" si="19"/>
        <v>0</v>
      </c>
      <c r="L318" s="144">
        <f t="shared" si="20"/>
        <v>21989.800000000003</v>
      </c>
      <c r="M318" s="144">
        <f t="shared" si="21"/>
        <v>21989.800000000003</v>
      </c>
      <c r="N318" s="145" t="s">
        <v>911</v>
      </c>
      <c r="O318" s="125"/>
    </row>
    <row r="319" spans="1:15" ht="15" customHeight="1" x14ac:dyDescent="0.3">
      <c r="A319" s="90" t="s">
        <v>191</v>
      </c>
      <c r="B319" s="90" t="s">
        <v>739</v>
      </c>
      <c r="C319" s="90" t="s">
        <v>740</v>
      </c>
      <c r="D319" s="90" t="s">
        <v>931</v>
      </c>
      <c r="E319" s="90" t="s">
        <v>932</v>
      </c>
      <c r="F319" s="90" t="s">
        <v>933</v>
      </c>
      <c r="G319" s="89">
        <v>22888.480000000007</v>
      </c>
      <c r="H319" s="141" t="str">
        <f t="shared" si="22"/>
        <v>155061512880</v>
      </c>
      <c r="I319" s="142">
        <v>0</v>
      </c>
      <c r="J319" s="142" t="s">
        <v>1863</v>
      </c>
      <c r="K319" s="143">
        <f t="shared" si="19"/>
        <v>0</v>
      </c>
      <c r="L319" s="144">
        <f t="shared" si="20"/>
        <v>22888.480000000007</v>
      </c>
      <c r="M319" s="144">
        <f t="shared" si="21"/>
        <v>22888.480000000007</v>
      </c>
      <c r="N319" s="145" t="s">
        <v>911</v>
      </c>
      <c r="O319" s="125"/>
    </row>
    <row r="320" spans="1:15" ht="15" customHeight="1" x14ac:dyDescent="0.3">
      <c r="A320" s="90" t="s">
        <v>191</v>
      </c>
      <c r="B320" s="90" t="s">
        <v>763</v>
      </c>
      <c r="C320" s="90" t="s">
        <v>764</v>
      </c>
      <c r="D320" s="90" t="s">
        <v>928</v>
      </c>
      <c r="E320" s="90" t="s">
        <v>929</v>
      </c>
      <c r="F320" s="90" t="s">
        <v>930</v>
      </c>
      <c r="G320" s="89">
        <v>23730.289999999997</v>
      </c>
      <c r="H320" s="141" t="str">
        <f t="shared" si="22"/>
        <v>155201315880</v>
      </c>
      <c r="I320" s="142">
        <v>0.11209999999999998</v>
      </c>
      <c r="J320" s="142" t="s">
        <v>1864</v>
      </c>
      <c r="K320" s="143">
        <f t="shared" si="19"/>
        <v>2660.165508999999</v>
      </c>
      <c r="L320" s="144">
        <f t="shared" si="20"/>
        <v>21070.124490999999</v>
      </c>
      <c r="M320" s="144">
        <f t="shared" si="21"/>
        <v>23730.289999999997</v>
      </c>
      <c r="N320" s="145" t="s">
        <v>911</v>
      </c>
      <c r="O320" s="125"/>
    </row>
    <row r="321" spans="1:15" ht="15" customHeight="1" x14ac:dyDescent="0.3">
      <c r="A321" s="90" t="s">
        <v>191</v>
      </c>
      <c r="B321" s="90" t="s">
        <v>688</v>
      </c>
      <c r="C321" s="90" t="s">
        <v>689</v>
      </c>
      <c r="D321" s="90" t="s">
        <v>925</v>
      </c>
      <c r="E321" s="90" t="s">
        <v>926</v>
      </c>
      <c r="F321" s="90" t="s">
        <v>927</v>
      </c>
      <c r="G321" s="89">
        <v>28432.23</v>
      </c>
      <c r="H321" s="141" t="str">
        <f t="shared" si="22"/>
        <v>111001680880</v>
      </c>
      <c r="I321" s="142">
        <v>8.3600000000000008E-2</v>
      </c>
      <c r="J321" s="142" t="s">
        <v>1868</v>
      </c>
      <c r="K321" s="143">
        <f t="shared" si="19"/>
        <v>2376.934428</v>
      </c>
      <c r="L321" s="144">
        <f t="shared" si="20"/>
        <v>26055.295571999999</v>
      </c>
      <c r="M321" s="144">
        <f t="shared" si="21"/>
        <v>28432.23</v>
      </c>
      <c r="N321" s="145" t="s">
        <v>911</v>
      </c>
      <c r="O321" s="125"/>
    </row>
    <row r="322" spans="1:15" ht="15" customHeight="1" x14ac:dyDescent="0.3">
      <c r="A322" s="90" t="s">
        <v>191</v>
      </c>
      <c r="B322" s="90" t="s">
        <v>684</v>
      </c>
      <c r="C322" s="90" t="s">
        <v>685</v>
      </c>
      <c r="D322" s="90" t="s">
        <v>928</v>
      </c>
      <c r="E322" s="90" t="s">
        <v>929</v>
      </c>
      <c r="F322" s="90" t="s">
        <v>930</v>
      </c>
      <c r="G322" s="89">
        <v>38021.1</v>
      </c>
      <c r="H322" s="141" t="str">
        <f t="shared" si="22"/>
        <v>151001315880</v>
      </c>
      <c r="I322" s="142">
        <v>0</v>
      </c>
      <c r="J322" s="142" t="s">
        <v>1863</v>
      </c>
      <c r="K322" s="143">
        <f t="shared" si="19"/>
        <v>0</v>
      </c>
      <c r="L322" s="144">
        <f t="shared" si="20"/>
        <v>38021.1</v>
      </c>
      <c r="M322" s="144">
        <f t="shared" si="21"/>
        <v>38021.1</v>
      </c>
      <c r="N322" s="145" t="s">
        <v>911</v>
      </c>
      <c r="O322" s="125"/>
    </row>
    <row r="323" spans="1:15" ht="15" customHeight="1" x14ac:dyDescent="0.3">
      <c r="A323" s="90" t="s">
        <v>191</v>
      </c>
      <c r="B323" s="90" t="s">
        <v>688</v>
      </c>
      <c r="C323" s="90" t="s">
        <v>689</v>
      </c>
      <c r="D323" s="90" t="s">
        <v>912</v>
      </c>
      <c r="E323" s="90" t="s">
        <v>769</v>
      </c>
      <c r="F323" s="90" t="s">
        <v>913</v>
      </c>
      <c r="G323" s="89">
        <v>61322.01</v>
      </c>
      <c r="H323" s="141" t="str">
        <f t="shared" si="22"/>
        <v>111001670880</v>
      </c>
      <c r="I323" s="142">
        <v>8.3600000000000008E-2</v>
      </c>
      <c r="J323" s="142" t="s">
        <v>1865</v>
      </c>
      <c r="K323" s="143">
        <f t="shared" si="19"/>
        <v>5126.5200360000008</v>
      </c>
      <c r="L323" s="144">
        <f t="shared" si="20"/>
        <v>56195.489964</v>
      </c>
      <c r="M323" s="144">
        <f t="shared" si="21"/>
        <v>61322.01</v>
      </c>
      <c r="N323" s="145" t="s">
        <v>911</v>
      </c>
      <c r="O323" s="125"/>
    </row>
    <row r="324" spans="1:15" ht="15" customHeight="1" x14ac:dyDescent="0.3">
      <c r="A324" s="90" t="s">
        <v>191</v>
      </c>
      <c r="B324" s="90" t="s">
        <v>819</v>
      </c>
      <c r="C324" s="90" t="s">
        <v>820</v>
      </c>
      <c r="D324" s="90" t="s">
        <v>916</v>
      </c>
      <c r="E324" s="90" t="s">
        <v>917</v>
      </c>
      <c r="F324" s="90" t="s">
        <v>918</v>
      </c>
      <c r="G324" s="89">
        <v>68426.47</v>
      </c>
      <c r="H324" s="141" t="str">
        <f t="shared" si="22"/>
        <v>135101580880</v>
      </c>
      <c r="I324" s="142">
        <v>0.11160000000000003</v>
      </c>
      <c r="J324" s="142" t="s">
        <v>1871</v>
      </c>
      <c r="K324" s="143">
        <f t="shared" si="19"/>
        <v>7636.3940520000024</v>
      </c>
      <c r="L324" s="144">
        <f t="shared" si="20"/>
        <v>60790.075947999998</v>
      </c>
      <c r="M324" s="144">
        <f t="shared" si="21"/>
        <v>68426.47</v>
      </c>
      <c r="N324" s="145" t="s">
        <v>911</v>
      </c>
      <c r="O324" s="125"/>
    </row>
    <row r="325" spans="1:15" ht="15" customHeight="1" x14ac:dyDescent="0.3">
      <c r="A325" s="90" t="s">
        <v>191</v>
      </c>
      <c r="B325" s="90" t="s">
        <v>688</v>
      </c>
      <c r="C325" s="90" t="s">
        <v>689</v>
      </c>
      <c r="D325" s="90" t="s">
        <v>922</v>
      </c>
      <c r="E325" s="90" t="s">
        <v>923</v>
      </c>
      <c r="F325" s="90" t="s">
        <v>924</v>
      </c>
      <c r="G325" s="89">
        <v>92347.569999999992</v>
      </c>
      <c r="H325" s="141" t="str">
        <f t="shared" si="22"/>
        <v>111001440880</v>
      </c>
      <c r="I325" s="142">
        <v>8.3600000000000008E-2</v>
      </c>
      <c r="J325" s="142" t="s">
        <v>1865</v>
      </c>
      <c r="K325" s="143">
        <f t="shared" si="19"/>
        <v>7720.2568520000004</v>
      </c>
      <c r="L325" s="144">
        <f t="shared" si="20"/>
        <v>84627.313147999987</v>
      </c>
      <c r="M325" s="144">
        <f t="shared" si="21"/>
        <v>92347.569999999992</v>
      </c>
      <c r="N325" s="145" t="s">
        <v>911</v>
      </c>
      <c r="O325" s="125"/>
    </row>
    <row r="326" spans="1:15" ht="15" customHeight="1" x14ac:dyDescent="0.3">
      <c r="A326" s="90" t="s">
        <v>191</v>
      </c>
      <c r="B326" s="90" t="s">
        <v>688</v>
      </c>
      <c r="C326" s="90" t="s">
        <v>689</v>
      </c>
      <c r="D326" s="90" t="s">
        <v>928</v>
      </c>
      <c r="E326" s="90" t="s">
        <v>929</v>
      </c>
      <c r="F326" s="90" t="s">
        <v>930</v>
      </c>
      <c r="G326" s="89">
        <v>95469.360000000015</v>
      </c>
      <c r="H326" s="141" t="str">
        <f t="shared" si="22"/>
        <v>111001315880</v>
      </c>
      <c r="I326" s="142">
        <v>8.3600000000000008E-2</v>
      </c>
      <c r="J326" s="142" t="s">
        <v>1865</v>
      </c>
      <c r="K326" s="143">
        <f t="shared" si="19"/>
        <v>7981.2384960000018</v>
      </c>
      <c r="L326" s="144">
        <f t="shared" si="20"/>
        <v>87488.12150400001</v>
      </c>
      <c r="M326" s="144">
        <f t="shared" si="21"/>
        <v>95469.360000000015</v>
      </c>
      <c r="N326" s="145" t="s">
        <v>911</v>
      </c>
      <c r="O326" s="125"/>
    </row>
    <row r="327" spans="1:15" ht="15" customHeight="1" x14ac:dyDescent="0.3">
      <c r="A327" s="90" t="s">
        <v>191</v>
      </c>
      <c r="B327" s="90" t="s">
        <v>739</v>
      </c>
      <c r="C327" s="90" t="s">
        <v>740</v>
      </c>
      <c r="D327" s="90" t="s">
        <v>916</v>
      </c>
      <c r="E327" s="90" t="s">
        <v>917</v>
      </c>
      <c r="F327" s="90" t="s">
        <v>918</v>
      </c>
      <c r="G327" s="89">
        <v>95508.12</v>
      </c>
      <c r="H327" s="141" t="str">
        <f t="shared" si="22"/>
        <v>155061580880</v>
      </c>
      <c r="I327" s="142">
        <v>0</v>
      </c>
      <c r="J327" s="142" t="s">
        <v>1863</v>
      </c>
      <c r="K327" s="143">
        <f t="shared" si="19"/>
        <v>0</v>
      </c>
      <c r="L327" s="144">
        <f t="shared" si="20"/>
        <v>95508.12</v>
      </c>
      <c r="M327" s="144">
        <f t="shared" si="21"/>
        <v>95508.12</v>
      </c>
      <c r="N327" s="145" t="s">
        <v>911</v>
      </c>
      <c r="O327" s="125"/>
    </row>
    <row r="328" spans="1:15" ht="15" customHeight="1" x14ac:dyDescent="0.3">
      <c r="A328" s="90" t="s">
        <v>191</v>
      </c>
      <c r="B328" s="90" t="s">
        <v>826</v>
      </c>
      <c r="C328" s="90" t="s">
        <v>827</v>
      </c>
      <c r="D328" s="90" t="s">
        <v>934</v>
      </c>
      <c r="E328" s="90" t="s">
        <v>704</v>
      </c>
      <c r="F328" s="90" t="s">
        <v>935</v>
      </c>
      <c r="G328" s="89">
        <v>108026.93999999997</v>
      </c>
      <c r="H328" s="141" t="str">
        <f t="shared" si="22"/>
        <v>162001505880</v>
      </c>
      <c r="I328" s="142">
        <v>0.11209999999999998</v>
      </c>
      <c r="J328" s="142" t="s">
        <v>1864</v>
      </c>
      <c r="K328" s="143">
        <f t="shared" si="19"/>
        <v>12109.819973999995</v>
      </c>
      <c r="L328" s="144">
        <f t="shared" si="20"/>
        <v>95917.120025999975</v>
      </c>
      <c r="M328" s="144">
        <f t="shared" si="21"/>
        <v>108026.93999999997</v>
      </c>
      <c r="N328" s="145" t="s">
        <v>911</v>
      </c>
      <c r="O328" s="125"/>
    </row>
    <row r="329" spans="1:15" ht="15" customHeight="1" x14ac:dyDescent="0.3">
      <c r="A329" s="90" t="s">
        <v>191</v>
      </c>
      <c r="B329" s="90" t="s">
        <v>819</v>
      </c>
      <c r="C329" s="90" t="s">
        <v>820</v>
      </c>
      <c r="D329" s="90" t="s">
        <v>931</v>
      </c>
      <c r="E329" s="90" t="s">
        <v>932</v>
      </c>
      <c r="F329" s="90" t="s">
        <v>933</v>
      </c>
      <c r="G329" s="89">
        <v>161366.43</v>
      </c>
      <c r="H329" s="141" t="str">
        <f t="shared" si="22"/>
        <v>135101512880</v>
      </c>
      <c r="I329" s="142">
        <v>0.11160000000000003</v>
      </c>
      <c r="J329" s="142" t="s">
        <v>1871</v>
      </c>
      <c r="K329" s="143">
        <f t="shared" si="19"/>
        <v>18008.493588000005</v>
      </c>
      <c r="L329" s="144">
        <f t="shared" si="20"/>
        <v>143357.93641199998</v>
      </c>
      <c r="M329" s="144">
        <f t="shared" si="21"/>
        <v>161366.43</v>
      </c>
      <c r="N329" s="145" t="s">
        <v>911</v>
      </c>
      <c r="O329" s="125"/>
    </row>
    <row r="330" spans="1:15" ht="15" customHeight="1" x14ac:dyDescent="0.3">
      <c r="A330" s="90" t="s">
        <v>191</v>
      </c>
      <c r="B330" s="90" t="s">
        <v>819</v>
      </c>
      <c r="C330" s="90" t="s">
        <v>820</v>
      </c>
      <c r="D330" s="90" t="s">
        <v>928</v>
      </c>
      <c r="E330" s="90" t="s">
        <v>929</v>
      </c>
      <c r="F330" s="90" t="s">
        <v>930</v>
      </c>
      <c r="G330" s="89">
        <v>673208.44</v>
      </c>
      <c r="H330" s="141" t="str">
        <f t="shared" si="22"/>
        <v>135101315880</v>
      </c>
      <c r="I330" s="142">
        <v>0.11160000000000003</v>
      </c>
      <c r="J330" s="142" t="s">
        <v>1871</v>
      </c>
      <c r="K330" s="143">
        <f t="shared" si="19"/>
        <v>75130.061904000017</v>
      </c>
      <c r="L330" s="144">
        <f t="shared" si="20"/>
        <v>598078.37809599994</v>
      </c>
      <c r="M330" s="144">
        <f t="shared" si="21"/>
        <v>673208.44</v>
      </c>
      <c r="N330" s="145" t="s">
        <v>911</v>
      </c>
      <c r="O330" s="125"/>
    </row>
    <row r="331" spans="1:15" ht="15" customHeight="1" x14ac:dyDescent="0.3">
      <c r="A331" s="90" t="s">
        <v>193</v>
      </c>
      <c r="B331" s="90" t="s">
        <v>939</v>
      </c>
      <c r="C331" s="90" t="s">
        <v>940</v>
      </c>
      <c r="D331" s="90" t="s">
        <v>941</v>
      </c>
      <c r="E331" s="90" t="s">
        <v>942</v>
      </c>
      <c r="F331" s="90" t="s">
        <v>943</v>
      </c>
      <c r="G331" s="89">
        <v>0</v>
      </c>
      <c r="H331" s="141" t="str">
        <f t="shared" si="22"/>
        <v>410201550881</v>
      </c>
      <c r="I331" s="142">
        <v>0.11160000000000003</v>
      </c>
      <c r="J331" s="142" t="s">
        <v>1872</v>
      </c>
      <c r="K331" s="143">
        <f t="shared" si="19"/>
        <v>0</v>
      </c>
      <c r="L331" s="144">
        <f t="shared" si="20"/>
        <v>0</v>
      </c>
      <c r="M331" s="144">
        <f t="shared" si="21"/>
        <v>0</v>
      </c>
      <c r="N331" s="145" t="s">
        <v>944</v>
      </c>
      <c r="O331" s="125"/>
    </row>
    <row r="332" spans="1:15" ht="15" customHeight="1" x14ac:dyDescent="0.3">
      <c r="A332" s="90" t="s">
        <v>193</v>
      </c>
      <c r="B332" s="90" t="s">
        <v>945</v>
      </c>
      <c r="C332" s="90" t="s">
        <v>946</v>
      </c>
      <c r="D332" s="90" t="s">
        <v>941</v>
      </c>
      <c r="E332" s="90" t="s">
        <v>942</v>
      </c>
      <c r="F332" s="90" t="s">
        <v>943</v>
      </c>
      <c r="G332" s="89">
        <v>477.62</v>
      </c>
      <c r="H332" s="141" t="str">
        <f t="shared" si="22"/>
        <v>520101550881</v>
      </c>
      <c r="I332" s="142">
        <v>0.11209999999999998</v>
      </c>
      <c r="J332" s="142" t="s">
        <v>308</v>
      </c>
      <c r="K332" s="143">
        <f t="shared" si="19"/>
        <v>53.541201999999991</v>
      </c>
      <c r="L332" s="144">
        <f t="shared" si="20"/>
        <v>424.07879800000001</v>
      </c>
      <c r="M332" s="144">
        <f t="shared" si="21"/>
        <v>477.62</v>
      </c>
      <c r="N332" s="145" t="s">
        <v>944</v>
      </c>
      <c r="O332" s="125"/>
    </row>
    <row r="333" spans="1:15" ht="15" customHeight="1" x14ac:dyDescent="0.3">
      <c r="A333" s="90" t="s">
        <v>193</v>
      </c>
      <c r="B333" s="90" t="s">
        <v>947</v>
      </c>
      <c r="C333" s="90" t="s">
        <v>948</v>
      </c>
      <c r="D333" s="90" t="s">
        <v>941</v>
      </c>
      <c r="E333" s="90" t="s">
        <v>942</v>
      </c>
      <c r="F333" s="90" t="s">
        <v>943</v>
      </c>
      <c r="G333" s="89">
        <v>42337.169999999991</v>
      </c>
      <c r="H333" s="141" t="str">
        <f t="shared" si="22"/>
        <v>161701550881</v>
      </c>
      <c r="I333" s="142">
        <v>0.25149999999999995</v>
      </c>
      <c r="J333" s="142" t="s">
        <v>1883</v>
      </c>
      <c r="K333" s="143">
        <f t="shared" si="19"/>
        <v>10647.798254999996</v>
      </c>
      <c r="L333" s="144">
        <f t="shared" si="20"/>
        <v>31689.371744999997</v>
      </c>
      <c r="M333" s="144">
        <f t="shared" si="21"/>
        <v>42337.169999999991</v>
      </c>
      <c r="N333" s="145" t="s">
        <v>944</v>
      </c>
      <c r="O333" s="125"/>
    </row>
    <row r="334" spans="1:15" ht="15" customHeight="1" x14ac:dyDescent="0.3">
      <c r="A334" s="90" t="s">
        <v>193</v>
      </c>
      <c r="B334" s="90" t="s">
        <v>949</v>
      </c>
      <c r="C334" s="90" t="s">
        <v>950</v>
      </c>
      <c r="D334" s="90" t="s">
        <v>941</v>
      </c>
      <c r="E334" s="90" t="s">
        <v>942</v>
      </c>
      <c r="F334" s="90" t="s">
        <v>943</v>
      </c>
      <c r="G334" s="89">
        <v>181935.93999999997</v>
      </c>
      <c r="H334" s="141" t="str">
        <f t="shared" si="22"/>
        <v>510201550881</v>
      </c>
      <c r="I334" s="142">
        <v>0.11209999999999998</v>
      </c>
      <c r="J334" s="142" t="s">
        <v>1864</v>
      </c>
      <c r="K334" s="143">
        <f t="shared" si="19"/>
        <v>20395.018873999994</v>
      </c>
      <c r="L334" s="144">
        <f t="shared" si="20"/>
        <v>161540.92112599997</v>
      </c>
      <c r="M334" s="144">
        <f t="shared" si="21"/>
        <v>181935.93999999997</v>
      </c>
      <c r="N334" s="145" t="s">
        <v>944</v>
      </c>
      <c r="O334" s="125"/>
    </row>
    <row r="335" spans="1:15" ht="15" customHeight="1" x14ac:dyDescent="0.3">
      <c r="A335" s="90" t="s">
        <v>194</v>
      </c>
      <c r="B335" s="90" t="s">
        <v>814</v>
      </c>
      <c r="C335" s="90" t="s">
        <v>815</v>
      </c>
      <c r="D335" s="90" t="s">
        <v>951</v>
      </c>
      <c r="E335" s="90" t="s">
        <v>708</v>
      </c>
      <c r="F335" s="90" t="s">
        <v>952</v>
      </c>
      <c r="G335" s="89">
        <v>-17160.889999999992</v>
      </c>
      <c r="H335" s="141" t="str">
        <f t="shared" si="22"/>
        <v>123591630885</v>
      </c>
      <c r="I335" s="142">
        <v>1</v>
      </c>
      <c r="J335" s="142" t="s">
        <v>1484</v>
      </c>
      <c r="K335" s="143">
        <f t="shared" si="19"/>
        <v>-17160.889999999992</v>
      </c>
      <c r="L335" s="144">
        <f t="shared" si="20"/>
        <v>0</v>
      </c>
      <c r="M335" s="144">
        <f t="shared" si="21"/>
        <v>-17160.889999999992</v>
      </c>
      <c r="N335" s="145" t="s">
        <v>953</v>
      </c>
      <c r="O335" s="125"/>
    </row>
    <row r="336" spans="1:15" ht="15" customHeight="1" x14ac:dyDescent="0.3">
      <c r="A336" s="90" t="s">
        <v>194</v>
      </c>
      <c r="B336" s="90" t="s">
        <v>819</v>
      </c>
      <c r="C336" s="90" t="s">
        <v>820</v>
      </c>
      <c r="D336" s="90" t="s">
        <v>951</v>
      </c>
      <c r="E336" s="90" t="s">
        <v>708</v>
      </c>
      <c r="F336" s="90" t="s">
        <v>952</v>
      </c>
      <c r="G336" s="89">
        <v>-3866.4700000000003</v>
      </c>
      <c r="H336" s="141" t="str">
        <f t="shared" si="22"/>
        <v>135101630885</v>
      </c>
      <c r="I336" s="142">
        <v>0.11160000000000003</v>
      </c>
      <c r="J336" s="142" t="s">
        <v>1871</v>
      </c>
      <c r="K336" s="143">
        <f t="shared" si="19"/>
        <v>-431.49805200000014</v>
      </c>
      <c r="L336" s="144">
        <f t="shared" si="20"/>
        <v>-3434.9719480000003</v>
      </c>
      <c r="M336" s="144">
        <f t="shared" si="21"/>
        <v>-3866.4700000000003</v>
      </c>
      <c r="N336" s="145" t="s">
        <v>953</v>
      </c>
      <c r="O336" s="125"/>
    </row>
    <row r="337" spans="1:15" ht="15" customHeight="1" x14ac:dyDescent="0.3">
      <c r="A337" s="90" t="s">
        <v>194</v>
      </c>
      <c r="B337" s="90" t="s">
        <v>954</v>
      </c>
      <c r="C337" s="90" t="s">
        <v>955</v>
      </c>
      <c r="D337" s="90" t="s">
        <v>951</v>
      </c>
      <c r="E337" s="90" t="s">
        <v>708</v>
      </c>
      <c r="F337" s="90" t="s">
        <v>952</v>
      </c>
      <c r="G337" s="89">
        <v>-1222.56</v>
      </c>
      <c r="H337" s="141" t="str">
        <f t="shared" si="22"/>
        <v>164001630885</v>
      </c>
      <c r="I337" s="142">
        <v>0.11209999999999998</v>
      </c>
      <c r="J337" s="142" t="s">
        <v>308</v>
      </c>
      <c r="K337" s="143">
        <f t="shared" si="19"/>
        <v>-137.04897599999995</v>
      </c>
      <c r="L337" s="144">
        <f t="shared" si="20"/>
        <v>-1085.5110239999999</v>
      </c>
      <c r="M337" s="144">
        <f t="shared" si="21"/>
        <v>-1222.56</v>
      </c>
      <c r="N337" s="145" t="s">
        <v>953</v>
      </c>
      <c r="O337" s="125"/>
    </row>
    <row r="338" spans="1:15" ht="15" customHeight="1" x14ac:dyDescent="0.3">
      <c r="A338" s="90" t="s">
        <v>194</v>
      </c>
      <c r="B338" s="90" t="s">
        <v>739</v>
      </c>
      <c r="C338" s="90" t="s">
        <v>740</v>
      </c>
      <c r="D338" s="90" t="s">
        <v>956</v>
      </c>
      <c r="E338" s="90" t="s">
        <v>932</v>
      </c>
      <c r="F338" s="90" t="s">
        <v>957</v>
      </c>
      <c r="G338" s="89">
        <v>-525.71</v>
      </c>
      <c r="H338" s="141" t="str">
        <f t="shared" si="22"/>
        <v>155061512885</v>
      </c>
      <c r="I338" s="142">
        <v>0</v>
      </c>
      <c r="J338" s="142" t="s">
        <v>1863</v>
      </c>
      <c r="K338" s="143">
        <f t="shared" si="19"/>
        <v>0</v>
      </c>
      <c r="L338" s="144">
        <f t="shared" si="20"/>
        <v>-525.71</v>
      </c>
      <c r="M338" s="144">
        <f t="shared" si="21"/>
        <v>-525.71</v>
      </c>
      <c r="N338" s="145" t="s">
        <v>953</v>
      </c>
      <c r="O338" s="125"/>
    </row>
    <row r="339" spans="1:15" ht="15" customHeight="1" x14ac:dyDescent="0.3">
      <c r="A339" s="90" t="s">
        <v>194</v>
      </c>
      <c r="B339" s="90" t="s">
        <v>758</v>
      </c>
      <c r="C339" s="90" t="s">
        <v>759</v>
      </c>
      <c r="D339" s="90" t="s">
        <v>958</v>
      </c>
      <c r="E339" s="90" t="s">
        <v>704</v>
      </c>
      <c r="F339" s="90" t="s">
        <v>959</v>
      </c>
      <c r="G339" s="89">
        <v>0</v>
      </c>
      <c r="H339" s="141" t="str">
        <f t="shared" si="22"/>
        <v>155051505885</v>
      </c>
      <c r="I339" s="142">
        <v>0.11209999999999998</v>
      </c>
      <c r="J339" s="142" t="s">
        <v>1864</v>
      </c>
      <c r="K339" s="143">
        <f t="shared" si="19"/>
        <v>0</v>
      </c>
      <c r="L339" s="144">
        <f t="shared" si="20"/>
        <v>0</v>
      </c>
      <c r="M339" s="144">
        <f t="shared" si="21"/>
        <v>0</v>
      </c>
      <c r="N339" s="145" t="s">
        <v>953</v>
      </c>
      <c r="O339" s="125"/>
    </row>
    <row r="340" spans="1:15" ht="15" customHeight="1" x14ac:dyDescent="0.3">
      <c r="A340" s="90" t="s">
        <v>194</v>
      </c>
      <c r="B340" s="90" t="s">
        <v>831</v>
      </c>
      <c r="C340" s="90" t="s">
        <v>832</v>
      </c>
      <c r="D340" s="90" t="s">
        <v>958</v>
      </c>
      <c r="E340" s="90" t="s">
        <v>704</v>
      </c>
      <c r="F340" s="90" t="s">
        <v>959</v>
      </c>
      <c r="G340" s="89">
        <v>0</v>
      </c>
      <c r="H340" s="141" t="str">
        <f t="shared" si="22"/>
        <v>155091505885</v>
      </c>
      <c r="I340" s="142">
        <v>0.11209999999999998</v>
      </c>
      <c r="J340" s="142" t="s">
        <v>1864</v>
      </c>
      <c r="K340" s="143">
        <f t="shared" si="19"/>
        <v>0</v>
      </c>
      <c r="L340" s="144">
        <f t="shared" si="20"/>
        <v>0</v>
      </c>
      <c r="M340" s="144">
        <f t="shared" si="21"/>
        <v>0</v>
      </c>
      <c r="N340" s="145" t="s">
        <v>953</v>
      </c>
      <c r="O340" s="125"/>
    </row>
    <row r="341" spans="1:15" ht="15" customHeight="1" x14ac:dyDescent="0.3">
      <c r="A341" s="90" t="s">
        <v>194</v>
      </c>
      <c r="B341" s="90" t="s">
        <v>814</v>
      </c>
      <c r="C341" s="90" t="s">
        <v>815</v>
      </c>
      <c r="D341" s="90" t="s">
        <v>960</v>
      </c>
      <c r="E341" s="90" t="s">
        <v>961</v>
      </c>
      <c r="F341" s="90" t="s">
        <v>952</v>
      </c>
      <c r="G341" s="89">
        <v>2.6</v>
      </c>
      <c r="H341" s="141" t="str">
        <f t="shared" si="22"/>
        <v>123591633885</v>
      </c>
      <c r="I341" s="142">
        <v>1</v>
      </c>
      <c r="J341" s="142" t="s">
        <v>1484</v>
      </c>
      <c r="K341" s="143">
        <f t="shared" si="19"/>
        <v>2.6</v>
      </c>
      <c r="L341" s="144">
        <f t="shared" si="20"/>
        <v>0</v>
      </c>
      <c r="M341" s="144">
        <f t="shared" si="21"/>
        <v>2.6</v>
      </c>
      <c r="N341" s="145" t="s">
        <v>953</v>
      </c>
      <c r="O341" s="125"/>
    </row>
    <row r="342" spans="1:15" ht="15" customHeight="1" x14ac:dyDescent="0.3">
      <c r="A342" s="90" t="s">
        <v>194</v>
      </c>
      <c r="B342" s="90" t="s">
        <v>688</v>
      </c>
      <c r="C342" s="90" t="s">
        <v>689</v>
      </c>
      <c r="D342" s="90" t="s">
        <v>960</v>
      </c>
      <c r="E342" s="90" t="s">
        <v>961</v>
      </c>
      <c r="F342" s="90" t="s">
        <v>952</v>
      </c>
      <c r="G342" s="89">
        <v>16.14</v>
      </c>
      <c r="H342" s="141" t="str">
        <f t="shared" si="22"/>
        <v>111001633885</v>
      </c>
      <c r="I342" s="142">
        <v>8.3600000000000008E-2</v>
      </c>
      <c r="J342" s="142" t="s">
        <v>1865</v>
      </c>
      <c r="K342" s="143">
        <f t="shared" si="19"/>
        <v>1.3493040000000003</v>
      </c>
      <c r="L342" s="144">
        <f t="shared" si="20"/>
        <v>14.790696000000001</v>
      </c>
      <c r="M342" s="144">
        <f t="shared" si="21"/>
        <v>16.14</v>
      </c>
      <c r="N342" s="145" t="s">
        <v>953</v>
      </c>
      <c r="O342" s="125"/>
    </row>
    <row r="343" spans="1:15" ht="15" customHeight="1" x14ac:dyDescent="0.3">
      <c r="A343" s="90" t="s">
        <v>194</v>
      </c>
      <c r="B343" s="90" t="s">
        <v>893</v>
      </c>
      <c r="C343" s="90" t="s">
        <v>894</v>
      </c>
      <c r="D343" s="90" t="s">
        <v>960</v>
      </c>
      <c r="E343" s="90" t="s">
        <v>961</v>
      </c>
      <c r="F343" s="90" t="s">
        <v>952</v>
      </c>
      <c r="G343" s="89">
        <v>16.14</v>
      </c>
      <c r="H343" s="141" t="str">
        <f t="shared" si="22"/>
        <v>134001633885</v>
      </c>
      <c r="I343" s="142">
        <v>0.11160000000000003</v>
      </c>
      <c r="J343" s="142" t="s">
        <v>1882</v>
      </c>
      <c r="K343" s="143">
        <f t="shared" si="19"/>
        <v>1.8012240000000006</v>
      </c>
      <c r="L343" s="144">
        <f t="shared" si="20"/>
        <v>14.338775999999999</v>
      </c>
      <c r="M343" s="144">
        <f t="shared" si="21"/>
        <v>16.14</v>
      </c>
      <c r="N343" s="145" t="s">
        <v>953</v>
      </c>
      <c r="O343" s="125"/>
    </row>
    <row r="344" spans="1:15" ht="15" customHeight="1" x14ac:dyDescent="0.3">
      <c r="A344" s="90" t="s">
        <v>194</v>
      </c>
      <c r="B344" s="90" t="s">
        <v>962</v>
      </c>
      <c r="C344" s="90" t="s">
        <v>963</v>
      </c>
      <c r="D344" s="90" t="s">
        <v>958</v>
      </c>
      <c r="E344" s="90" t="s">
        <v>704</v>
      </c>
      <c r="F344" s="90" t="s">
        <v>959</v>
      </c>
      <c r="G344" s="89">
        <v>20.75</v>
      </c>
      <c r="H344" s="141" t="str">
        <f t="shared" si="22"/>
        <v>727001505885</v>
      </c>
      <c r="I344" s="142">
        <v>0.11209999999999998</v>
      </c>
      <c r="J344" s="142" t="s">
        <v>308</v>
      </c>
      <c r="K344" s="143">
        <f t="shared" ref="K344:K407" si="23">G344*I344</f>
        <v>2.3260749999999994</v>
      </c>
      <c r="L344" s="144">
        <f t="shared" ref="L344:L407" si="24">G344-K344</f>
        <v>18.423925000000001</v>
      </c>
      <c r="M344" s="144">
        <f t="shared" ref="M344:M407" si="25">K344+L344</f>
        <v>20.75</v>
      </c>
      <c r="N344" s="145" t="s">
        <v>953</v>
      </c>
      <c r="O344" s="125"/>
    </row>
    <row r="345" spans="1:15" ht="15" customHeight="1" x14ac:dyDescent="0.3">
      <c r="A345" s="90" t="s">
        <v>194</v>
      </c>
      <c r="B345" s="90" t="s">
        <v>688</v>
      </c>
      <c r="C345" s="90" t="s">
        <v>689</v>
      </c>
      <c r="D345" s="90" t="s">
        <v>951</v>
      </c>
      <c r="E345" s="90" t="s">
        <v>708</v>
      </c>
      <c r="F345" s="90" t="s">
        <v>952</v>
      </c>
      <c r="G345" s="89">
        <v>24.15</v>
      </c>
      <c r="H345" s="141" t="str">
        <f t="shared" ref="H345:H408" si="26">CONCATENATE(B345,RIGHT(D345,4),A345)</f>
        <v>111001630885</v>
      </c>
      <c r="I345" s="142">
        <v>8.3600000000000008E-2</v>
      </c>
      <c r="J345" s="142" t="s">
        <v>1865</v>
      </c>
      <c r="K345" s="143">
        <f t="shared" si="23"/>
        <v>2.0189400000000002</v>
      </c>
      <c r="L345" s="144">
        <f t="shared" si="24"/>
        <v>22.131059999999998</v>
      </c>
      <c r="M345" s="144">
        <f t="shared" si="25"/>
        <v>24.15</v>
      </c>
      <c r="N345" s="145" t="s">
        <v>953</v>
      </c>
      <c r="O345" s="125"/>
    </row>
    <row r="346" spans="1:15" ht="15" customHeight="1" x14ac:dyDescent="0.3">
      <c r="A346" s="90" t="s">
        <v>194</v>
      </c>
      <c r="B346" s="90" t="s">
        <v>819</v>
      </c>
      <c r="C346" s="90" t="s">
        <v>820</v>
      </c>
      <c r="D346" s="90" t="s">
        <v>960</v>
      </c>
      <c r="E346" s="90" t="s">
        <v>961</v>
      </c>
      <c r="F346" s="90" t="s">
        <v>952</v>
      </c>
      <c r="G346" s="89">
        <v>32.270000000000003</v>
      </c>
      <c r="H346" s="141" t="str">
        <f t="shared" si="26"/>
        <v>135101633885</v>
      </c>
      <c r="I346" s="142">
        <v>0.11160000000000003</v>
      </c>
      <c r="J346" s="142" t="s">
        <v>1871</v>
      </c>
      <c r="K346" s="143">
        <f t="shared" si="23"/>
        <v>3.6013320000000015</v>
      </c>
      <c r="L346" s="144">
        <f t="shared" si="24"/>
        <v>28.668668</v>
      </c>
      <c r="M346" s="144">
        <f t="shared" si="25"/>
        <v>32.270000000000003</v>
      </c>
      <c r="N346" s="145" t="s">
        <v>953</v>
      </c>
      <c r="O346" s="125"/>
    </row>
    <row r="347" spans="1:15" ht="15" customHeight="1" x14ac:dyDescent="0.3">
      <c r="A347" s="90" t="s">
        <v>194</v>
      </c>
      <c r="B347" s="90" t="s">
        <v>739</v>
      </c>
      <c r="C347" s="90" t="s">
        <v>740</v>
      </c>
      <c r="D347" s="90" t="s">
        <v>960</v>
      </c>
      <c r="E347" s="90" t="s">
        <v>961</v>
      </c>
      <c r="F347" s="90" t="s">
        <v>952</v>
      </c>
      <c r="G347" s="89">
        <v>57.07</v>
      </c>
      <c r="H347" s="141" t="str">
        <f t="shared" si="26"/>
        <v>155061633885</v>
      </c>
      <c r="I347" s="142">
        <v>0</v>
      </c>
      <c r="J347" s="142" t="s">
        <v>1878</v>
      </c>
      <c r="K347" s="143">
        <f t="shared" si="23"/>
        <v>0</v>
      </c>
      <c r="L347" s="144">
        <f t="shared" si="24"/>
        <v>57.07</v>
      </c>
      <c r="M347" s="144">
        <f t="shared" si="25"/>
        <v>57.07</v>
      </c>
      <c r="N347" s="145" t="s">
        <v>953</v>
      </c>
      <c r="O347" s="125"/>
    </row>
    <row r="348" spans="1:15" ht="15" customHeight="1" x14ac:dyDescent="0.3">
      <c r="A348" s="90" t="s">
        <v>194</v>
      </c>
      <c r="B348" s="90" t="s">
        <v>904</v>
      </c>
      <c r="C348" s="90" t="s">
        <v>905</v>
      </c>
      <c r="D348" s="90" t="s">
        <v>951</v>
      </c>
      <c r="E348" s="90" t="s">
        <v>708</v>
      </c>
      <c r="F348" s="90" t="s">
        <v>952</v>
      </c>
      <c r="G348" s="89">
        <v>100.31</v>
      </c>
      <c r="H348" s="141" t="str">
        <f t="shared" si="26"/>
        <v>155101630885</v>
      </c>
      <c r="I348" s="142">
        <v>0.11209999999999998</v>
      </c>
      <c r="J348" s="142" t="s">
        <v>1864</v>
      </c>
      <c r="K348" s="143">
        <f t="shared" si="23"/>
        <v>11.244750999999997</v>
      </c>
      <c r="L348" s="144">
        <f t="shared" si="24"/>
        <v>89.065249000000009</v>
      </c>
      <c r="M348" s="144">
        <f t="shared" si="25"/>
        <v>100.31</v>
      </c>
      <c r="N348" s="145" t="s">
        <v>953</v>
      </c>
      <c r="O348" s="125"/>
    </row>
    <row r="349" spans="1:15" ht="15" customHeight="1" x14ac:dyDescent="0.3">
      <c r="A349" s="90" t="s">
        <v>194</v>
      </c>
      <c r="B349" s="90" t="s">
        <v>964</v>
      </c>
      <c r="C349" s="90" t="s">
        <v>965</v>
      </c>
      <c r="D349" s="90" t="s">
        <v>951</v>
      </c>
      <c r="E349" s="90" t="s">
        <v>708</v>
      </c>
      <c r="F349" s="90" t="s">
        <v>952</v>
      </c>
      <c r="G349" s="89">
        <v>187.1</v>
      </c>
      <c r="H349" s="141" t="str">
        <f t="shared" si="26"/>
        <v>155011630885</v>
      </c>
      <c r="I349" s="142">
        <v>0.11209999999999998</v>
      </c>
      <c r="J349" s="142" t="s">
        <v>1864</v>
      </c>
      <c r="K349" s="143">
        <f t="shared" si="23"/>
        <v>20.973909999999997</v>
      </c>
      <c r="L349" s="144">
        <f t="shared" si="24"/>
        <v>166.12609</v>
      </c>
      <c r="M349" s="144">
        <f t="shared" si="25"/>
        <v>187.1</v>
      </c>
      <c r="N349" s="145" t="s">
        <v>953</v>
      </c>
      <c r="O349" s="125"/>
    </row>
    <row r="350" spans="1:15" ht="15" customHeight="1" x14ac:dyDescent="0.3">
      <c r="A350" s="90" t="s">
        <v>194</v>
      </c>
      <c r="B350" s="90" t="s">
        <v>966</v>
      </c>
      <c r="C350" s="90" t="s">
        <v>967</v>
      </c>
      <c r="D350" s="90" t="s">
        <v>968</v>
      </c>
      <c r="E350" s="90" t="s">
        <v>969</v>
      </c>
      <c r="F350" s="90" t="s">
        <v>970</v>
      </c>
      <c r="G350" s="89">
        <v>250</v>
      </c>
      <c r="H350" s="141" t="str">
        <f t="shared" si="26"/>
        <v>154001514885</v>
      </c>
      <c r="I350" s="142">
        <v>0.11209999999999998</v>
      </c>
      <c r="J350" s="142" t="s">
        <v>1864</v>
      </c>
      <c r="K350" s="143">
        <f t="shared" si="23"/>
        <v>28.024999999999995</v>
      </c>
      <c r="L350" s="144">
        <f t="shared" si="24"/>
        <v>221.97499999999999</v>
      </c>
      <c r="M350" s="144">
        <f t="shared" si="25"/>
        <v>250</v>
      </c>
      <c r="N350" s="145" t="s">
        <v>953</v>
      </c>
      <c r="O350" s="125"/>
    </row>
    <row r="351" spans="1:15" ht="15" customHeight="1" x14ac:dyDescent="0.3">
      <c r="A351" s="90" t="s">
        <v>194</v>
      </c>
      <c r="B351" s="90" t="s">
        <v>739</v>
      </c>
      <c r="C351" s="90" t="s">
        <v>740</v>
      </c>
      <c r="D351" s="90" t="s">
        <v>958</v>
      </c>
      <c r="E351" s="90" t="s">
        <v>704</v>
      </c>
      <c r="F351" s="90" t="s">
        <v>959</v>
      </c>
      <c r="G351" s="89">
        <v>431.33</v>
      </c>
      <c r="H351" s="141" t="str">
        <f t="shared" si="26"/>
        <v>155061505885</v>
      </c>
      <c r="I351" s="142">
        <v>0</v>
      </c>
      <c r="J351" s="142" t="s">
        <v>1863</v>
      </c>
      <c r="K351" s="143">
        <f t="shared" si="23"/>
        <v>0</v>
      </c>
      <c r="L351" s="144">
        <f t="shared" si="24"/>
        <v>431.33</v>
      </c>
      <c r="M351" s="144">
        <f t="shared" si="25"/>
        <v>431.33</v>
      </c>
      <c r="N351" s="145" t="s">
        <v>953</v>
      </c>
      <c r="O351" s="125"/>
    </row>
    <row r="352" spans="1:15" ht="15" customHeight="1" x14ac:dyDescent="0.3">
      <c r="A352" s="90" t="s">
        <v>194</v>
      </c>
      <c r="B352" s="90" t="s">
        <v>831</v>
      </c>
      <c r="C352" s="90" t="s">
        <v>832</v>
      </c>
      <c r="D352" s="90" t="s">
        <v>971</v>
      </c>
      <c r="E352" s="90" t="s">
        <v>972</v>
      </c>
      <c r="F352" s="90" t="s">
        <v>973</v>
      </c>
      <c r="G352" s="89">
        <v>440.75</v>
      </c>
      <c r="H352" s="141" t="str">
        <f t="shared" si="26"/>
        <v>155091195885</v>
      </c>
      <c r="I352" s="142">
        <v>0.11209999999999998</v>
      </c>
      <c r="J352" s="142" t="s">
        <v>1864</v>
      </c>
      <c r="K352" s="143">
        <f t="shared" si="23"/>
        <v>49.40807499999999</v>
      </c>
      <c r="L352" s="144">
        <f t="shared" si="24"/>
        <v>391.341925</v>
      </c>
      <c r="M352" s="144">
        <f t="shared" si="25"/>
        <v>440.75</v>
      </c>
      <c r="N352" s="145" t="s">
        <v>953</v>
      </c>
      <c r="O352" s="125"/>
    </row>
    <row r="353" spans="1:15" ht="15" customHeight="1" x14ac:dyDescent="0.3">
      <c r="A353" s="90" t="s">
        <v>194</v>
      </c>
      <c r="B353" s="90" t="s">
        <v>763</v>
      </c>
      <c r="C353" s="90" t="s">
        <v>764</v>
      </c>
      <c r="D353" s="90" t="s">
        <v>956</v>
      </c>
      <c r="E353" s="90" t="s">
        <v>932</v>
      </c>
      <c r="F353" s="90" t="s">
        <v>957</v>
      </c>
      <c r="G353" s="89">
        <v>473.4</v>
      </c>
      <c r="H353" s="141" t="str">
        <f t="shared" si="26"/>
        <v>155201512885</v>
      </c>
      <c r="I353" s="142">
        <v>0.11209999999999998</v>
      </c>
      <c r="J353" s="142" t="s">
        <v>1864</v>
      </c>
      <c r="K353" s="143">
        <f t="shared" si="23"/>
        <v>53.068139999999985</v>
      </c>
      <c r="L353" s="144">
        <f t="shared" si="24"/>
        <v>420.33186000000001</v>
      </c>
      <c r="M353" s="144">
        <f t="shared" si="25"/>
        <v>473.4</v>
      </c>
      <c r="N353" s="145" t="s">
        <v>953</v>
      </c>
      <c r="O353" s="125"/>
    </row>
    <row r="354" spans="1:15" ht="15" customHeight="1" x14ac:dyDescent="0.3">
      <c r="A354" s="90" t="s">
        <v>194</v>
      </c>
      <c r="B354" s="90" t="s">
        <v>690</v>
      </c>
      <c r="C354" s="90" t="s">
        <v>691</v>
      </c>
      <c r="D354" s="90" t="s">
        <v>960</v>
      </c>
      <c r="E354" s="90" t="s">
        <v>961</v>
      </c>
      <c r="F354" s="90" t="s">
        <v>952</v>
      </c>
      <c r="G354" s="89">
        <v>516.26</v>
      </c>
      <c r="H354" s="141" t="str">
        <f t="shared" si="26"/>
        <v>141001633885</v>
      </c>
      <c r="I354" s="142">
        <v>1.1399999999999966E-2</v>
      </c>
      <c r="J354" s="142" t="s">
        <v>281</v>
      </c>
      <c r="K354" s="143">
        <f t="shared" si="23"/>
        <v>5.8853639999999823</v>
      </c>
      <c r="L354" s="144">
        <f t="shared" si="24"/>
        <v>510.37463600000001</v>
      </c>
      <c r="M354" s="144">
        <f t="shared" si="25"/>
        <v>516.26</v>
      </c>
      <c r="N354" s="145" t="s">
        <v>953</v>
      </c>
      <c r="O354" s="125"/>
    </row>
    <row r="355" spans="1:15" ht="15" customHeight="1" x14ac:dyDescent="0.3">
      <c r="A355" s="90" t="s">
        <v>194</v>
      </c>
      <c r="B355" s="90" t="s">
        <v>688</v>
      </c>
      <c r="C355" s="90" t="s">
        <v>689</v>
      </c>
      <c r="D355" s="90" t="s">
        <v>956</v>
      </c>
      <c r="E355" s="90" t="s">
        <v>932</v>
      </c>
      <c r="F355" s="90" t="s">
        <v>957</v>
      </c>
      <c r="G355" s="89">
        <v>708.68</v>
      </c>
      <c r="H355" s="141" t="str">
        <f t="shared" si="26"/>
        <v>111001512885</v>
      </c>
      <c r="I355" s="142">
        <v>8.3600000000000008E-2</v>
      </c>
      <c r="J355" s="142" t="s">
        <v>1865</v>
      </c>
      <c r="K355" s="143">
        <f t="shared" si="23"/>
        <v>59.245648000000003</v>
      </c>
      <c r="L355" s="144">
        <f t="shared" si="24"/>
        <v>649.43435199999999</v>
      </c>
      <c r="M355" s="144">
        <f t="shared" si="25"/>
        <v>708.68</v>
      </c>
      <c r="N355" s="145" t="s">
        <v>953</v>
      </c>
      <c r="O355" s="125"/>
    </row>
    <row r="356" spans="1:15" ht="15" customHeight="1" x14ac:dyDescent="0.3">
      <c r="A356" s="90" t="s">
        <v>194</v>
      </c>
      <c r="B356" s="90" t="s">
        <v>966</v>
      </c>
      <c r="C356" s="90" t="s">
        <v>967</v>
      </c>
      <c r="D356" s="90" t="s">
        <v>960</v>
      </c>
      <c r="E356" s="90" t="s">
        <v>961</v>
      </c>
      <c r="F356" s="90" t="s">
        <v>952</v>
      </c>
      <c r="G356" s="89">
        <v>962.28</v>
      </c>
      <c r="H356" s="141" t="str">
        <f t="shared" si="26"/>
        <v>154001633885</v>
      </c>
      <c r="I356" s="142">
        <v>0.11209999999999998</v>
      </c>
      <c r="J356" s="142" t="s">
        <v>1864</v>
      </c>
      <c r="K356" s="143">
        <f t="shared" si="23"/>
        <v>107.87158799999997</v>
      </c>
      <c r="L356" s="144">
        <f t="shared" si="24"/>
        <v>854.408412</v>
      </c>
      <c r="M356" s="144">
        <f t="shared" si="25"/>
        <v>962.28</v>
      </c>
      <c r="N356" s="145" t="s">
        <v>953</v>
      </c>
      <c r="O356" s="125"/>
    </row>
    <row r="357" spans="1:15" ht="15" customHeight="1" x14ac:dyDescent="0.3">
      <c r="A357" s="90" t="s">
        <v>194</v>
      </c>
      <c r="B357" s="90" t="s">
        <v>684</v>
      </c>
      <c r="C357" s="90" t="s">
        <v>685</v>
      </c>
      <c r="D357" s="90" t="s">
        <v>958</v>
      </c>
      <c r="E357" s="90" t="s">
        <v>704</v>
      </c>
      <c r="F357" s="90" t="s">
        <v>959</v>
      </c>
      <c r="G357" s="89">
        <v>1125</v>
      </c>
      <c r="H357" s="141" t="str">
        <f t="shared" si="26"/>
        <v>151001505885</v>
      </c>
      <c r="I357" s="142">
        <v>0</v>
      </c>
      <c r="J357" s="142" t="s">
        <v>1863</v>
      </c>
      <c r="K357" s="143">
        <f t="shared" si="23"/>
        <v>0</v>
      </c>
      <c r="L357" s="144">
        <f t="shared" si="24"/>
        <v>1125</v>
      </c>
      <c r="M357" s="144">
        <f t="shared" si="25"/>
        <v>1125</v>
      </c>
      <c r="N357" s="145" t="s">
        <v>953</v>
      </c>
      <c r="O357" s="125"/>
    </row>
    <row r="358" spans="1:15" ht="15" customHeight="1" x14ac:dyDescent="0.3">
      <c r="A358" s="90" t="s">
        <v>194</v>
      </c>
      <c r="B358" s="90" t="s">
        <v>904</v>
      </c>
      <c r="C358" s="90" t="s">
        <v>905</v>
      </c>
      <c r="D358" s="90" t="s">
        <v>968</v>
      </c>
      <c r="E358" s="90" t="s">
        <v>969</v>
      </c>
      <c r="F358" s="90" t="s">
        <v>970</v>
      </c>
      <c r="G358" s="89">
        <v>2064.58</v>
      </c>
      <c r="H358" s="141" t="str">
        <f t="shared" si="26"/>
        <v>155101514885</v>
      </c>
      <c r="I358" s="142">
        <v>0.11209999999999998</v>
      </c>
      <c r="J358" s="142" t="s">
        <v>1864</v>
      </c>
      <c r="K358" s="143">
        <f t="shared" si="23"/>
        <v>231.43941799999993</v>
      </c>
      <c r="L358" s="144">
        <f t="shared" si="24"/>
        <v>1833.140582</v>
      </c>
      <c r="M358" s="144">
        <f t="shared" si="25"/>
        <v>2064.58</v>
      </c>
      <c r="N358" s="145" t="s">
        <v>953</v>
      </c>
      <c r="O358" s="125"/>
    </row>
    <row r="359" spans="1:15" ht="15" customHeight="1" x14ac:dyDescent="0.3">
      <c r="A359" s="90" t="s">
        <v>194</v>
      </c>
      <c r="B359" s="90" t="s">
        <v>690</v>
      </c>
      <c r="C359" s="90" t="s">
        <v>691</v>
      </c>
      <c r="D359" s="90" t="s">
        <v>958</v>
      </c>
      <c r="E359" s="90" t="s">
        <v>704</v>
      </c>
      <c r="F359" s="90" t="s">
        <v>959</v>
      </c>
      <c r="G359" s="89">
        <v>3192.86</v>
      </c>
      <c r="H359" s="141" t="str">
        <f t="shared" si="26"/>
        <v>141001505885</v>
      </c>
      <c r="I359" s="142">
        <v>1.1399999999999966E-2</v>
      </c>
      <c r="J359" s="142" t="s">
        <v>281</v>
      </c>
      <c r="K359" s="143">
        <f t="shared" si="23"/>
        <v>36.398603999999892</v>
      </c>
      <c r="L359" s="144">
        <f t="shared" si="24"/>
        <v>3156.4613960000001</v>
      </c>
      <c r="M359" s="144">
        <f t="shared" si="25"/>
        <v>3192.86</v>
      </c>
      <c r="N359" s="145" t="s">
        <v>953</v>
      </c>
      <c r="O359" s="125"/>
    </row>
    <row r="360" spans="1:15" ht="15" customHeight="1" x14ac:dyDescent="0.3">
      <c r="A360" s="90" t="s">
        <v>194</v>
      </c>
      <c r="B360" s="90" t="s">
        <v>739</v>
      </c>
      <c r="C360" s="90" t="s">
        <v>740</v>
      </c>
      <c r="D360" s="90" t="s">
        <v>968</v>
      </c>
      <c r="E360" s="90" t="s">
        <v>969</v>
      </c>
      <c r="F360" s="90" t="s">
        <v>970</v>
      </c>
      <c r="G360" s="89">
        <v>7062.7999999999993</v>
      </c>
      <c r="H360" s="141" t="str">
        <f t="shared" si="26"/>
        <v>155061514885</v>
      </c>
      <c r="I360" s="142">
        <v>0</v>
      </c>
      <c r="J360" s="142" t="s">
        <v>1863</v>
      </c>
      <c r="K360" s="143">
        <f t="shared" si="23"/>
        <v>0</v>
      </c>
      <c r="L360" s="144">
        <f t="shared" si="24"/>
        <v>7062.7999999999993</v>
      </c>
      <c r="M360" s="144">
        <f t="shared" si="25"/>
        <v>7062.7999999999993</v>
      </c>
      <c r="N360" s="145" t="s">
        <v>953</v>
      </c>
      <c r="O360" s="125"/>
    </row>
    <row r="361" spans="1:15" ht="15" customHeight="1" x14ac:dyDescent="0.3">
      <c r="A361" s="90" t="s">
        <v>194</v>
      </c>
      <c r="B361" s="90" t="s">
        <v>684</v>
      </c>
      <c r="C361" s="90" t="s">
        <v>685</v>
      </c>
      <c r="D361" s="90" t="s">
        <v>974</v>
      </c>
      <c r="E361" s="90" t="s">
        <v>929</v>
      </c>
      <c r="F361" s="90" t="s">
        <v>975</v>
      </c>
      <c r="G361" s="89">
        <v>8292.630000000001</v>
      </c>
      <c r="H361" s="141" t="str">
        <f t="shared" si="26"/>
        <v>151001315885</v>
      </c>
      <c r="I361" s="142">
        <v>0</v>
      </c>
      <c r="J361" s="142" t="s">
        <v>1863</v>
      </c>
      <c r="K361" s="143">
        <f t="shared" si="23"/>
        <v>0</v>
      </c>
      <c r="L361" s="144">
        <f t="shared" si="24"/>
        <v>8292.630000000001</v>
      </c>
      <c r="M361" s="144">
        <f t="shared" si="25"/>
        <v>8292.630000000001</v>
      </c>
      <c r="N361" s="145" t="s">
        <v>953</v>
      </c>
      <c r="O361" s="125"/>
    </row>
    <row r="362" spans="1:15" ht="15" customHeight="1" x14ac:dyDescent="0.3">
      <c r="A362" s="90" t="s">
        <v>194</v>
      </c>
      <c r="B362" s="90" t="s">
        <v>758</v>
      </c>
      <c r="C362" s="90" t="s">
        <v>759</v>
      </c>
      <c r="D362" s="90" t="s">
        <v>976</v>
      </c>
      <c r="E362" s="90" t="s">
        <v>769</v>
      </c>
      <c r="F362" s="90" t="s">
        <v>977</v>
      </c>
      <c r="G362" s="89">
        <v>8599.7799999999988</v>
      </c>
      <c r="H362" s="141" t="str">
        <f t="shared" si="26"/>
        <v>155051670885</v>
      </c>
      <c r="I362" s="142">
        <v>0</v>
      </c>
      <c r="J362" s="142" t="s">
        <v>1878</v>
      </c>
      <c r="K362" s="143">
        <f t="shared" si="23"/>
        <v>0</v>
      </c>
      <c r="L362" s="144">
        <f t="shared" si="24"/>
        <v>8599.7799999999988</v>
      </c>
      <c r="M362" s="144">
        <f t="shared" si="25"/>
        <v>8599.7799999999988</v>
      </c>
      <c r="N362" s="145" t="s">
        <v>953</v>
      </c>
      <c r="O362" s="125"/>
    </row>
    <row r="363" spans="1:15" ht="15" customHeight="1" x14ac:dyDescent="0.3">
      <c r="A363" s="90" t="s">
        <v>194</v>
      </c>
      <c r="B363" s="90" t="s">
        <v>684</v>
      </c>
      <c r="C363" s="90" t="s">
        <v>685</v>
      </c>
      <c r="D363" s="90" t="s">
        <v>968</v>
      </c>
      <c r="E363" s="90" t="s">
        <v>969</v>
      </c>
      <c r="F363" s="90" t="s">
        <v>970</v>
      </c>
      <c r="G363" s="89">
        <v>15347.98</v>
      </c>
      <c r="H363" s="141" t="str">
        <f t="shared" si="26"/>
        <v>151001514885</v>
      </c>
      <c r="I363" s="142">
        <v>0</v>
      </c>
      <c r="J363" s="142" t="s">
        <v>1863</v>
      </c>
      <c r="K363" s="143">
        <f t="shared" si="23"/>
        <v>0</v>
      </c>
      <c r="L363" s="144">
        <f t="shared" si="24"/>
        <v>15347.98</v>
      </c>
      <c r="M363" s="144">
        <f t="shared" si="25"/>
        <v>15347.98</v>
      </c>
      <c r="N363" s="145" t="s">
        <v>953</v>
      </c>
      <c r="O363" s="125"/>
    </row>
    <row r="364" spans="1:15" ht="15" customHeight="1" x14ac:dyDescent="0.3">
      <c r="A364" s="90" t="s">
        <v>194</v>
      </c>
      <c r="B364" s="90" t="s">
        <v>758</v>
      </c>
      <c r="C364" s="90" t="s">
        <v>759</v>
      </c>
      <c r="D364" s="90" t="s">
        <v>951</v>
      </c>
      <c r="E364" s="90" t="s">
        <v>708</v>
      </c>
      <c r="F364" s="90" t="s">
        <v>952</v>
      </c>
      <c r="G364" s="89">
        <v>19426.760000000006</v>
      </c>
      <c r="H364" s="141" t="str">
        <f t="shared" si="26"/>
        <v>155051630885</v>
      </c>
      <c r="I364" s="142">
        <v>0</v>
      </c>
      <c r="J364" s="142" t="s">
        <v>1863</v>
      </c>
      <c r="K364" s="143">
        <f t="shared" si="23"/>
        <v>0</v>
      </c>
      <c r="L364" s="144">
        <f t="shared" si="24"/>
        <v>19426.760000000006</v>
      </c>
      <c r="M364" s="144">
        <f t="shared" si="25"/>
        <v>19426.760000000006</v>
      </c>
      <c r="N364" s="145" t="s">
        <v>953</v>
      </c>
      <c r="O364" s="125"/>
    </row>
    <row r="365" spans="1:15" ht="15" customHeight="1" x14ac:dyDescent="0.3">
      <c r="A365" s="90" t="s">
        <v>194</v>
      </c>
      <c r="B365" s="90" t="s">
        <v>739</v>
      </c>
      <c r="C365" s="90" t="s">
        <v>740</v>
      </c>
      <c r="D365" s="90" t="s">
        <v>971</v>
      </c>
      <c r="E365" s="90" t="s">
        <v>972</v>
      </c>
      <c r="F365" s="90" t="s">
        <v>973</v>
      </c>
      <c r="G365" s="89">
        <v>25368.16</v>
      </c>
      <c r="H365" s="141" t="str">
        <f t="shared" si="26"/>
        <v>155061195885</v>
      </c>
      <c r="I365" s="142">
        <v>0</v>
      </c>
      <c r="J365" s="142" t="s">
        <v>1863</v>
      </c>
      <c r="K365" s="143">
        <f t="shared" si="23"/>
        <v>0</v>
      </c>
      <c r="L365" s="144">
        <f t="shared" si="24"/>
        <v>25368.16</v>
      </c>
      <c r="M365" s="144">
        <f t="shared" si="25"/>
        <v>25368.16</v>
      </c>
      <c r="N365" s="145" t="s">
        <v>953</v>
      </c>
      <c r="O365" s="125"/>
    </row>
    <row r="366" spans="1:15" ht="15" customHeight="1" x14ac:dyDescent="0.3">
      <c r="A366" s="90" t="s">
        <v>194</v>
      </c>
      <c r="B366" s="90" t="s">
        <v>763</v>
      </c>
      <c r="C366" s="90" t="s">
        <v>764</v>
      </c>
      <c r="D366" s="90" t="s">
        <v>951</v>
      </c>
      <c r="E366" s="90" t="s">
        <v>708</v>
      </c>
      <c r="F366" s="90" t="s">
        <v>952</v>
      </c>
      <c r="G366" s="89">
        <v>29575.809999999998</v>
      </c>
      <c r="H366" s="141" t="str">
        <f t="shared" si="26"/>
        <v>155201630885</v>
      </c>
      <c r="I366" s="142">
        <v>0.11209999999999998</v>
      </c>
      <c r="J366" s="142" t="s">
        <v>1864</v>
      </c>
      <c r="K366" s="143">
        <f t="shared" si="23"/>
        <v>3315.448300999999</v>
      </c>
      <c r="L366" s="144">
        <f t="shared" si="24"/>
        <v>26260.361698999997</v>
      </c>
      <c r="M366" s="144">
        <f t="shared" si="25"/>
        <v>29575.809999999998</v>
      </c>
      <c r="N366" s="145" t="s">
        <v>953</v>
      </c>
      <c r="O366" s="125"/>
    </row>
    <row r="367" spans="1:15" ht="15" customHeight="1" x14ac:dyDescent="0.3">
      <c r="A367" s="90" t="s">
        <v>194</v>
      </c>
      <c r="B367" s="90" t="s">
        <v>745</v>
      </c>
      <c r="C367" s="90" t="s">
        <v>746</v>
      </c>
      <c r="D367" s="90" t="s">
        <v>951</v>
      </c>
      <c r="E367" s="90" t="s">
        <v>708</v>
      </c>
      <c r="F367" s="90" t="s">
        <v>952</v>
      </c>
      <c r="G367" s="89">
        <v>45824.590000000004</v>
      </c>
      <c r="H367" s="141" t="str">
        <f t="shared" si="26"/>
        <v>141091630885</v>
      </c>
      <c r="I367" s="142">
        <v>1</v>
      </c>
      <c r="J367" s="142" t="s">
        <v>1484</v>
      </c>
      <c r="K367" s="143">
        <f t="shared" si="23"/>
        <v>45824.590000000004</v>
      </c>
      <c r="L367" s="144">
        <f t="shared" si="24"/>
        <v>0</v>
      </c>
      <c r="M367" s="144">
        <f t="shared" si="25"/>
        <v>45824.590000000004</v>
      </c>
      <c r="N367" s="145" t="s">
        <v>953</v>
      </c>
      <c r="O367" s="125"/>
    </row>
    <row r="368" spans="1:15" ht="15" customHeight="1" x14ac:dyDescent="0.3">
      <c r="A368" s="90" t="s">
        <v>194</v>
      </c>
      <c r="B368" s="90" t="s">
        <v>684</v>
      </c>
      <c r="C368" s="90" t="s">
        <v>685</v>
      </c>
      <c r="D368" s="90" t="s">
        <v>960</v>
      </c>
      <c r="E368" s="90" t="s">
        <v>961</v>
      </c>
      <c r="F368" s="90" t="s">
        <v>952</v>
      </c>
      <c r="G368" s="89">
        <v>84022.409999999974</v>
      </c>
      <c r="H368" s="141" t="str">
        <f t="shared" si="26"/>
        <v>151001633885</v>
      </c>
      <c r="I368" s="142">
        <v>0</v>
      </c>
      <c r="J368" s="142" t="s">
        <v>1863</v>
      </c>
      <c r="K368" s="143">
        <f t="shared" si="23"/>
        <v>0</v>
      </c>
      <c r="L368" s="144">
        <f t="shared" si="24"/>
        <v>84022.409999999974</v>
      </c>
      <c r="M368" s="144">
        <f t="shared" si="25"/>
        <v>84022.409999999974</v>
      </c>
      <c r="N368" s="145" t="s">
        <v>953</v>
      </c>
      <c r="O368" s="125"/>
    </row>
    <row r="369" spans="1:15" ht="15" customHeight="1" x14ac:dyDescent="0.3">
      <c r="A369" s="90" t="s">
        <v>194</v>
      </c>
      <c r="B369" s="90" t="s">
        <v>904</v>
      </c>
      <c r="C369" s="90" t="s">
        <v>905</v>
      </c>
      <c r="D369" s="90" t="s">
        <v>958</v>
      </c>
      <c r="E369" s="90" t="s">
        <v>704</v>
      </c>
      <c r="F369" s="90" t="s">
        <v>959</v>
      </c>
      <c r="G369" s="89">
        <v>123279.03</v>
      </c>
      <c r="H369" s="141" t="str">
        <f t="shared" si="26"/>
        <v>155101505885</v>
      </c>
      <c r="I369" s="142">
        <v>0.11209999999999998</v>
      </c>
      <c r="J369" s="142" t="s">
        <v>1864</v>
      </c>
      <c r="K369" s="143">
        <f t="shared" si="23"/>
        <v>13819.579262999998</v>
      </c>
      <c r="L369" s="144">
        <f t="shared" si="24"/>
        <v>109459.45073700001</v>
      </c>
      <c r="M369" s="144">
        <f t="shared" si="25"/>
        <v>123279.03</v>
      </c>
      <c r="N369" s="145" t="s">
        <v>953</v>
      </c>
      <c r="O369" s="125"/>
    </row>
    <row r="370" spans="1:15" ht="15" customHeight="1" x14ac:dyDescent="0.3">
      <c r="A370" s="90" t="s">
        <v>194</v>
      </c>
      <c r="B370" s="90" t="s">
        <v>964</v>
      </c>
      <c r="C370" s="90" t="s">
        <v>965</v>
      </c>
      <c r="D370" s="90" t="s">
        <v>958</v>
      </c>
      <c r="E370" s="90" t="s">
        <v>704</v>
      </c>
      <c r="F370" s="90" t="s">
        <v>959</v>
      </c>
      <c r="G370" s="89">
        <v>133584.43</v>
      </c>
      <c r="H370" s="141" t="str">
        <f t="shared" si="26"/>
        <v>155011505885</v>
      </c>
      <c r="I370" s="142">
        <v>0.11209999999999998</v>
      </c>
      <c r="J370" s="142" t="s">
        <v>1864</v>
      </c>
      <c r="K370" s="143">
        <f t="shared" si="23"/>
        <v>14974.814602999997</v>
      </c>
      <c r="L370" s="144">
        <f t="shared" si="24"/>
        <v>118609.615397</v>
      </c>
      <c r="M370" s="144">
        <f t="shared" si="25"/>
        <v>133584.43</v>
      </c>
      <c r="N370" s="145" t="s">
        <v>953</v>
      </c>
      <c r="O370" s="125"/>
    </row>
    <row r="371" spans="1:15" ht="15" customHeight="1" x14ac:dyDescent="0.3">
      <c r="A371" s="90" t="s">
        <v>194</v>
      </c>
      <c r="B371" s="90" t="s">
        <v>750</v>
      </c>
      <c r="C371" s="90" t="s">
        <v>751</v>
      </c>
      <c r="D371" s="90" t="s">
        <v>951</v>
      </c>
      <c r="E371" s="90" t="s">
        <v>708</v>
      </c>
      <c r="F371" s="90" t="s">
        <v>952</v>
      </c>
      <c r="G371" s="89">
        <v>146072.08000000002</v>
      </c>
      <c r="H371" s="141" t="str">
        <f t="shared" si="26"/>
        <v>155071630885</v>
      </c>
      <c r="I371" s="142">
        <v>6.5216999999999997E-2</v>
      </c>
      <c r="J371" s="142" t="s">
        <v>1866</v>
      </c>
      <c r="K371" s="143">
        <f t="shared" si="23"/>
        <v>9526.3828413600004</v>
      </c>
      <c r="L371" s="144">
        <f t="shared" si="24"/>
        <v>136545.69715864002</v>
      </c>
      <c r="M371" s="144">
        <f t="shared" si="25"/>
        <v>146072.08000000002</v>
      </c>
      <c r="N371" s="145" t="s">
        <v>953</v>
      </c>
      <c r="O371" s="125"/>
    </row>
    <row r="372" spans="1:15" ht="15" customHeight="1" x14ac:dyDescent="0.3">
      <c r="A372" s="90" t="s">
        <v>194</v>
      </c>
      <c r="B372" s="90" t="s">
        <v>690</v>
      </c>
      <c r="C372" s="90" t="s">
        <v>691</v>
      </c>
      <c r="D372" s="90" t="s">
        <v>951</v>
      </c>
      <c r="E372" s="90" t="s">
        <v>708</v>
      </c>
      <c r="F372" s="90" t="s">
        <v>952</v>
      </c>
      <c r="G372" s="89">
        <v>154932.51</v>
      </c>
      <c r="H372" s="141" t="str">
        <f t="shared" si="26"/>
        <v>141001630885</v>
      </c>
      <c r="I372" s="142">
        <v>1.1399999999999966E-2</v>
      </c>
      <c r="J372" s="142" t="s">
        <v>281</v>
      </c>
      <c r="K372" s="143">
        <f t="shared" si="23"/>
        <v>1766.2306139999948</v>
      </c>
      <c r="L372" s="144">
        <f t="shared" si="24"/>
        <v>153166.27938600001</v>
      </c>
      <c r="M372" s="144">
        <f t="shared" si="25"/>
        <v>154932.51</v>
      </c>
      <c r="N372" s="145" t="s">
        <v>953</v>
      </c>
      <c r="O372" s="125"/>
    </row>
    <row r="373" spans="1:15" ht="15" customHeight="1" x14ac:dyDescent="0.3">
      <c r="A373" s="90" t="s">
        <v>194</v>
      </c>
      <c r="B373" s="90" t="s">
        <v>966</v>
      </c>
      <c r="C373" s="90" t="s">
        <v>967</v>
      </c>
      <c r="D373" s="90" t="s">
        <v>951</v>
      </c>
      <c r="E373" s="90" t="s">
        <v>708</v>
      </c>
      <c r="F373" s="90" t="s">
        <v>952</v>
      </c>
      <c r="G373" s="89">
        <v>262877.50999999995</v>
      </c>
      <c r="H373" s="141" t="str">
        <f t="shared" si="26"/>
        <v>154001630885</v>
      </c>
      <c r="I373" s="142">
        <v>0.11209999999999998</v>
      </c>
      <c r="J373" s="142" t="s">
        <v>1864</v>
      </c>
      <c r="K373" s="143">
        <f t="shared" si="23"/>
        <v>29468.568870999989</v>
      </c>
      <c r="L373" s="144">
        <f t="shared" si="24"/>
        <v>233408.94112899996</v>
      </c>
      <c r="M373" s="144">
        <f t="shared" si="25"/>
        <v>262877.50999999995</v>
      </c>
      <c r="N373" s="145" t="s">
        <v>953</v>
      </c>
      <c r="O373" s="125"/>
    </row>
    <row r="374" spans="1:15" ht="15" customHeight="1" x14ac:dyDescent="0.3">
      <c r="A374" s="90" t="s">
        <v>194</v>
      </c>
      <c r="B374" s="90" t="s">
        <v>978</v>
      </c>
      <c r="C374" s="90" t="s">
        <v>979</v>
      </c>
      <c r="D374" s="90" t="s">
        <v>951</v>
      </c>
      <c r="E374" s="90" t="s">
        <v>708</v>
      </c>
      <c r="F374" s="90" t="s">
        <v>952</v>
      </c>
      <c r="G374" s="89">
        <v>291900.98</v>
      </c>
      <c r="H374" s="141" t="str">
        <f t="shared" si="26"/>
        <v>410401630885</v>
      </c>
      <c r="I374" s="142">
        <v>0.11209999999999998</v>
      </c>
      <c r="J374" s="142" t="s">
        <v>1864</v>
      </c>
      <c r="K374" s="143">
        <f t="shared" si="23"/>
        <v>32722.09985799999</v>
      </c>
      <c r="L374" s="144">
        <f t="shared" si="24"/>
        <v>259178.88014199998</v>
      </c>
      <c r="M374" s="144">
        <f t="shared" si="25"/>
        <v>291900.98</v>
      </c>
      <c r="N374" s="145" t="s">
        <v>953</v>
      </c>
      <c r="O374" s="125"/>
    </row>
    <row r="375" spans="1:15" ht="15" customHeight="1" x14ac:dyDescent="0.3">
      <c r="A375" s="90" t="s">
        <v>194</v>
      </c>
      <c r="B375" s="90" t="s">
        <v>739</v>
      </c>
      <c r="C375" s="90" t="s">
        <v>740</v>
      </c>
      <c r="D375" s="90" t="s">
        <v>951</v>
      </c>
      <c r="E375" s="90" t="s">
        <v>708</v>
      </c>
      <c r="F375" s="90" t="s">
        <v>952</v>
      </c>
      <c r="G375" s="89">
        <v>407854.54</v>
      </c>
      <c r="H375" s="141" t="str">
        <f t="shared" si="26"/>
        <v>155061630885</v>
      </c>
      <c r="I375" s="142">
        <v>0</v>
      </c>
      <c r="J375" s="142" t="s">
        <v>1863</v>
      </c>
      <c r="K375" s="143">
        <f t="shared" si="23"/>
        <v>0</v>
      </c>
      <c r="L375" s="144">
        <f t="shared" si="24"/>
        <v>407854.54</v>
      </c>
      <c r="M375" s="144">
        <f t="shared" si="25"/>
        <v>407854.54</v>
      </c>
      <c r="N375" s="145" t="s">
        <v>953</v>
      </c>
      <c r="O375" s="125"/>
    </row>
    <row r="376" spans="1:15" ht="15" customHeight="1" x14ac:dyDescent="0.3">
      <c r="A376" s="90" t="s">
        <v>194</v>
      </c>
      <c r="B376" s="90" t="s">
        <v>966</v>
      </c>
      <c r="C376" s="90" t="s">
        <v>967</v>
      </c>
      <c r="D376" s="90" t="s">
        <v>958</v>
      </c>
      <c r="E376" s="90" t="s">
        <v>704</v>
      </c>
      <c r="F376" s="90" t="s">
        <v>959</v>
      </c>
      <c r="G376" s="89">
        <v>673591.13</v>
      </c>
      <c r="H376" s="141" t="str">
        <f t="shared" si="26"/>
        <v>154001505885</v>
      </c>
      <c r="I376" s="142">
        <v>0.11209999999999998</v>
      </c>
      <c r="J376" s="142" t="s">
        <v>1864</v>
      </c>
      <c r="K376" s="143">
        <f t="shared" si="23"/>
        <v>75509.56567299999</v>
      </c>
      <c r="L376" s="144">
        <f t="shared" si="24"/>
        <v>598081.56432700006</v>
      </c>
      <c r="M376" s="144">
        <f t="shared" si="25"/>
        <v>673591.13</v>
      </c>
      <c r="N376" s="145" t="s">
        <v>953</v>
      </c>
      <c r="O376" s="125"/>
    </row>
    <row r="377" spans="1:15" ht="15" customHeight="1" x14ac:dyDescent="0.3">
      <c r="A377" s="90" t="s">
        <v>194</v>
      </c>
      <c r="B377" s="90" t="s">
        <v>684</v>
      </c>
      <c r="C377" s="90" t="s">
        <v>685</v>
      </c>
      <c r="D377" s="90" t="s">
        <v>951</v>
      </c>
      <c r="E377" s="90" t="s">
        <v>708</v>
      </c>
      <c r="F377" s="90" t="s">
        <v>952</v>
      </c>
      <c r="G377" s="89">
        <v>1021843.2700000001</v>
      </c>
      <c r="H377" s="141" t="str">
        <f t="shared" si="26"/>
        <v>151001630885</v>
      </c>
      <c r="I377" s="142">
        <v>0</v>
      </c>
      <c r="J377" s="142" t="s">
        <v>1863</v>
      </c>
      <c r="K377" s="143">
        <f t="shared" si="23"/>
        <v>0</v>
      </c>
      <c r="L377" s="144">
        <f t="shared" si="24"/>
        <v>1021843.2700000001</v>
      </c>
      <c r="M377" s="144">
        <f t="shared" si="25"/>
        <v>1021843.2700000001</v>
      </c>
      <c r="N377" s="145" t="s">
        <v>953</v>
      </c>
      <c r="O377" s="125"/>
    </row>
    <row r="378" spans="1:15" ht="15" customHeight="1" x14ac:dyDescent="0.3">
      <c r="A378" s="90" t="s">
        <v>194</v>
      </c>
      <c r="B378" s="90" t="s">
        <v>904</v>
      </c>
      <c r="C378" s="90" t="s">
        <v>905</v>
      </c>
      <c r="D378" s="90" t="s">
        <v>971</v>
      </c>
      <c r="E378" s="90" t="s">
        <v>972</v>
      </c>
      <c r="F378" s="90" t="s">
        <v>973</v>
      </c>
      <c r="G378" s="89">
        <v>1211873.3700000001</v>
      </c>
      <c r="H378" s="141" t="str">
        <f t="shared" si="26"/>
        <v>155101195885</v>
      </c>
      <c r="I378" s="142">
        <v>0.11209999999999998</v>
      </c>
      <c r="J378" s="142" t="s">
        <v>1864</v>
      </c>
      <c r="K378" s="143">
        <f t="shared" si="23"/>
        <v>135851.00477699999</v>
      </c>
      <c r="L378" s="144">
        <f t="shared" si="24"/>
        <v>1076022.3652230001</v>
      </c>
      <c r="M378" s="144">
        <f t="shared" si="25"/>
        <v>1211873.3700000001</v>
      </c>
      <c r="N378" s="145" t="s">
        <v>953</v>
      </c>
      <c r="O378" s="125"/>
    </row>
    <row r="379" spans="1:15" ht="15" customHeight="1" x14ac:dyDescent="0.3">
      <c r="A379" s="90" t="s">
        <v>194</v>
      </c>
      <c r="B379" s="90" t="s">
        <v>758</v>
      </c>
      <c r="C379" s="90" t="s">
        <v>759</v>
      </c>
      <c r="D379" s="90" t="s">
        <v>968</v>
      </c>
      <c r="E379" s="90" t="s">
        <v>969</v>
      </c>
      <c r="F379" s="90" t="s">
        <v>970</v>
      </c>
      <c r="G379" s="89">
        <v>2698078.0599999996</v>
      </c>
      <c r="H379" s="141" t="str">
        <f t="shared" si="26"/>
        <v>155051514885</v>
      </c>
      <c r="I379" s="142">
        <v>0</v>
      </c>
      <c r="J379" s="142" t="s">
        <v>1863</v>
      </c>
      <c r="K379" s="143">
        <f t="shared" si="23"/>
        <v>0</v>
      </c>
      <c r="L379" s="144">
        <f t="shared" si="24"/>
        <v>2698078.0599999996</v>
      </c>
      <c r="M379" s="144">
        <f t="shared" si="25"/>
        <v>2698078.0599999996</v>
      </c>
      <c r="N379" s="145" t="s">
        <v>953</v>
      </c>
      <c r="O379" s="125"/>
    </row>
    <row r="380" spans="1:15" ht="15" customHeight="1" x14ac:dyDescent="0.3">
      <c r="A380" s="90" t="s">
        <v>195</v>
      </c>
      <c r="B380" s="90" t="s">
        <v>684</v>
      </c>
      <c r="C380" s="90" t="s">
        <v>685</v>
      </c>
      <c r="D380" s="90" t="s">
        <v>980</v>
      </c>
      <c r="E380" s="90" t="s">
        <v>981</v>
      </c>
      <c r="F380" s="90" t="s">
        <v>982</v>
      </c>
      <c r="G380" s="89">
        <v>-38385.360000000001</v>
      </c>
      <c r="H380" s="141" t="str">
        <f t="shared" si="26"/>
        <v>151003090887</v>
      </c>
      <c r="I380" s="142">
        <v>0</v>
      </c>
      <c r="J380" s="142" t="s">
        <v>1863</v>
      </c>
      <c r="K380" s="143">
        <f t="shared" si="23"/>
        <v>0</v>
      </c>
      <c r="L380" s="144">
        <f t="shared" si="24"/>
        <v>-38385.360000000001</v>
      </c>
      <c r="M380" s="144">
        <f t="shared" si="25"/>
        <v>-38385.360000000001</v>
      </c>
      <c r="N380" s="145" t="s">
        <v>983</v>
      </c>
      <c r="O380" s="125"/>
    </row>
    <row r="381" spans="1:15" ht="15" customHeight="1" x14ac:dyDescent="0.3">
      <c r="A381" s="90" t="s">
        <v>195</v>
      </c>
      <c r="B381" s="90" t="s">
        <v>690</v>
      </c>
      <c r="C381" s="90" t="s">
        <v>691</v>
      </c>
      <c r="D381" s="90" t="s">
        <v>984</v>
      </c>
      <c r="E381" s="90" t="s">
        <v>985</v>
      </c>
      <c r="F381" s="90" t="s">
        <v>986</v>
      </c>
      <c r="G381" s="89">
        <v>-27300.04</v>
      </c>
      <c r="H381" s="141" t="str">
        <f t="shared" si="26"/>
        <v>141001220887</v>
      </c>
      <c r="I381" s="142">
        <v>1.1399999999999966E-2</v>
      </c>
      <c r="J381" s="142" t="s">
        <v>281</v>
      </c>
      <c r="K381" s="143">
        <f t="shared" si="23"/>
        <v>-311.22045599999905</v>
      </c>
      <c r="L381" s="144">
        <f t="shared" si="24"/>
        <v>-26988.819544000002</v>
      </c>
      <c r="M381" s="144">
        <f t="shared" si="25"/>
        <v>-27300.04</v>
      </c>
      <c r="N381" s="145" t="s">
        <v>983</v>
      </c>
      <c r="O381" s="125"/>
    </row>
    <row r="382" spans="1:15" ht="15" customHeight="1" x14ac:dyDescent="0.3">
      <c r="A382" s="90" t="s">
        <v>195</v>
      </c>
      <c r="B382" s="90" t="s">
        <v>814</v>
      </c>
      <c r="C382" s="90" t="s">
        <v>815</v>
      </c>
      <c r="D382" s="90" t="s">
        <v>980</v>
      </c>
      <c r="E382" s="90" t="s">
        <v>981</v>
      </c>
      <c r="F382" s="90" t="s">
        <v>982</v>
      </c>
      <c r="G382" s="89">
        <v>-3193.22</v>
      </c>
      <c r="H382" s="141" t="str">
        <f t="shared" si="26"/>
        <v>123593090887</v>
      </c>
      <c r="I382" s="142">
        <v>1</v>
      </c>
      <c r="J382" s="142" t="s">
        <v>1484</v>
      </c>
      <c r="K382" s="143">
        <f t="shared" si="23"/>
        <v>-3193.22</v>
      </c>
      <c r="L382" s="144">
        <f t="shared" si="24"/>
        <v>0</v>
      </c>
      <c r="M382" s="144">
        <f t="shared" si="25"/>
        <v>-3193.22</v>
      </c>
      <c r="N382" s="145" t="s">
        <v>983</v>
      </c>
      <c r="O382" s="125"/>
    </row>
    <row r="383" spans="1:15" ht="15" customHeight="1" x14ac:dyDescent="0.3">
      <c r="A383" s="90" t="s">
        <v>195</v>
      </c>
      <c r="B383" s="90" t="s">
        <v>900</v>
      </c>
      <c r="C383" s="90" t="s">
        <v>901</v>
      </c>
      <c r="D383" s="90" t="s">
        <v>987</v>
      </c>
      <c r="E383" s="90" t="s">
        <v>824</v>
      </c>
      <c r="F383" s="90" t="s">
        <v>988</v>
      </c>
      <c r="G383" s="89">
        <v>0</v>
      </c>
      <c r="H383" s="141" t="str">
        <f t="shared" si="26"/>
        <v>135251170887</v>
      </c>
      <c r="I383" s="142">
        <v>0.11160000000000003</v>
      </c>
      <c r="J383" s="142" t="s">
        <v>1871</v>
      </c>
      <c r="K383" s="143">
        <f t="shared" si="23"/>
        <v>0</v>
      </c>
      <c r="L383" s="144">
        <f t="shared" si="24"/>
        <v>0</v>
      </c>
      <c r="M383" s="144">
        <f t="shared" si="25"/>
        <v>0</v>
      </c>
      <c r="N383" s="145" t="s">
        <v>983</v>
      </c>
      <c r="O383" s="125"/>
    </row>
    <row r="384" spans="1:15" ht="15" customHeight="1" x14ac:dyDescent="0.3">
      <c r="A384" s="90" t="s">
        <v>195</v>
      </c>
      <c r="B384" s="90" t="s">
        <v>763</v>
      </c>
      <c r="C384" s="90" t="s">
        <v>764</v>
      </c>
      <c r="D384" s="90" t="s">
        <v>989</v>
      </c>
      <c r="E384" s="90" t="s">
        <v>990</v>
      </c>
      <c r="F384" s="90" t="s">
        <v>991</v>
      </c>
      <c r="G384" s="89">
        <v>2.92</v>
      </c>
      <c r="H384" s="141" t="str">
        <f t="shared" si="26"/>
        <v>155201225887</v>
      </c>
      <c r="I384" s="142">
        <v>0.11209999999999998</v>
      </c>
      <c r="J384" s="142" t="s">
        <v>308</v>
      </c>
      <c r="K384" s="143">
        <f t="shared" si="23"/>
        <v>0.3273319999999999</v>
      </c>
      <c r="L384" s="144">
        <f t="shared" si="24"/>
        <v>2.5926680000000002</v>
      </c>
      <c r="M384" s="144">
        <f t="shared" si="25"/>
        <v>2.92</v>
      </c>
      <c r="N384" s="145" t="s">
        <v>983</v>
      </c>
      <c r="O384" s="125"/>
    </row>
    <row r="385" spans="1:15" ht="15" customHeight="1" x14ac:dyDescent="0.3">
      <c r="A385" s="90" t="s">
        <v>195</v>
      </c>
      <c r="B385" s="90" t="s">
        <v>992</v>
      </c>
      <c r="C385" s="90" t="s">
        <v>993</v>
      </c>
      <c r="D385" s="90" t="s">
        <v>994</v>
      </c>
      <c r="E385" s="90" t="s">
        <v>995</v>
      </c>
      <c r="F385" s="90" t="s">
        <v>996</v>
      </c>
      <c r="G385" s="89">
        <v>20</v>
      </c>
      <c r="H385" s="141" t="str">
        <f t="shared" si="26"/>
        <v>760001025887</v>
      </c>
      <c r="I385" s="142">
        <v>0.11209999999999998</v>
      </c>
      <c r="J385" s="142" t="s">
        <v>308</v>
      </c>
      <c r="K385" s="143">
        <f t="shared" si="23"/>
        <v>2.2419999999999995</v>
      </c>
      <c r="L385" s="144">
        <f t="shared" si="24"/>
        <v>17.757999999999999</v>
      </c>
      <c r="M385" s="144">
        <f t="shared" si="25"/>
        <v>20</v>
      </c>
      <c r="N385" s="145" t="s">
        <v>983</v>
      </c>
      <c r="O385" s="125"/>
    </row>
    <row r="386" spans="1:15" ht="15" customHeight="1" x14ac:dyDescent="0.3">
      <c r="A386" s="90" t="s">
        <v>195</v>
      </c>
      <c r="B386" s="90" t="s">
        <v>750</v>
      </c>
      <c r="C386" s="90" t="s">
        <v>751</v>
      </c>
      <c r="D386" s="90" t="s">
        <v>997</v>
      </c>
      <c r="E386" s="90" t="s">
        <v>998</v>
      </c>
      <c r="F386" s="90" t="s">
        <v>999</v>
      </c>
      <c r="G386" s="89">
        <v>120</v>
      </c>
      <c r="H386" s="141" t="str">
        <f t="shared" si="26"/>
        <v>155071287887</v>
      </c>
      <c r="I386" s="142">
        <v>6.5216999999999997E-2</v>
      </c>
      <c r="J386" s="142" t="s">
        <v>1866</v>
      </c>
      <c r="K386" s="143">
        <f t="shared" si="23"/>
        <v>7.8260399999999999</v>
      </c>
      <c r="L386" s="144">
        <f t="shared" si="24"/>
        <v>112.17395999999999</v>
      </c>
      <c r="M386" s="144">
        <f t="shared" si="25"/>
        <v>120</v>
      </c>
      <c r="N386" s="145" t="s">
        <v>983</v>
      </c>
      <c r="O386" s="125"/>
    </row>
    <row r="387" spans="1:15" ht="15" customHeight="1" x14ac:dyDescent="0.3">
      <c r="A387" s="90" t="s">
        <v>195</v>
      </c>
      <c r="B387" s="90" t="s">
        <v>690</v>
      </c>
      <c r="C387" s="90" t="s">
        <v>691</v>
      </c>
      <c r="D387" s="90" t="s">
        <v>997</v>
      </c>
      <c r="E387" s="90" t="s">
        <v>998</v>
      </c>
      <c r="F387" s="90" t="s">
        <v>999</v>
      </c>
      <c r="G387" s="89">
        <v>156.59</v>
      </c>
      <c r="H387" s="141" t="str">
        <f t="shared" si="26"/>
        <v>141001287887</v>
      </c>
      <c r="I387" s="142">
        <v>1.1399999999999966E-2</v>
      </c>
      <c r="J387" s="142" t="s">
        <v>281</v>
      </c>
      <c r="K387" s="143">
        <f t="shared" si="23"/>
        <v>1.7851259999999947</v>
      </c>
      <c r="L387" s="144">
        <f t="shared" si="24"/>
        <v>154.80487400000001</v>
      </c>
      <c r="M387" s="144">
        <f t="shared" si="25"/>
        <v>156.59</v>
      </c>
      <c r="N387" s="145" t="s">
        <v>983</v>
      </c>
      <c r="O387" s="125"/>
    </row>
    <row r="388" spans="1:15" ht="15" customHeight="1" x14ac:dyDescent="0.3">
      <c r="A388" s="90" t="s">
        <v>195</v>
      </c>
      <c r="B388" s="90" t="s">
        <v>739</v>
      </c>
      <c r="C388" s="90" t="s">
        <v>740</v>
      </c>
      <c r="D388" s="90" t="s">
        <v>987</v>
      </c>
      <c r="E388" s="90" t="s">
        <v>824</v>
      </c>
      <c r="F388" s="90" t="s">
        <v>988</v>
      </c>
      <c r="G388" s="89">
        <v>207.22</v>
      </c>
      <c r="H388" s="141" t="str">
        <f t="shared" si="26"/>
        <v>155061170887</v>
      </c>
      <c r="I388" s="142">
        <v>0</v>
      </c>
      <c r="J388" s="142" t="s">
        <v>1863</v>
      </c>
      <c r="K388" s="143">
        <f t="shared" si="23"/>
        <v>0</v>
      </c>
      <c r="L388" s="144">
        <f t="shared" si="24"/>
        <v>207.22</v>
      </c>
      <c r="M388" s="144">
        <f t="shared" si="25"/>
        <v>207.22</v>
      </c>
      <c r="N388" s="145" t="s">
        <v>983</v>
      </c>
      <c r="O388" s="125"/>
    </row>
    <row r="389" spans="1:15" ht="15" customHeight="1" x14ac:dyDescent="0.3">
      <c r="A389" s="90" t="s">
        <v>195</v>
      </c>
      <c r="B389" s="90" t="s">
        <v>690</v>
      </c>
      <c r="C389" s="90" t="s">
        <v>691</v>
      </c>
      <c r="D389" s="90" t="s">
        <v>1000</v>
      </c>
      <c r="E389" s="90" t="s">
        <v>1001</v>
      </c>
      <c r="F389" s="90" t="s">
        <v>1002</v>
      </c>
      <c r="G389" s="89">
        <v>238.93</v>
      </c>
      <c r="H389" s="141" t="str">
        <f t="shared" si="26"/>
        <v>141001073887</v>
      </c>
      <c r="I389" s="142">
        <v>1.1399999999999966E-2</v>
      </c>
      <c r="J389" s="142" t="s">
        <v>281</v>
      </c>
      <c r="K389" s="143">
        <f t="shared" si="23"/>
        <v>2.7238019999999921</v>
      </c>
      <c r="L389" s="144">
        <f t="shared" si="24"/>
        <v>236.20619800000003</v>
      </c>
      <c r="M389" s="144">
        <f t="shared" si="25"/>
        <v>238.93</v>
      </c>
      <c r="N389" s="145" t="s">
        <v>983</v>
      </c>
      <c r="O389" s="125"/>
    </row>
    <row r="390" spans="1:15" ht="15" customHeight="1" x14ac:dyDescent="0.3">
      <c r="A390" s="90" t="s">
        <v>195</v>
      </c>
      <c r="B390" s="90" t="s">
        <v>819</v>
      </c>
      <c r="C390" s="90" t="s">
        <v>820</v>
      </c>
      <c r="D390" s="90" t="s">
        <v>994</v>
      </c>
      <c r="E390" s="90" t="s">
        <v>995</v>
      </c>
      <c r="F390" s="90" t="s">
        <v>996</v>
      </c>
      <c r="G390" s="89">
        <v>278.54000000000002</v>
      </c>
      <c r="H390" s="141" t="str">
        <f t="shared" si="26"/>
        <v>135101025887</v>
      </c>
      <c r="I390" s="142">
        <v>0.11160000000000003</v>
      </c>
      <c r="J390" s="142" t="s">
        <v>1871</v>
      </c>
      <c r="K390" s="143">
        <f t="shared" si="23"/>
        <v>31.08506400000001</v>
      </c>
      <c r="L390" s="144">
        <f t="shared" si="24"/>
        <v>247.454936</v>
      </c>
      <c r="M390" s="144">
        <f t="shared" si="25"/>
        <v>278.54000000000002</v>
      </c>
      <c r="N390" s="145" t="s">
        <v>983</v>
      </c>
      <c r="O390" s="125"/>
    </row>
    <row r="391" spans="1:15" ht="15" customHeight="1" x14ac:dyDescent="0.3">
      <c r="A391" s="90" t="s">
        <v>195</v>
      </c>
      <c r="B391" s="90" t="s">
        <v>739</v>
      </c>
      <c r="C391" s="90" t="s">
        <v>740</v>
      </c>
      <c r="D391" s="90" t="s">
        <v>1003</v>
      </c>
      <c r="E391" s="90" t="s">
        <v>1004</v>
      </c>
      <c r="F391" s="90" t="s">
        <v>1005</v>
      </c>
      <c r="G391" s="89">
        <v>453.26</v>
      </c>
      <c r="H391" s="141" t="str">
        <f t="shared" si="26"/>
        <v>155061197887</v>
      </c>
      <c r="I391" s="142">
        <v>0</v>
      </c>
      <c r="J391" s="142" t="s">
        <v>1863</v>
      </c>
      <c r="K391" s="143">
        <f t="shared" si="23"/>
        <v>0</v>
      </c>
      <c r="L391" s="144">
        <f t="shared" si="24"/>
        <v>453.26</v>
      </c>
      <c r="M391" s="144">
        <f t="shared" si="25"/>
        <v>453.26</v>
      </c>
      <c r="N391" s="145" t="s">
        <v>983</v>
      </c>
      <c r="O391" s="125"/>
    </row>
    <row r="392" spans="1:15" ht="15" customHeight="1" x14ac:dyDescent="0.3">
      <c r="A392" s="90" t="s">
        <v>195</v>
      </c>
      <c r="B392" s="90" t="s">
        <v>684</v>
      </c>
      <c r="C392" s="90" t="s">
        <v>685</v>
      </c>
      <c r="D392" s="90" t="s">
        <v>1006</v>
      </c>
      <c r="E392" s="90" t="s">
        <v>1007</v>
      </c>
      <c r="F392" s="90" t="s">
        <v>1008</v>
      </c>
      <c r="G392" s="89">
        <v>739.45999999999992</v>
      </c>
      <c r="H392" s="141" t="str">
        <f t="shared" si="26"/>
        <v>151001285887</v>
      </c>
      <c r="I392" s="142">
        <v>0</v>
      </c>
      <c r="J392" s="142" t="s">
        <v>1878</v>
      </c>
      <c r="K392" s="143">
        <f t="shared" si="23"/>
        <v>0</v>
      </c>
      <c r="L392" s="144">
        <f t="shared" si="24"/>
        <v>739.45999999999992</v>
      </c>
      <c r="M392" s="144">
        <f t="shared" si="25"/>
        <v>739.45999999999992</v>
      </c>
      <c r="N392" s="145" t="s">
        <v>983</v>
      </c>
      <c r="O392" s="125"/>
    </row>
    <row r="393" spans="1:15" ht="15" customHeight="1" x14ac:dyDescent="0.3">
      <c r="A393" s="90" t="s">
        <v>195</v>
      </c>
      <c r="B393" s="90" t="s">
        <v>964</v>
      </c>
      <c r="C393" s="90" t="s">
        <v>965</v>
      </c>
      <c r="D393" s="90" t="s">
        <v>1009</v>
      </c>
      <c r="E393" s="90" t="s">
        <v>1010</v>
      </c>
      <c r="F393" s="90" t="s">
        <v>1011</v>
      </c>
      <c r="G393" s="89">
        <v>1125.81</v>
      </c>
      <c r="H393" s="141" t="str">
        <f t="shared" si="26"/>
        <v>155011290887</v>
      </c>
      <c r="I393" s="142">
        <v>0.11209999999999998</v>
      </c>
      <c r="J393" s="142" t="s">
        <v>1864</v>
      </c>
      <c r="K393" s="143">
        <f t="shared" si="23"/>
        <v>126.20330099999997</v>
      </c>
      <c r="L393" s="144">
        <f t="shared" si="24"/>
        <v>999.60669899999994</v>
      </c>
      <c r="M393" s="144">
        <f t="shared" si="25"/>
        <v>1125.81</v>
      </c>
      <c r="N393" s="145" t="s">
        <v>983</v>
      </c>
      <c r="O393" s="125"/>
    </row>
    <row r="394" spans="1:15" ht="15" customHeight="1" x14ac:dyDescent="0.3">
      <c r="A394" s="90" t="s">
        <v>195</v>
      </c>
      <c r="B394" s="90" t="s">
        <v>800</v>
      </c>
      <c r="C394" s="90" t="s">
        <v>801</v>
      </c>
      <c r="D394" s="90" t="s">
        <v>994</v>
      </c>
      <c r="E394" s="90" t="s">
        <v>995</v>
      </c>
      <c r="F394" s="90" t="s">
        <v>996</v>
      </c>
      <c r="G394" s="89">
        <v>1263.73</v>
      </c>
      <c r="H394" s="141" t="str">
        <f t="shared" si="26"/>
        <v>120131025887</v>
      </c>
      <c r="I394" s="142">
        <v>0.11209999999999998</v>
      </c>
      <c r="J394" s="142" t="s">
        <v>1884</v>
      </c>
      <c r="K394" s="143">
        <f t="shared" si="23"/>
        <v>141.66413299999996</v>
      </c>
      <c r="L394" s="144">
        <f t="shared" si="24"/>
        <v>1122.065867</v>
      </c>
      <c r="M394" s="144">
        <f t="shared" si="25"/>
        <v>1263.73</v>
      </c>
      <c r="N394" s="145" t="s">
        <v>983</v>
      </c>
      <c r="O394" s="125"/>
    </row>
    <row r="395" spans="1:15" ht="15" customHeight="1" x14ac:dyDescent="0.3">
      <c r="A395" s="90" t="s">
        <v>195</v>
      </c>
      <c r="B395" s="90" t="s">
        <v>750</v>
      </c>
      <c r="C395" s="90" t="s">
        <v>751</v>
      </c>
      <c r="D395" s="90" t="s">
        <v>1009</v>
      </c>
      <c r="E395" s="90" t="s">
        <v>1010</v>
      </c>
      <c r="F395" s="90" t="s">
        <v>1011</v>
      </c>
      <c r="G395" s="89">
        <v>3610.9599999999996</v>
      </c>
      <c r="H395" s="141" t="str">
        <f t="shared" si="26"/>
        <v>155071290887</v>
      </c>
      <c r="I395" s="142">
        <v>6.5216999999999997E-2</v>
      </c>
      <c r="J395" s="142" t="s">
        <v>1866</v>
      </c>
      <c r="K395" s="143">
        <f t="shared" si="23"/>
        <v>235.49597831999995</v>
      </c>
      <c r="L395" s="144">
        <f t="shared" si="24"/>
        <v>3375.4640216799999</v>
      </c>
      <c r="M395" s="144">
        <f t="shared" si="25"/>
        <v>3610.96</v>
      </c>
      <c r="N395" s="145" t="s">
        <v>983</v>
      </c>
      <c r="O395" s="125"/>
    </row>
    <row r="396" spans="1:15" ht="15" customHeight="1" x14ac:dyDescent="0.3">
      <c r="A396" s="90" t="s">
        <v>195</v>
      </c>
      <c r="B396" s="90" t="s">
        <v>690</v>
      </c>
      <c r="C396" s="90" t="s">
        <v>691</v>
      </c>
      <c r="D396" s="90" t="s">
        <v>994</v>
      </c>
      <c r="E396" s="90" t="s">
        <v>995</v>
      </c>
      <c r="F396" s="90" t="s">
        <v>996</v>
      </c>
      <c r="G396" s="89">
        <v>4043.2799999999997</v>
      </c>
      <c r="H396" s="141" t="str">
        <f t="shared" si="26"/>
        <v>141001025887</v>
      </c>
      <c r="I396" s="142">
        <v>1.1399999999999966E-2</v>
      </c>
      <c r="J396" s="142" t="s">
        <v>281</v>
      </c>
      <c r="K396" s="143">
        <f t="shared" si="23"/>
        <v>46.093391999999859</v>
      </c>
      <c r="L396" s="144">
        <f t="shared" si="24"/>
        <v>3997.186608</v>
      </c>
      <c r="M396" s="144">
        <f t="shared" si="25"/>
        <v>4043.2799999999997</v>
      </c>
      <c r="N396" s="145" t="s">
        <v>983</v>
      </c>
      <c r="O396" s="125"/>
    </row>
    <row r="397" spans="1:15" ht="15" customHeight="1" x14ac:dyDescent="0.3">
      <c r="A397" s="90" t="s">
        <v>195</v>
      </c>
      <c r="B397" s="90" t="s">
        <v>739</v>
      </c>
      <c r="C397" s="90" t="s">
        <v>740</v>
      </c>
      <c r="D397" s="90" t="s">
        <v>1006</v>
      </c>
      <c r="E397" s="90" t="s">
        <v>1007</v>
      </c>
      <c r="F397" s="90" t="s">
        <v>1008</v>
      </c>
      <c r="G397" s="89">
        <v>5875.579999999999</v>
      </c>
      <c r="H397" s="141" t="str">
        <f t="shared" si="26"/>
        <v>155061285887</v>
      </c>
      <c r="I397" s="142">
        <v>0</v>
      </c>
      <c r="J397" s="142" t="s">
        <v>1863</v>
      </c>
      <c r="K397" s="143">
        <f t="shared" si="23"/>
        <v>0</v>
      </c>
      <c r="L397" s="144">
        <f t="shared" si="24"/>
        <v>5875.579999999999</v>
      </c>
      <c r="M397" s="144">
        <f t="shared" si="25"/>
        <v>5875.579999999999</v>
      </c>
      <c r="N397" s="145" t="s">
        <v>983</v>
      </c>
      <c r="O397" s="125"/>
    </row>
    <row r="398" spans="1:15" ht="15" customHeight="1" x14ac:dyDescent="0.3">
      <c r="A398" s="90" t="s">
        <v>195</v>
      </c>
      <c r="B398" s="90" t="s">
        <v>763</v>
      </c>
      <c r="C398" s="90" t="s">
        <v>764</v>
      </c>
      <c r="D398" s="90" t="s">
        <v>994</v>
      </c>
      <c r="E398" s="90" t="s">
        <v>995</v>
      </c>
      <c r="F398" s="90" t="s">
        <v>996</v>
      </c>
      <c r="G398" s="89">
        <v>6343.7899999999991</v>
      </c>
      <c r="H398" s="141" t="str">
        <f t="shared" si="26"/>
        <v>155201025887</v>
      </c>
      <c r="I398" s="142">
        <v>0.11209999999999998</v>
      </c>
      <c r="J398" s="142" t="s">
        <v>1864</v>
      </c>
      <c r="K398" s="143">
        <f t="shared" si="23"/>
        <v>711.1388589999998</v>
      </c>
      <c r="L398" s="144">
        <f t="shared" si="24"/>
        <v>5632.6511409999994</v>
      </c>
      <c r="M398" s="144">
        <f t="shared" si="25"/>
        <v>6343.7899999999991</v>
      </c>
      <c r="N398" s="145" t="s">
        <v>983</v>
      </c>
      <c r="O398" s="125"/>
    </row>
    <row r="399" spans="1:15" ht="15" customHeight="1" x14ac:dyDescent="0.3">
      <c r="A399" s="90" t="s">
        <v>195</v>
      </c>
      <c r="B399" s="90" t="s">
        <v>758</v>
      </c>
      <c r="C399" s="90" t="s">
        <v>759</v>
      </c>
      <c r="D399" s="90" t="s">
        <v>1009</v>
      </c>
      <c r="E399" s="90" t="s">
        <v>1010</v>
      </c>
      <c r="F399" s="90" t="s">
        <v>1011</v>
      </c>
      <c r="G399" s="89">
        <v>9654.33</v>
      </c>
      <c r="H399" s="141" t="str">
        <f t="shared" si="26"/>
        <v>155051290887</v>
      </c>
      <c r="I399" s="142">
        <v>0</v>
      </c>
      <c r="J399" s="142" t="s">
        <v>1863</v>
      </c>
      <c r="K399" s="143">
        <f t="shared" si="23"/>
        <v>0</v>
      </c>
      <c r="L399" s="144">
        <f t="shared" si="24"/>
        <v>9654.33</v>
      </c>
      <c r="M399" s="144">
        <f t="shared" si="25"/>
        <v>9654.33</v>
      </c>
      <c r="N399" s="145" t="s">
        <v>983</v>
      </c>
      <c r="O399" s="125"/>
    </row>
    <row r="400" spans="1:15" ht="15" customHeight="1" x14ac:dyDescent="0.3">
      <c r="A400" s="90" t="s">
        <v>195</v>
      </c>
      <c r="B400" s="90" t="s">
        <v>745</v>
      </c>
      <c r="C400" s="90" t="s">
        <v>746</v>
      </c>
      <c r="D400" s="90" t="s">
        <v>984</v>
      </c>
      <c r="E400" s="90" t="s">
        <v>985</v>
      </c>
      <c r="F400" s="90" t="s">
        <v>986</v>
      </c>
      <c r="G400" s="89">
        <v>10868.89</v>
      </c>
      <c r="H400" s="141" t="str">
        <f t="shared" si="26"/>
        <v>141091220887</v>
      </c>
      <c r="I400" s="142">
        <v>1</v>
      </c>
      <c r="J400" s="142" t="s">
        <v>1484</v>
      </c>
      <c r="K400" s="143">
        <f t="shared" si="23"/>
        <v>10868.89</v>
      </c>
      <c r="L400" s="144">
        <f t="shared" si="24"/>
        <v>0</v>
      </c>
      <c r="M400" s="144">
        <f t="shared" si="25"/>
        <v>10868.89</v>
      </c>
      <c r="N400" s="145" t="s">
        <v>983</v>
      </c>
      <c r="O400" s="125"/>
    </row>
    <row r="401" spans="1:15" ht="15" customHeight="1" x14ac:dyDescent="0.3">
      <c r="A401" s="90" t="s">
        <v>195</v>
      </c>
      <c r="B401" s="90" t="s">
        <v>745</v>
      </c>
      <c r="C401" s="90" t="s">
        <v>746</v>
      </c>
      <c r="D401" s="90" t="s">
        <v>1009</v>
      </c>
      <c r="E401" s="90" t="s">
        <v>1010</v>
      </c>
      <c r="F401" s="90" t="s">
        <v>1011</v>
      </c>
      <c r="G401" s="89">
        <v>13851.050000000001</v>
      </c>
      <c r="H401" s="141" t="str">
        <f t="shared" si="26"/>
        <v>141091290887</v>
      </c>
      <c r="I401" s="142">
        <v>1</v>
      </c>
      <c r="J401" s="142" t="s">
        <v>1484</v>
      </c>
      <c r="K401" s="143">
        <f t="shared" si="23"/>
        <v>13851.050000000001</v>
      </c>
      <c r="L401" s="144">
        <f t="shared" si="24"/>
        <v>0</v>
      </c>
      <c r="M401" s="144">
        <f t="shared" si="25"/>
        <v>13851.050000000001</v>
      </c>
      <c r="N401" s="145" t="s">
        <v>983</v>
      </c>
      <c r="O401" s="125"/>
    </row>
    <row r="402" spans="1:15" ht="15" customHeight="1" x14ac:dyDescent="0.3">
      <c r="A402" s="90" t="s">
        <v>195</v>
      </c>
      <c r="B402" s="90" t="s">
        <v>739</v>
      </c>
      <c r="C402" s="90" t="s">
        <v>740</v>
      </c>
      <c r="D402" s="90" t="s">
        <v>997</v>
      </c>
      <c r="E402" s="90" t="s">
        <v>998</v>
      </c>
      <c r="F402" s="90" t="s">
        <v>999</v>
      </c>
      <c r="G402" s="89">
        <v>14675.99</v>
      </c>
      <c r="H402" s="141" t="str">
        <f t="shared" si="26"/>
        <v>155061287887</v>
      </c>
      <c r="I402" s="142">
        <v>0</v>
      </c>
      <c r="J402" s="142" t="s">
        <v>1863</v>
      </c>
      <c r="K402" s="143">
        <f t="shared" si="23"/>
        <v>0</v>
      </c>
      <c r="L402" s="144">
        <f t="shared" si="24"/>
        <v>14675.99</v>
      </c>
      <c r="M402" s="144">
        <f t="shared" si="25"/>
        <v>14675.99</v>
      </c>
      <c r="N402" s="145" t="s">
        <v>983</v>
      </c>
      <c r="O402" s="125"/>
    </row>
    <row r="403" spans="1:15" ht="15" customHeight="1" x14ac:dyDescent="0.3">
      <c r="A403" s="90" t="s">
        <v>195</v>
      </c>
      <c r="B403" s="90" t="s">
        <v>826</v>
      </c>
      <c r="C403" s="90" t="s">
        <v>827</v>
      </c>
      <c r="D403" s="90" t="s">
        <v>1012</v>
      </c>
      <c r="E403" s="90" t="s">
        <v>829</v>
      </c>
      <c r="F403" s="90" t="s">
        <v>1013</v>
      </c>
      <c r="G403" s="89">
        <v>21526.66</v>
      </c>
      <c r="H403" s="141" t="str">
        <f t="shared" si="26"/>
        <v>162002345887</v>
      </c>
      <c r="I403" s="142">
        <v>0.11209999999999998</v>
      </c>
      <c r="J403" s="142" t="s">
        <v>1864</v>
      </c>
      <c r="K403" s="143">
        <f t="shared" si="23"/>
        <v>2413.1385859999996</v>
      </c>
      <c r="L403" s="144">
        <f t="shared" si="24"/>
        <v>19113.521413999999</v>
      </c>
      <c r="M403" s="144">
        <f t="shared" si="25"/>
        <v>21526.66</v>
      </c>
      <c r="N403" s="145" t="s">
        <v>983</v>
      </c>
      <c r="O403" s="125"/>
    </row>
    <row r="404" spans="1:15" ht="15" customHeight="1" x14ac:dyDescent="0.3">
      <c r="A404" s="90" t="s">
        <v>195</v>
      </c>
      <c r="B404" s="90" t="s">
        <v>750</v>
      </c>
      <c r="C404" s="90" t="s">
        <v>751</v>
      </c>
      <c r="D404" s="90" t="s">
        <v>1014</v>
      </c>
      <c r="E404" s="90" t="s">
        <v>1015</v>
      </c>
      <c r="F404" s="90" t="s">
        <v>1016</v>
      </c>
      <c r="G404" s="89">
        <v>32429.979999999996</v>
      </c>
      <c r="H404" s="141" t="str">
        <f t="shared" si="26"/>
        <v>155071100887</v>
      </c>
      <c r="I404" s="142">
        <v>6.5216999999999997E-2</v>
      </c>
      <c r="J404" s="142" t="s">
        <v>1866</v>
      </c>
      <c r="K404" s="143">
        <f t="shared" si="23"/>
        <v>2114.9860056599996</v>
      </c>
      <c r="L404" s="144">
        <f t="shared" si="24"/>
        <v>30314.993994339995</v>
      </c>
      <c r="M404" s="144">
        <f t="shared" si="25"/>
        <v>32429.979999999996</v>
      </c>
      <c r="N404" s="145" t="s">
        <v>983</v>
      </c>
      <c r="O404" s="125"/>
    </row>
    <row r="405" spans="1:15" ht="15" customHeight="1" x14ac:dyDescent="0.3">
      <c r="A405" s="90" t="s">
        <v>195</v>
      </c>
      <c r="B405" s="90" t="s">
        <v>745</v>
      </c>
      <c r="C405" s="90" t="s">
        <v>746</v>
      </c>
      <c r="D405" s="90" t="s">
        <v>994</v>
      </c>
      <c r="E405" s="90" t="s">
        <v>995</v>
      </c>
      <c r="F405" s="90" t="s">
        <v>996</v>
      </c>
      <c r="G405" s="89">
        <v>54090.970000000008</v>
      </c>
      <c r="H405" s="141" t="str">
        <f t="shared" si="26"/>
        <v>141091025887</v>
      </c>
      <c r="I405" s="142">
        <v>1</v>
      </c>
      <c r="J405" s="142" t="s">
        <v>1484</v>
      </c>
      <c r="K405" s="143">
        <f t="shared" si="23"/>
        <v>54090.970000000008</v>
      </c>
      <c r="L405" s="144">
        <f t="shared" si="24"/>
        <v>0</v>
      </c>
      <c r="M405" s="144">
        <f t="shared" si="25"/>
        <v>54090.970000000008</v>
      </c>
      <c r="N405" s="145" t="s">
        <v>983</v>
      </c>
      <c r="O405" s="125"/>
    </row>
    <row r="406" spans="1:15" ht="15" customHeight="1" x14ac:dyDescent="0.3">
      <c r="A406" s="90" t="s">
        <v>195</v>
      </c>
      <c r="B406" s="90" t="s">
        <v>690</v>
      </c>
      <c r="C406" s="90" t="s">
        <v>691</v>
      </c>
      <c r="D406" s="90" t="s">
        <v>1009</v>
      </c>
      <c r="E406" s="90" t="s">
        <v>1010</v>
      </c>
      <c r="F406" s="90" t="s">
        <v>1011</v>
      </c>
      <c r="G406" s="89">
        <v>55189.899999999994</v>
      </c>
      <c r="H406" s="141" t="str">
        <f t="shared" si="26"/>
        <v>141001290887</v>
      </c>
      <c r="I406" s="142">
        <v>1.1399999999999966E-2</v>
      </c>
      <c r="J406" s="142" t="s">
        <v>281</v>
      </c>
      <c r="K406" s="143">
        <f t="shared" si="23"/>
        <v>629.16485999999804</v>
      </c>
      <c r="L406" s="144">
        <f t="shared" si="24"/>
        <v>54560.735139999997</v>
      </c>
      <c r="M406" s="144">
        <f t="shared" si="25"/>
        <v>55189.899999999994</v>
      </c>
      <c r="N406" s="145" t="s">
        <v>983</v>
      </c>
      <c r="O406" s="125"/>
    </row>
    <row r="407" spans="1:15" ht="15" customHeight="1" x14ac:dyDescent="0.3">
      <c r="A407" s="90" t="s">
        <v>195</v>
      </c>
      <c r="B407" s="90" t="s">
        <v>750</v>
      </c>
      <c r="C407" s="90" t="s">
        <v>751</v>
      </c>
      <c r="D407" s="90" t="s">
        <v>994</v>
      </c>
      <c r="E407" s="90" t="s">
        <v>995</v>
      </c>
      <c r="F407" s="90" t="s">
        <v>996</v>
      </c>
      <c r="G407" s="89">
        <v>68381.08</v>
      </c>
      <c r="H407" s="141" t="str">
        <f t="shared" si="26"/>
        <v>155071025887</v>
      </c>
      <c r="I407" s="142">
        <v>6.5216999999999997E-2</v>
      </c>
      <c r="J407" s="142" t="s">
        <v>1866</v>
      </c>
      <c r="K407" s="143">
        <f t="shared" si="23"/>
        <v>4459.6088943599998</v>
      </c>
      <c r="L407" s="144">
        <f t="shared" si="24"/>
        <v>63921.471105640005</v>
      </c>
      <c r="M407" s="144">
        <f t="shared" si="25"/>
        <v>68381.08</v>
      </c>
      <c r="N407" s="145" t="s">
        <v>983</v>
      </c>
      <c r="O407" s="125"/>
    </row>
    <row r="408" spans="1:15" ht="15" customHeight="1" x14ac:dyDescent="0.3">
      <c r="A408" s="90" t="s">
        <v>195</v>
      </c>
      <c r="B408" s="90" t="s">
        <v>750</v>
      </c>
      <c r="C408" s="90" t="s">
        <v>751</v>
      </c>
      <c r="D408" s="90" t="s">
        <v>984</v>
      </c>
      <c r="E408" s="90" t="s">
        <v>985</v>
      </c>
      <c r="F408" s="90" t="s">
        <v>986</v>
      </c>
      <c r="G408" s="89">
        <v>71295.87</v>
      </c>
      <c r="H408" s="141" t="str">
        <f t="shared" si="26"/>
        <v>155071220887</v>
      </c>
      <c r="I408" s="142">
        <v>6.5216999999999997E-2</v>
      </c>
      <c r="J408" s="142" t="s">
        <v>1866</v>
      </c>
      <c r="K408" s="143">
        <f t="shared" ref="K408:K471" si="27">G408*I408</f>
        <v>4649.7027537899994</v>
      </c>
      <c r="L408" s="144">
        <f t="shared" ref="L408:L471" si="28">G408-K408</f>
        <v>66646.167246209996</v>
      </c>
      <c r="M408" s="144">
        <f t="shared" ref="M408:M471" si="29">K408+L408</f>
        <v>71295.87</v>
      </c>
      <c r="N408" s="145" t="s">
        <v>983</v>
      </c>
      <c r="O408" s="125"/>
    </row>
    <row r="409" spans="1:15" ht="15" customHeight="1" x14ac:dyDescent="0.3">
      <c r="A409" s="90" t="s">
        <v>195</v>
      </c>
      <c r="B409" s="90" t="s">
        <v>745</v>
      </c>
      <c r="C409" s="90" t="s">
        <v>746</v>
      </c>
      <c r="D409" s="90" t="s">
        <v>1014</v>
      </c>
      <c r="E409" s="90" t="s">
        <v>1015</v>
      </c>
      <c r="F409" s="90" t="s">
        <v>1016</v>
      </c>
      <c r="G409" s="89">
        <v>75144.850000000006</v>
      </c>
      <c r="H409" s="141" t="str">
        <f t="shared" ref="H409:H472" si="30">CONCATENATE(B409,RIGHT(D409,4),A409)</f>
        <v>141091100887</v>
      </c>
      <c r="I409" s="142">
        <v>1</v>
      </c>
      <c r="J409" s="142" t="s">
        <v>1484</v>
      </c>
      <c r="K409" s="143">
        <f t="shared" si="27"/>
        <v>75144.850000000006</v>
      </c>
      <c r="L409" s="144">
        <f t="shared" si="28"/>
        <v>0</v>
      </c>
      <c r="M409" s="144">
        <f t="shared" si="29"/>
        <v>75144.850000000006</v>
      </c>
      <c r="N409" s="145" t="s">
        <v>983</v>
      </c>
      <c r="O409" s="125"/>
    </row>
    <row r="410" spans="1:15" ht="15" customHeight="1" x14ac:dyDescent="0.3">
      <c r="A410" s="90" t="s">
        <v>195</v>
      </c>
      <c r="B410" s="90" t="s">
        <v>690</v>
      </c>
      <c r="C410" s="90" t="s">
        <v>691</v>
      </c>
      <c r="D410" s="90" t="s">
        <v>1006</v>
      </c>
      <c r="E410" s="90" t="s">
        <v>1007</v>
      </c>
      <c r="F410" s="90" t="s">
        <v>1008</v>
      </c>
      <c r="G410" s="89">
        <v>123342.29</v>
      </c>
      <c r="H410" s="141" t="str">
        <f t="shared" si="30"/>
        <v>141001285887</v>
      </c>
      <c r="I410" s="142">
        <v>1.1399999999999966E-2</v>
      </c>
      <c r="J410" s="142" t="s">
        <v>281</v>
      </c>
      <c r="K410" s="143">
        <f t="shared" si="27"/>
        <v>1406.1021059999957</v>
      </c>
      <c r="L410" s="144">
        <f t="shared" si="28"/>
        <v>121936.187894</v>
      </c>
      <c r="M410" s="144">
        <f t="shared" si="29"/>
        <v>123342.29</v>
      </c>
      <c r="N410" s="145" t="s">
        <v>983</v>
      </c>
      <c r="O410" s="125"/>
    </row>
    <row r="411" spans="1:15" ht="15" customHeight="1" x14ac:dyDescent="0.3">
      <c r="A411" s="90" t="s">
        <v>195</v>
      </c>
      <c r="B411" s="90" t="s">
        <v>739</v>
      </c>
      <c r="C411" s="90" t="s">
        <v>740</v>
      </c>
      <c r="D411" s="90" t="s">
        <v>994</v>
      </c>
      <c r="E411" s="90" t="s">
        <v>995</v>
      </c>
      <c r="F411" s="90" t="s">
        <v>996</v>
      </c>
      <c r="G411" s="89">
        <v>237115.17999999996</v>
      </c>
      <c r="H411" s="141" t="str">
        <f t="shared" si="30"/>
        <v>155061025887</v>
      </c>
      <c r="I411" s="142">
        <v>0</v>
      </c>
      <c r="J411" s="142" t="s">
        <v>1863</v>
      </c>
      <c r="K411" s="143">
        <f t="shared" si="27"/>
        <v>0</v>
      </c>
      <c r="L411" s="144">
        <f t="shared" si="28"/>
        <v>237115.17999999996</v>
      </c>
      <c r="M411" s="144">
        <f t="shared" si="29"/>
        <v>237115.17999999996</v>
      </c>
      <c r="N411" s="145" t="s">
        <v>983</v>
      </c>
      <c r="O411" s="125"/>
    </row>
    <row r="412" spans="1:15" ht="15" customHeight="1" x14ac:dyDescent="0.3">
      <c r="A412" s="90" t="s">
        <v>195</v>
      </c>
      <c r="B412" s="90" t="s">
        <v>739</v>
      </c>
      <c r="C412" s="90" t="s">
        <v>740</v>
      </c>
      <c r="D412" s="90" t="s">
        <v>1009</v>
      </c>
      <c r="E412" s="90" t="s">
        <v>1010</v>
      </c>
      <c r="F412" s="90" t="s">
        <v>1011</v>
      </c>
      <c r="G412" s="89">
        <v>255415.14999999997</v>
      </c>
      <c r="H412" s="141" t="str">
        <f t="shared" si="30"/>
        <v>155061290887</v>
      </c>
      <c r="I412" s="142">
        <v>0</v>
      </c>
      <c r="J412" s="142" t="s">
        <v>1863</v>
      </c>
      <c r="K412" s="143">
        <f t="shared" si="27"/>
        <v>0</v>
      </c>
      <c r="L412" s="144">
        <f t="shared" si="28"/>
        <v>255415.14999999997</v>
      </c>
      <c r="M412" s="144">
        <f t="shared" si="29"/>
        <v>255415.14999999997</v>
      </c>
      <c r="N412" s="145" t="s">
        <v>983</v>
      </c>
      <c r="O412" s="125"/>
    </row>
    <row r="413" spans="1:15" ht="15" customHeight="1" x14ac:dyDescent="0.3">
      <c r="A413" s="90" t="s">
        <v>195</v>
      </c>
      <c r="B413" s="90" t="s">
        <v>739</v>
      </c>
      <c r="C413" s="90" t="s">
        <v>740</v>
      </c>
      <c r="D413" s="90" t="s">
        <v>984</v>
      </c>
      <c r="E413" s="90" t="s">
        <v>985</v>
      </c>
      <c r="F413" s="90" t="s">
        <v>986</v>
      </c>
      <c r="G413" s="89">
        <v>348068.35999999993</v>
      </c>
      <c r="H413" s="141" t="str">
        <f t="shared" si="30"/>
        <v>155061220887</v>
      </c>
      <c r="I413" s="142">
        <v>0</v>
      </c>
      <c r="J413" s="142" t="s">
        <v>1863</v>
      </c>
      <c r="K413" s="143">
        <f t="shared" si="27"/>
        <v>0</v>
      </c>
      <c r="L413" s="144">
        <f t="shared" si="28"/>
        <v>348068.35999999993</v>
      </c>
      <c r="M413" s="144">
        <f t="shared" si="29"/>
        <v>348068.35999999993</v>
      </c>
      <c r="N413" s="145" t="s">
        <v>983</v>
      </c>
      <c r="O413" s="125"/>
    </row>
    <row r="414" spans="1:15" ht="15" customHeight="1" x14ac:dyDescent="0.3">
      <c r="A414" s="90" t="s">
        <v>195</v>
      </c>
      <c r="B414" s="90" t="s">
        <v>739</v>
      </c>
      <c r="C414" s="90" t="s">
        <v>740</v>
      </c>
      <c r="D414" s="90" t="s">
        <v>1014</v>
      </c>
      <c r="E414" s="90" t="s">
        <v>1015</v>
      </c>
      <c r="F414" s="90" t="s">
        <v>1016</v>
      </c>
      <c r="G414" s="89">
        <v>654145.29999999993</v>
      </c>
      <c r="H414" s="141" t="str">
        <f t="shared" si="30"/>
        <v>155061100887</v>
      </c>
      <c r="I414" s="142">
        <v>0</v>
      </c>
      <c r="J414" s="142" t="s">
        <v>1863</v>
      </c>
      <c r="K414" s="143">
        <f t="shared" si="27"/>
        <v>0</v>
      </c>
      <c r="L414" s="144">
        <f t="shared" si="28"/>
        <v>654145.29999999993</v>
      </c>
      <c r="M414" s="144">
        <f t="shared" si="29"/>
        <v>654145.29999999993</v>
      </c>
      <c r="N414" s="145" t="s">
        <v>983</v>
      </c>
      <c r="O414" s="125"/>
    </row>
    <row r="415" spans="1:15" ht="15" customHeight="1" x14ac:dyDescent="0.3">
      <c r="A415" s="90" t="s">
        <v>195</v>
      </c>
      <c r="B415" s="90" t="s">
        <v>684</v>
      </c>
      <c r="C415" s="90" t="s">
        <v>685</v>
      </c>
      <c r="D415" s="90" t="s">
        <v>994</v>
      </c>
      <c r="E415" s="90" t="s">
        <v>995</v>
      </c>
      <c r="F415" s="90" t="s">
        <v>996</v>
      </c>
      <c r="G415" s="89">
        <v>1228887.32</v>
      </c>
      <c r="H415" s="141" t="str">
        <f t="shared" si="30"/>
        <v>151001025887</v>
      </c>
      <c r="I415" s="142">
        <v>0</v>
      </c>
      <c r="J415" s="142" t="s">
        <v>1863</v>
      </c>
      <c r="K415" s="143">
        <f t="shared" si="27"/>
        <v>0</v>
      </c>
      <c r="L415" s="144">
        <f t="shared" si="28"/>
        <v>1228887.32</v>
      </c>
      <c r="M415" s="144">
        <f t="shared" si="29"/>
        <v>1228887.32</v>
      </c>
      <c r="N415" s="145" t="s">
        <v>983</v>
      </c>
      <c r="O415" s="125"/>
    </row>
    <row r="416" spans="1:15" ht="15" customHeight="1" x14ac:dyDescent="0.3">
      <c r="A416" s="90" t="s">
        <v>196</v>
      </c>
      <c r="B416" s="90" t="s">
        <v>684</v>
      </c>
      <c r="C416" s="90" t="s">
        <v>685</v>
      </c>
      <c r="D416" s="90" t="s">
        <v>1017</v>
      </c>
      <c r="E416" s="90" t="s">
        <v>1018</v>
      </c>
      <c r="F416" s="90" t="s">
        <v>1019</v>
      </c>
      <c r="G416" s="89">
        <v>26.8</v>
      </c>
      <c r="H416" s="141" t="str">
        <f t="shared" si="30"/>
        <v>151001640889</v>
      </c>
      <c r="I416" s="142">
        <v>0.12765957446808507</v>
      </c>
      <c r="J416" s="142" t="s">
        <v>1875</v>
      </c>
      <c r="K416" s="143">
        <f t="shared" si="27"/>
        <v>3.42127659574468</v>
      </c>
      <c r="L416" s="144">
        <f t="shared" si="28"/>
        <v>23.378723404255322</v>
      </c>
      <c r="M416" s="144">
        <f t="shared" si="29"/>
        <v>26.8</v>
      </c>
      <c r="N416" s="145" t="s">
        <v>1020</v>
      </c>
      <c r="O416" s="125"/>
    </row>
    <row r="417" spans="1:15" ht="15" customHeight="1" x14ac:dyDescent="0.3">
      <c r="A417" s="90" t="s">
        <v>196</v>
      </c>
      <c r="B417" s="90" t="s">
        <v>819</v>
      </c>
      <c r="C417" s="90" t="s">
        <v>820</v>
      </c>
      <c r="D417" s="90" t="s">
        <v>1021</v>
      </c>
      <c r="E417" s="90" t="s">
        <v>1022</v>
      </c>
      <c r="F417" s="90" t="s">
        <v>1023</v>
      </c>
      <c r="G417" s="89">
        <v>76.12</v>
      </c>
      <c r="H417" s="141" t="str">
        <f t="shared" si="30"/>
        <v>135101140889</v>
      </c>
      <c r="I417" s="142">
        <v>0.11160000000000003</v>
      </c>
      <c r="J417" s="142" t="s">
        <v>1871</v>
      </c>
      <c r="K417" s="143">
        <f t="shared" si="27"/>
        <v>8.4949920000000034</v>
      </c>
      <c r="L417" s="144">
        <f t="shared" si="28"/>
        <v>67.625008000000008</v>
      </c>
      <c r="M417" s="144">
        <f t="shared" si="29"/>
        <v>76.12</v>
      </c>
      <c r="N417" s="145" t="s">
        <v>1020</v>
      </c>
      <c r="O417" s="125"/>
    </row>
    <row r="418" spans="1:15" ht="15" customHeight="1" x14ac:dyDescent="0.3">
      <c r="A418" s="90" t="s">
        <v>196</v>
      </c>
      <c r="B418" s="90" t="s">
        <v>810</v>
      </c>
      <c r="C418" s="90" t="s">
        <v>811</v>
      </c>
      <c r="D418" s="90" t="s">
        <v>1017</v>
      </c>
      <c r="E418" s="90" t="s">
        <v>1018</v>
      </c>
      <c r="F418" s="90" t="s">
        <v>1019</v>
      </c>
      <c r="G418" s="89">
        <v>84.48</v>
      </c>
      <c r="H418" s="141" t="str">
        <f t="shared" si="30"/>
        <v>161151640889</v>
      </c>
      <c r="I418" s="142">
        <v>0.12765957446808507</v>
      </c>
      <c r="J418" s="142" t="s">
        <v>1874</v>
      </c>
      <c r="K418" s="143">
        <f t="shared" si="27"/>
        <v>10.784680851063827</v>
      </c>
      <c r="L418" s="144">
        <f t="shared" si="28"/>
        <v>73.695319148936179</v>
      </c>
      <c r="M418" s="144">
        <f t="shared" si="29"/>
        <v>84.48</v>
      </c>
      <c r="N418" s="145" t="s">
        <v>1020</v>
      </c>
      <c r="O418" s="125"/>
    </row>
    <row r="419" spans="1:15" ht="15" customHeight="1" x14ac:dyDescent="0.3">
      <c r="A419" s="90" t="s">
        <v>196</v>
      </c>
      <c r="B419" s="90" t="s">
        <v>739</v>
      </c>
      <c r="C419" s="90" t="s">
        <v>740</v>
      </c>
      <c r="D419" s="90" t="s">
        <v>1024</v>
      </c>
      <c r="E419" s="90" t="s">
        <v>1025</v>
      </c>
      <c r="F419" s="90" t="s">
        <v>1026</v>
      </c>
      <c r="G419" s="89">
        <v>195.44</v>
      </c>
      <c r="H419" s="141" t="str">
        <f t="shared" si="30"/>
        <v>155061130889</v>
      </c>
      <c r="I419" s="142">
        <v>0</v>
      </c>
      <c r="J419" s="142" t="s">
        <v>1863</v>
      </c>
      <c r="K419" s="143">
        <f t="shared" si="27"/>
        <v>0</v>
      </c>
      <c r="L419" s="144">
        <f t="shared" si="28"/>
        <v>195.44</v>
      </c>
      <c r="M419" s="144">
        <f t="shared" si="29"/>
        <v>195.44</v>
      </c>
      <c r="N419" s="145" t="s">
        <v>1020</v>
      </c>
      <c r="O419" s="125"/>
    </row>
    <row r="420" spans="1:15" ht="15" customHeight="1" x14ac:dyDescent="0.3">
      <c r="A420" s="90" t="s">
        <v>196</v>
      </c>
      <c r="B420" s="90" t="s">
        <v>739</v>
      </c>
      <c r="C420" s="90" t="s">
        <v>740</v>
      </c>
      <c r="D420" s="90" t="s">
        <v>1027</v>
      </c>
      <c r="E420" s="90" t="s">
        <v>1028</v>
      </c>
      <c r="F420" s="90" t="s">
        <v>1023</v>
      </c>
      <c r="G420" s="89">
        <v>352.46</v>
      </c>
      <c r="H420" s="141" t="str">
        <f t="shared" si="30"/>
        <v>155061145889</v>
      </c>
      <c r="I420" s="142">
        <v>0</v>
      </c>
      <c r="J420" s="142" t="s">
        <v>1863</v>
      </c>
      <c r="K420" s="143">
        <f t="shared" si="27"/>
        <v>0</v>
      </c>
      <c r="L420" s="144">
        <f t="shared" si="28"/>
        <v>352.46</v>
      </c>
      <c r="M420" s="144">
        <f t="shared" si="29"/>
        <v>352.46</v>
      </c>
      <c r="N420" s="145" t="s">
        <v>1020</v>
      </c>
      <c r="O420" s="125"/>
    </row>
    <row r="421" spans="1:15" ht="15" customHeight="1" x14ac:dyDescent="0.3">
      <c r="A421" s="90" t="s">
        <v>196</v>
      </c>
      <c r="B421" s="90" t="s">
        <v>1029</v>
      </c>
      <c r="C421" s="90" t="s">
        <v>1030</v>
      </c>
      <c r="D421" s="90" t="s">
        <v>1017</v>
      </c>
      <c r="E421" s="90" t="s">
        <v>1018</v>
      </c>
      <c r="F421" s="90" t="s">
        <v>1019</v>
      </c>
      <c r="G421" s="89">
        <v>764.08</v>
      </c>
      <c r="H421" s="141" t="str">
        <f t="shared" si="30"/>
        <v>410501640889</v>
      </c>
      <c r="I421" s="142">
        <v>0.12765957446808507</v>
      </c>
      <c r="J421" s="142" t="s">
        <v>1874</v>
      </c>
      <c r="K421" s="143">
        <f t="shared" si="27"/>
        <v>97.542127659574447</v>
      </c>
      <c r="L421" s="144">
        <f t="shared" si="28"/>
        <v>666.53787234042557</v>
      </c>
      <c r="M421" s="144">
        <f t="shared" si="29"/>
        <v>764.08</v>
      </c>
      <c r="N421" s="145" t="s">
        <v>1020</v>
      </c>
      <c r="O421" s="125"/>
    </row>
    <row r="422" spans="1:15" ht="15" customHeight="1" x14ac:dyDescent="0.3">
      <c r="A422" s="90" t="s">
        <v>196</v>
      </c>
      <c r="B422" s="90" t="s">
        <v>739</v>
      </c>
      <c r="C422" s="90" t="s">
        <v>740</v>
      </c>
      <c r="D422" s="90" t="s">
        <v>1021</v>
      </c>
      <c r="E422" s="90" t="s">
        <v>1022</v>
      </c>
      <c r="F422" s="90" t="s">
        <v>1023</v>
      </c>
      <c r="G422" s="89">
        <v>880</v>
      </c>
      <c r="H422" s="141" t="str">
        <f t="shared" si="30"/>
        <v>155061140889</v>
      </c>
      <c r="I422" s="142">
        <v>0</v>
      </c>
      <c r="J422" s="142" t="s">
        <v>1863</v>
      </c>
      <c r="K422" s="143">
        <f t="shared" si="27"/>
        <v>0</v>
      </c>
      <c r="L422" s="144">
        <f t="shared" si="28"/>
        <v>880</v>
      </c>
      <c r="M422" s="144">
        <f t="shared" si="29"/>
        <v>880</v>
      </c>
      <c r="N422" s="145" t="s">
        <v>1020</v>
      </c>
      <c r="O422" s="125"/>
    </row>
    <row r="423" spans="1:15" ht="15" customHeight="1" x14ac:dyDescent="0.3">
      <c r="A423" s="90" t="s">
        <v>196</v>
      </c>
      <c r="B423" s="90" t="s">
        <v>750</v>
      </c>
      <c r="C423" s="90" t="s">
        <v>751</v>
      </c>
      <c r="D423" s="90" t="s">
        <v>1027</v>
      </c>
      <c r="E423" s="90" t="s">
        <v>1028</v>
      </c>
      <c r="F423" s="90" t="s">
        <v>1023</v>
      </c>
      <c r="G423" s="89">
        <v>1040</v>
      </c>
      <c r="H423" s="141" t="str">
        <f t="shared" si="30"/>
        <v>155071145889</v>
      </c>
      <c r="I423" s="142">
        <v>6.5216999999999997E-2</v>
      </c>
      <c r="J423" s="142" t="s">
        <v>1866</v>
      </c>
      <c r="K423" s="143">
        <f t="shared" si="27"/>
        <v>67.825679999999991</v>
      </c>
      <c r="L423" s="144">
        <f t="shared" si="28"/>
        <v>972.17431999999997</v>
      </c>
      <c r="M423" s="144">
        <f t="shared" si="29"/>
        <v>1040</v>
      </c>
      <c r="N423" s="145" t="s">
        <v>1020</v>
      </c>
      <c r="O423" s="125"/>
    </row>
    <row r="424" spans="1:15" ht="15" customHeight="1" x14ac:dyDescent="0.3">
      <c r="A424" s="90" t="s">
        <v>196</v>
      </c>
      <c r="B424" s="90" t="s">
        <v>688</v>
      </c>
      <c r="C424" s="90" t="s">
        <v>689</v>
      </c>
      <c r="D424" s="90" t="s">
        <v>1017</v>
      </c>
      <c r="E424" s="90" t="s">
        <v>1018</v>
      </c>
      <c r="F424" s="90" t="s">
        <v>1019</v>
      </c>
      <c r="G424" s="89">
        <v>1120.1300000000001</v>
      </c>
      <c r="H424" s="141" t="str">
        <f t="shared" si="30"/>
        <v>111001640889</v>
      </c>
      <c r="I424" s="142">
        <v>8.3600000000000008E-2</v>
      </c>
      <c r="J424" s="142" t="s">
        <v>1865</v>
      </c>
      <c r="K424" s="143">
        <f t="shared" si="27"/>
        <v>93.642868000000021</v>
      </c>
      <c r="L424" s="144">
        <f t="shared" si="28"/>
        <v>1026.4871320000002</v>
      </c>
      <c r="M424" s="144">
        <f t="shared" si="29"/>
        <v>1120.1300000000001</v>
      </c>
      <c r="N424" s="145" t="s">
        <v>1020</v>
      </c>
      <c r="O424" s="125"/>
    </row>
    <row r="425" spans="1:15" ht="15" customHeight="1" x14ac:dyDescent="0.3">
      <c r="A425" s="90" t="s">
        <v>196</v>
      </c>
      <c r="B425" s="90" t="s">
        <v>739</v>
      </c>
      <c r="C425" s="90" t="s">
        <v>740</v>
      </c>
      <c r="D425" s="90" t="s">
        <v>1031</v>
      </c>
      <c r="E425" s="90" t="s">
        <v>838</v>
      </c>
      <c r="F425" s="90" t="s">
        <v>1032</v>
      </c>
      <c r="G425" s="89">
        <v>1300</v>
      </c>
      <c r="H425" s="141" t="str">
        <f t="shared" si="30"/>
        <v>155061125889</v>
      </c>
      <c r="I425" s="142">
        <v>0</v>
      </c>
      <c r="J425" s="142" t="s">
        <v>1863</v>
      </c>
      <c r="K425" s="143">
        <f t="shared" si="27"/>
        <v>0</v>
      </c>
      <c r="L425" s="144">
        <f t="shared" si="28"/>
        <v>1300</v>
      </c>
      <c r="M425" s="144">
        <f t="shared" si="29"/>
        <v>1300</v>
      </c>
      <c r="N425" s="145" t="s">
        <v>1020</v>
      </c>
      <c r="O425" s="125"/>
    </row>
    <row r="426" spans="1:15" ht="15" customHeight="1" x14ac:dyDescent="0.3">
      <c r="A426" s="90" t="s">
        <v>196</v>
      </c>
      <c r="B426" s="90" t="s">
        <v>750</v>
      </c>
      <c r="C426" s="90" t="s">
        <v>751</v>
      </c>
      <c r="D426" s="90" t="s">
        <v>1031</v>
      </c>
      <c r="E426" s="90" t="s">
        <v>838</v>
      </c>
      <c r="F426" s="90" t="s">
        <v>1032</v>
      </c>
      <c r="G426" s="89">
        <v>1500</v>
      </c>
      <c r="H426" s="141" t="str">
        <f t="shared" si="30"/>
        <v>155071125889</v>
      </c>
      <c r="I426" s="142">
        <v>6.5216999999999997E-2</v>
      </c>
      <c r="J426" s="142" t="s">
        <v>1866</v>
      </c>
      <c r="K426" s="143">
        <f t="shared" si="27"/>
        <v>97.825499999999991</v>
      </c>
      <c r="L426" s="144">
        <f t="shared" si="28"/>
        <v>1402.1745000000001</v>
      </c>
      <c r="M426" s="144">
        <f t="shared" si="29"/>
        <v>1500</v>
      </c>
      <c r="N426" s="145" t="s">
        <v>1020</v>
      </c>
      <c r="O426" s="125"/>
    </row>
    <row r="427" spans="1:15" ht="15" customHeight="1" x14ac:dyDescent="0.3">
      <c r="A427" s="90" t="s">
        <v>196</v>
      </c>
      <c r="B427" s="90" t="s">
        <v>739</v>
      </c>
      <c r="C427" s="90" t="s">
        <v>740</v>
      </c>
      <c r="D427" s="90" t="s">
        <v>1033</v>
      </c>
      <c r="E427" s="90" t="s">
        <v>1034</v>
      </c>
      <c r="F427" s="90" t="s">
        <v>1023</v>
      </c>
      <c r="G427" s="89">
        <v>1972.0500000000002</v>
      </c>
      <c r="H427" s="141" t="str">
        <f t="shared" si="30"/>
        <v>155061155889</v>
      </c>
      <c r="I427" s="142">
        <v>0</v>
      </c>
      <c r="J427" s="142" t="s">
        <v>1863</v>
      </c>
      <c r="K427" s="143">
        <f t="shared" si="27"/>
        <v>0</v>
      </c>
      <c r="L427" s="144">
        <f t="shared" si="28"/>
        <v>1972.0500000000002</v>
      </c>
      <c r="M427" s="144">
        <f t="shared" si="29"/>
        <v>1972.0500000000002</v>
      </c>
      <c r="N427" s="145" t="s">
        <v>1020</v>
      </c>
      <c r="O427" s="125"/>
    </row>
    <row r="428" spans="1:15" ht="15" customHeight="1" x14ac:dyDescent="0.3">
      <c r="A428" s="90" t="s">
        <v>196</v>
      </c>
      <c r="B428" s="90" t="s">
        <v>690</v>
      </c>
      <c r="C428" s="90" t="s">
        <v>691</v>
      </c>
      <c r="D428" s="90" t="s">
        <v>1024</v>
      </c>
      <c r="E428" s="90" t="s">
        <v>1025</v>
      </c>
      <c r="F428" s="90" t="s">
        <v>1026</v>
      </c>
      <c r="G428" s="89">
        <v>2283.54</v>
      </c>
      <c r="H428" s="141" t="str">
        <f t="shared" si="30"/>
        <v>141001130889</v>
      </c>
      <c r="I428" s="142">
        <v>1.1399999999999966E-2</v>
      </c>
      <c r="J428" s="142" t="s">
        <v>281</v>
      </c>
      <c r="K428" s="143">
        <f t="shared" si="27"/>
        <v>26.032355999999922</v>
      </c>
      <c r="L428" s="144">
        <f t="shared" si="28"/>
        <v>2257.5076440000003</v>
      </c>
      <c r="M428" s="144">
        <f t="shared" si="29"/>
        <v>2283.54</v>
      </c>
      <c r="N428" s="145" t="s">
        <v>1020</v>
      </c>
      <c r="O428" s="125"/>
    </row>
    <row r="429" spans="1:15" ht="15" customHeight="1" x14ac:dyDescent="0.3">
      <c r="A429" s="90" t="s">
        <v>196</v>
      </c>
      <c r="B429" s="90" t="s">
        <v>690</v>
      </c>
      <c r="C429" s="90" t="s">
        <v>691</v>
      </c>
      <c r="D429" s="90" t="s">
        <v>1021</v>
      </c>
      <c r="E429" s="90" t="s">
        <v>1022</v>
      </c>
      <c r="F429" s="90" t="s">
        <v>1023</v>
      </c>
      <c r="G429" s="89">
        <v>2372.5699999999997</v>
      </c>
      <c r="H429" s="141" t="str">
        <f t="shared" si="30"/>
        <v>141001140889</v>
      </c>
      <c r="I429" s="142">
        <v>1.1399999999999966E-2</v>
      </c>
      <c r="J429" s="142" t="s">
        <v>281</v>
      </c>
      <c r="K429" s="143">
        <f t="shared" si="27"/>
        <v>27.047297999999916</v>
      </c>
      <c r="L429" s="144">
        <f t="shared" si="28"/>
        <v>2345.5227019999998</v>
      </c>
      <c r="M429" s="144">
        <f t="shared" si="29"/>
        <v>2372.5699999999997</v>
      </c>
      <c r="N429" s="145" t="s">
        <v>1020</v>
      </c>
      <c r="O429" s="125"/>
    </row>
    <row r="430" spans="1:15" ht="15" customHeight="1" x14ac:dyDescent="0.3">
      <c r="A430" s="90" t="s">
        <v>196</v>
      </c>
      <c r="B430" s="90" t="s">
        <v>690</v>
      </c>
      <c r="C430" s="90" t="s">
        <v>691</v>
      </c>
      <c r="D430" s="90" t="s">
        <v>1027</v>
      </c>
      <c r="E430" s="90" t="s">
        <v>1028</v>
      </c>
      <c r="F430" s="90" t="s">
        <v>1023</v>
      </c>
      <c r="G430" s="89">
        <v>2457.6799999999998</v>
      </c>
      <c r="H430" s="141" t="str">
        <f t="shared" si="30"/>
        <v>141001145889</v>
      </c>
      <c r="I430" s="142">
        <v>1.1399999999999966E-2</v>
      </c>
      <c r="J430" s="142" t="s">
        <v>281</v>
      </c>
      <c r="K430" s="143">
        <f t="shared" si="27"/>
        <v>28.017551999999913</v>
      </c>
      <c r="L430" s="144">
        <f t="shared" si="28"/>
        <v>2429.662448</v>
      </c>
      <c r="M430" s="144">
        <f t="shared" si="29"/>
        <v>2457.6799999999998</v>
      </c>
      <c r="N430" s="145" t="s">
        <v>1020</v>
      </c>
      <c r="O430" s="125"/>
    </row>
    <row r="431" spans="1:15" ht="15" customHeight="1" x14ac:dyDescent="0.3">
      <c r="A431" s="90" t="s">
        <v>196</v>
      </c>
      <c r="B431" s="90" t="s">
        <v>690</v>
      </c>
      <c r="C431" s="90" t="s">
        <v>691</v>
      </c>
      <c r="D431" s="90" t="s">
        <v>1031</v>
      </c>
      <c r="E431" s="90" t="s">
        <v>838</v>
      </c>
      <c r="F431" s="90" t="s">
        <v>1032</v>
      </c>
      <c r="G431" s="89">
        <v>4104.29</v>
      </c>
      <c r="H431" s="141" t="str">
        <f t="shared" si="30"/>
        <v>141001125889</v>
      </c>
      <c r="I431" s="142">
        <v>1.1399999999999966E-2</v>
      </c>
      <c r="J431" s="142" t="s">
        <v>281</v>
      </c>
      <c r="K431" s="143">
        <f t="shared" si="27"/>
        <v>46.788905999999862</v>
      </c>
      <c r="L431" s="144">
        <f t="shared" si="28"/>
        <v>4057.5010940000002</v>
      </c>
      <c r="M431" s="144">
        <f t="shared" si="29"/>
        <v>4104.29</v>
      </c>
      <c r="N431" s="145" t="s">
        <v>1020</v>
      </c>
      <c r="O431" s="125"/>
    </row>
    <row r="432" spans="1:15" ht="15" customHeight="1" x14ac:dyDescent="0.3">
      <c r="A432" s="90" t="s">
        <v>196</v>
      </c>
      <c r="B432" s="90" t="s">
        <v>688</v>
      </c>
      <c r="C432" s="90" t="s">
        <v>689</v>
      </c>
      <c r="D432" s="90" t="s">
        <v>1027</v>
      </c>
      <c r="E432" s="90" t="s">
        <v>1028</v>
      </c>
      <c r="F432" s="90" t="s">
        <v>1023</v>
      </c>
      <c r="G432" s="89">
        <v>6632.34</v>
      </c>
      <c r="H432" s="141" t="str">
        <f t="shared" si="30"/>
        <v>111001145889</v>
      </c>
      <c r="I432" s="142">
        <v>8.3600000000000008E-2</v>
      </c>
      <c r="J432" s="142" t="s">
        <v>1865</v>
      </c>
      <c r="K432" s="143">
        <f t="shared" si="27"/>
        <v>554.4636240000001</v>
      </c>
      <c r="L432" s="144">
        <f t="shared" si="28"/>
        <v>6077.8763760000002</v>
      </c>
      <c r="M432" s="144">
        <f t="shared" si="29"/>
        <v>6632.34</v>
      </c>
      <c r="N432" s="145" t="s">
        <v>1020</v>
      </c>
      <c r="O432" s="125"/>
    </row>
    <row r="433" spans="1:15" ht="15" customHeight="1" x14ac:dyDescent="0.3">
      <c r="A433" s="90" t="s">
        <v>196</v>
      </c>
      <c r="B433" s="90" t="s">
        <v>826</v>
      </c>
      <c r="C433" s="90" t="s">
        <v>827</v>
      </c>
      <c r="D433" s="90" t="s">
        <v>1035</v>
      </c>
      <c r="E433" s="90" t="s">
        <v>829</v>
      </c>
      <c r="F433" s="90" t="s">
        <v>1036</v>
      </c>
      <c r="G433" s="89">
        <v>20882.330000000002</v>
      </c>
      <c r="H433" s="141" t="str">
        <f t="shared" si="30"/>
        <v>162002345889</v>
      </c>
      <c r="I433" s="142">
        <v>0.11209999999999998</v>
      </c>
      <c r="J433" s="142" t="s">
        <v>1864</v>
      </c>
      <c r="K433" s="143">
        <f t="shared" si="27"/>
        <v>2340.9091929999995</v>
      </c>
      <c r="L433" s="144">
        <f t="shared" si="28"/>
        <v>18541.420807000002</v>
      </c>
      <c r="M433" s="144">
        <f t="shared" si="29"/>
        <v>20882.330000000002</v>
      </c>
      <c r="N433" s="145" t="s">
        <v>1020</v>
      </c>
      <c r="O433" s="125"/>
    </row>
    <row r="434" spans="1:15" ht="15" customHeight="1" x14ac:dyDescent="0.3">
      <c r="A434" s="90" t="s">
        <v>196</v>
      </c>
      <c r="B434" s="90" t="s">
        <v>688</v>
      </c>
      <c r="C434" s="90" t="s">
        <v>689</v>
      </c>
      <c r="D434" s="90" t="s">
        <v>1033</v>
      </c>
      <c r="E434" s="90" t="s">
        <v>1034</v>
      </c>
      <c r="F434" s="90" t="s">
        <v>1023</v>
      </c>
      <c r="G434" s="89">
        <v>41404.439999999995</v>
      </c>
      <c r="H434" s="141" t="str">
        <f t="shared" si="30"/>
        <v>111001155889</v>
      </c>
      <c r="I434" s="142">
        <v>8.3600000000000008E-2</v>
      </c>
      <c r="J434" s="142" t="s">
        <v>1865</v>
      </c>
      <c r="K434" s="143">
        <f t="shared" si="27"/>
        <v>3461.411184</v>
      </c>
      <c r="L434" s="144">
        <f t="shared" si="28"/>
        <v>37943.028815999998</v>
      </c>
      <c r="M434" s="144">
        <f t="shared" si="29"/>
        <v>41404.439999999995</v>
      </c>
      <c r="N434" s="145" t="s">
        <v>1020</v>
      </c>
      <c r="O434" s="125"/>
    </row>
    <row r="435" spans="1:15" ht="15" customHeight="1" x14ac:dyDescent="0.3">
      <c r="A435" s="90" t="s">
        <v>196</v>
      </c>
      <c r="B435" s="90" t="s">
        <v>688</v>
      </c>
      <c r="C435" s="90" t="s">
        <v>689</v>
      </c>
      <c r="D435" s="90" t="s">
        <v>1024</v>
      </c>
      <c r="E435" s="90" t="s">
        <v>1025</v>
      </c>
      <c r="F435" s="90" t="s">
        <v>1026</v>
      </c>
      <c r="G435" s="89">
        <v>84979.37999999999</v>
      </c>
      <c r="H435" s="141" t="str">
        <f t="shared" si="30"/>
        <v>111001130889</v>
      </c>
      <c r="I435" s="142">
        <v>8.3600000000000008E-2</v>
      </c>
      <c r="J435" s="142" t="s">
        <v>1865</v>
      </c>
      <c r="K435" s="143">
        <f t="shared" si="27"/>
        <v>7104.2761679999994</v>
      </c>
      <c r="L435" s="144">
        <f t="shared" si="28"/>
        <v>77875.103831999993</v>
      </c>
      <c r="M435" s="144">
        <f t="shared" si="29"/>
        <v>84979.37999999999</v>
      </c>
      <c r="N435" s="145" t="s">
        <v>1020</v>
      </c>
      <c r="O435" s="125"/>
    </row>
    <row r="436" spans="1:15" ht="15" customHeight="1" x14ac:dyDescent="0.3">
      <c r="A436" s="90" t="s">
        <v>196</v>
      </c>
      <c r="B436" s="90" t="s">
        <v>688</v>
      </c>
      <c r="C436" s="90" t="s">
        <v>689</v>
      </c>
      <c r="D436" s="90" t="s">
        <v>1021</v>
      </c>
      <c r="E436" s="90" t="s">
        <v>1022</v>
      </c>
      <c r="F436" s="90" t="s">
        <v>1023</v>
      </c>
      <c r="G436" s="89">
        <v>106660.57</v>
      </c>
      <c r="H436" s="141" t="str">
        <f t="shared" si="30"/>
        <v>111001140889</v>
      </c>
      <c r="I436" s="142">
        <v>8.3600000000000008E-2</v>
      </c>
      <c r="J436" s="142" t="s">
        <v>1865</v>
      </c>
      <c r="K436" s="143">
        <f t="shared" si="27"/>
        <v>8916.8236520000009</v>
      </c>
      <c r="L436" s="144">
        <f t="shared" si="28"/>
        <v>97743.746348000001</v>
      </c>
      <c r="M436" s="144">
        <f t="shared" si="29"/>
        <v>106660.57</v>
      </c>
      <c r="N436" s="145" t="s">
        <v>1020</v>
      </c>
      <c r="O436" s="125"/>
    </row>
    <row r="437" spans="1:15" ht="15" customHeight="1" x14ac:dyDescent="0.3">
      <c r="A437" s="90" t="s">
        <v>196</v>
      </c>
      <c r="B437" s="90" t="s">
        <v>686</v>
      </c>
      <c r="C437" s="90" t="s">
        <v>687</v>
      </c>
      <c r="D437" s="90" t="s">
        <v>1017</v>
      </c>
      <c r="E437" s="90" t="s">
        <v>1018</v>
      </c>
      <c r="F437" s="90" t="s">
        <v>1019</v>
      </c>
      <c r="G437" s="89">
        <v>263864.93</v>
      </c>
      <c r="H437" s="141" t="str">
        <f t="shared" si="30"/>
        <v>131001640889</v>
      </c>
      <c r="I437" s="142">
        <v>0.12765957446808507</v>
      </c>
      <c r="J437" s="142" t="s">
        <v>1875</v>
      </c>
      <c r="K437" s="143">
        <f t="shared" si="27"/>
        <v>33684.88468085105</v>
      </c>
      <c r="L437" s="144">
        <f t="shared" si="28"/>
        <v>230180.04531914895</v>
      </c>
      <c r="M437" s="144">
        <f t="shared" si="29"/>
        <v>263864.93</v>
      </c>
      <c r="N437" s="145" t="s">
        <v>1020</v>
      </c>
      <c r="O437" s="125"/>
    </row>
    <row r="438" spans="1:15" ht="15" customHeight="1" x14ac:dyDescent="0.3">
      <c r="A438" s="90" t="s">
        <v>196</v>
      </c>
      <c r="B438" s="90" t="s">
        <v>688</v>
      </c>
      <c r="C438" s="90" t="s">
        <v>689</v>
      </c>
      <c r="D438" s="90" t="s">
        <v>1031</v>
      </c>
      <c r="E438" s="90" t="s">
        <v>838</v>
      </c>
      <c r="F438" s="90" t="s">
        <v>1032</v>
      </c>
      <c r="G438" s="89">
        <v>954280.09999999986</v>
      </c>
      <c r="H438" s="141" t="str">
        <f t="shared" si="30"/>
        <v>111001125889</v>
      </c>
      <c r="I438" s="142">
        <v>8.3600000000000008E-2</v>
      </c>
      <c r="J438" s="142" t="s">
        <v>1865</v>
      </c>
      <c r="K438" s="143">
        <f t="shared" si="27"/>
        <v>79777.816359999997</v>
      </c>
      <c r="L438" s="144">
        <f t="shared" si="28"/>
        <v>874502.28363999981</v>
      </c>
      <c r="M438" s="144">
        <f t="shared" si="29"/>
        <v>954280.09999999986</v>
      </c>
      <c r="N438" s="145" t="s">
        <v>1020</v>
      </c>
      <c r="O438" s="125"/>
    </row>
    <row r="439" spans="1:15" ht="15" customHeight="1" x14ac:dyDescent="0.3">
      <c r="A439" s="90" t="s">
        <v>197</v>
      </c>
      <c r="B439" s="90" t="s">
        <v>686</v>
      </c>
      <c r="C439" s="90" t="s">
        <v>687</v>
      </c>
      <c r="D439" s="90" t="s">
        <v>1037</v>
      </c>
      <c r="E439" s="90" t="s">
        <v>1038</v>
      </c>
      <c r="F439" s="90" t="s">
        <v>1039</v>
      </c>
      <c r="G439" s="89">
        <v>653.32000000000005</v>
      </c>
      <c r="H439" s="141" t="str">
        <f t="shared" si="30"/>
        <v>131001525891</v>
      </c>
      <c r="I439" s="142">
        <v>0.11209999999999998</v>
      </c>
      <c r="J439" s="142" t="s">
        <v>308</v>
      </c>
      <c r="K439" s="143">
        <f t="shared" si="27"/>
        <v>73.237171999999987</v>
      </c>
      <c r="L439" s="144">
        <f t="shared" si="28"/>
        <v>580.08282800000006</v>
      </c>
      <c r="M439" s="144">
        <f t="shared" si="29"/>
        <v>653.32000000000005</v>
      </c>
      <c r="N439" s="145" t="s">
        <v>1040</v>
      </c>
      <c r="O439" s="125"/>
    </row>
    <row r="440" spans="1:15" ht="15" customHeight="1" x14ac:dyDescent="0.3">
      <c r="A440" s="90" t="s">
        <v>197</v>
      </c>
      <c r="B440" s="90" t="s">
        <v>690</v>
      </c>
      <c r="C440" s="90" t="s">
        <v>691</v>
      </c>
      <c r="D440" s="90" t="s">
        <v>1041</v>
      </c>
      <c r="E440" s="90" t="s">
        <v>847</v>
      </c>
      <c r="F440" s="90" t="s">
        <v>1042</v>
      </c>
      <c r="G440" s="89">
        <v>843.68999999999994</v>
      </c>
      <c r="H440" s="141" t="str">
        <f t="shared" si="30"/>
        <v>141001490891</v>
      </c>
      <c r="I440" s="142">
        <v>1.1399999999999966E-2</v>
      </c>
      <c r="J440" s="142" t="s">
        <v>281</v>
      </c>
      <c r="K440" s="143">
        <f t="shared" si="27"/>
        <v>9.6180659999999705</v>
      </c>
      <c r="L440" s="144">
        <f t="shared" si="28"/>
        <v>834.07193399999994</v>
      </c>
      <c r="M440" s="144">
        <f t="shared" si="29"/>
        <v>843.68999999999994</v>
      </c>
      <c r="N440" s="145" t="s">
        <v>1040</v>
      </c>
      <c r="O440" s="125"/>
    </row>
    <row r="441" spans="1:15" ht="15" customHeight="1" x14ac:dyDescent="0.3">
      <c r="A441" s="90" t="s">
        <v>197</v>
      </c>
      <c r="B441" s="90" t="s">
        <v>686</v>
      </c>
      <c r="C441" s="90" t="s">
        <v>687</v>
      </c>
      <c r="D441" s="90" t="s">
        <v>1041</v>
      </c>
      <c r="E441" s="90" t="s">
        <v>847</v>
      </c>
      <c r="F441" s="90" t="s">
        <v>1042</v>
      </c>
      <c r="G441" s="89">
        <v>2925.14</v>
      </c>
      <c r="H441" s="141" t="str">
        <f t="shared" si="30"/>
        <v>131001490891</v>
      </c>
      <c r="I441" s="142">
        <v>0.11209999999999998</v>
      </c>
      <c r="J441" s="142" t="s">
        <v>1864</v>
      </c>
      <c r="K441" s="143">
        <f t="shared" si="27"/>
        <v>327.90819399999992</v>
      </c>
      <c r="L441" s="144">
        <f t="shared" si="28"/>
        <v>2597.2318059999998</v>
      </c>
      <c r="M441" s="144">
        <f t="shared" si="29"/>
        <v>2925.14</v>
      </c>
      <c r="N441" s="145" t="s">
        <v>1040</v>
      </c>
      <c r="O441" s="125"/>
    </row>
    <row r="442" spans="1:15" ht="15" customHeight="1" x14ac:dyDescent="0.3">
      <c r="A442" s="90" t="s">
        <v>197</v>
      </c>
      <c r="B442" s="90" t="s">
        <v>639</v>
      </c>
      <c r="C442" s="90" t="s">
        <v>640</v>
      </c>
      <c r="D442" s="90" t="s">
        <v>1037</v>
      </c>
      <c r="E442" s="90" t="s">
        <v>1038</v>
      </c>
      <c r="F442" s="90" t="s">
        <v>1039</v>
      </c>
      <c r="G442" s="89">
        <v>18310.769999999997</v>
      </c>
      <c r="H442" s="141" t="str">
        <f t="shared" si="30"/>
        <v>161001525891</v>
      </c>
      <c r="I442" s="142">
        <v>0.11209999999999998</v>
      </c>
      <c r="J442" s="142" t="s">
        <v>1864</v>
      </c>
      <c r="K442" s="143">
        <f t="shared" si="27"/>
        <v>2052.6373169999993</v>
      </c>
      <c r="L442" s="144">
        <f t="shared" si="28"/>
        <v>16258.132682999998</v>
      </c>
      <c r="M442" s="144">
        <f t="shared" si="29"/>
        <v>18310.769999999997</v>
      </c>
      <c r="N442" s="145" t="s">
        <v>1040</v>
      </c>
      <c r="O442" s="125"/>
    </row>
    <row r="443" spans="1:15" ht="15" customHeight="1" x14ac:dyDescent="0.3">
      <c r="A443" s="90" t="s">
        <v>197</v>
      </c>
      <c r="B443" s="90" t="s">
        <v>739</v>
      </c>
      <c r="C443" s="90" t="s">
        <v>740</v>
      </c>
      <c r="D443" s="90" t="s">
        <v>1037</v>
      </c>
      <c r="E443" s="90" t="s">
        <v>1038</v>
      </c>
      <c r="F443" s="90" t="s">
        <v>1039</v>
      </c>
      <c r="G443" s="89">
        <v>35492.439999999995</v>
      </c>
      <c r="H443" s="141" t="str">
        <f t="shared" si="30"/>
        <v>155061525891</v>
      </c>
      <c r="I443" s="142">
        <v>0</v>
      </c>
      <c r="J443" s="142" t="s">
        <v>1878</v>
      </c>
      <c r="K443" s="143">
        <f t="shared" si="27"/>
        <v>0</v>
      </c>
      <c r="L443" s="144">
        <f t="shared" si="28"/>
        <v>35492.439999999995</v>
      </c>
      <c r="M443" s="144">
        <f t="shared" si="29"/>
        <v>35492.439999999995</v>
      </c>
      <c r="N443" s="145" t="s">
        <v>1040</v>
      </c>
      <c r="O443" s="125"/>
    </row>
    <row r="444" spans="1:15" ht="15" customHeight="1" x14ac:dyDescent="0.3">
      <c r="A444" s="90" t="s">
        <v>197</v>
      </c>
      <c r="B444" s="90" t="s">
        <v>688</v>
      </c>
      <c r="C444" s="90" t="s">
        <v>689</v>
      </c>
      <c r="D444" s="90" t="s">
        <v>1037</v>
      </c>
      <c r="E444" s="90" t="s">
        <v>1038</v>
      </c>
      <c r="F444" s="90" t="s">
        <v>1039</v>
      </c>
      <c r="G444" s="89">
        <v>56521.06</v>
      </c>
      <c r="H444" s="141" t="str">
        <f t="shared" si="30"/>
        <v>111001525891</v>
      </c>
      <c r="I444" s="142">
        <v>8.3600000000000008E-2</v>
      </c>
      <c r="J444" s="142" t="s">
        <v>1868</v>
      </c>
      <c r="K444" s="143">
        <f t="shared" si="27"/>
        <v>4725.1606160000001</v>
      </c>
      <c r="L444" s="144">
        <f t="shared" si="28"/>
        <v>51795.899383999997</v>
      </c>
      <c r="M444" s="144">
        <f t="shared" si="29"/>
        <v>56521.06</v>
      </c>
      <c r="N444" s="145" t="s">
        <v>1040</v>
      </c>
      <c r="O444" s="125"/>
    </row>
    <row r="445" spans="1:15" ht="15" customHeight="1" x14ac:dyDescent="0.3">
      <c r="A445" s="90" t="s">
        <v>197</v>
      </c>
      <c r="B445" s="90" t="s">
        <v>688</v>
      </c>
      <c r="C445" s="90" t="s">
        <v>689</v>
      </c>
      <c r="D445" s="90" t="s">
        <v>1041</v>
      </c>
      <c r="E445" s="90" t="s">
        <v>847</v>
      </c>
      <c r="F445" s="90" t="s">
        <v>1042</v>
      </c>
      <c r="G445" s="89">
        <v>86791.219999999987</v>
      </c>
      <c r="H445" s="141" t="str">
        <f t="shared" si="30"/>
        <v>111001490891</v>
      </c>
      <c r="I445" s="142">
        <v>8.3600000000000008E-2</v>
      </c>
      <c r="J445" s="142" t="s">
        <v>1865</v>
      </c>
      <c r="K445" s="143">
        <f t="shared" si="27"/>
        <v>7255.7459919999992</v>
      </c>
      <c r="L445" s="144">
        <f t="shared" si="28"/>
        <v>79535.47400799999</v>
      </c>
      <c r="M445" s="144">
        <f t="shared" si="29"/>
        <v>86791.219999999987</v>
      </c>
      <c r="N445" s="145" t="s">
        <v>1040</v>
      </c>
      <c r="O445" s="125"/>
    </row>
    <row r="446" spans="1:15" ht="15" customHeight="1" x14ac:dyDescent="0.3">
      <c r="A446" s="90" t="s">
        <v>198</v>
      </c>
      <c r="B446" s="90" t="s">
        <v>750</v>
      </c>
      <c r="C446" s="90" t="s">
        <v>751</v>
      </c>
      <c r="D446" s="90" t="s">
        <v>1043</v>
      </c>
      <c r="E446" s="90" t="s">
        <v>1044</v>
      </c>
      <c r="F446" s="90" t="s">
        <v>1045</v>
      </c>
      <c r="G446" s="89">
        <v>-8330.81</v>
      </c>
      <c r="H446" s="141" t="str">
        <f t="shared" si="30"/>
        <v>155071605892</v>
      </c>
      <c r="I446" s="142">
        <v>6.5216999999999997E-2</v>
      </c>
      <c r="J446" s="142" t="s">
        <v>1866</v>
      </c>
      <c r="K446" s="143">
        <f t="shared" si="27"/>
        <v>-543.31043576999991</v>
      </c>
      <c r="L446" s="144">
        <f t="shared" si="28"/>
        <v>-7787.49956423</v>
      </c>
      <c r="M446" s="144">
        <f t="shared" si="29"/>
        <v>-8330.81</v>
      </c>
      <c r="N446" s="145" t="s">
        <v>1046</v>
      </c>
      <c r="O446" s="125"/>
    </row>
    <row r="447" spans="1:15" ht="15" customHeight="1" x14ac:dyDescent="0.3">
      <c r="A447" s="90" t="s">
        <v>198</v>
      </c>
      <c r="B447" s="90" t="s">
        <v>750</v>
      </c>
      <c r="C447" s="90" t="s">
        <v>751</v>
      </c>
      <c r="D447" s="90" t="s">
        <v>1047</v>
      </c>
      <c r="E447" s="90" t="s">
        <v>1048</v>
      </c>
      <c r="F447" s="90" t="s">
        <v>1049</v>
      </c>
      <c r="G447" s="89">
        <v>120</v>
      </c>
      <c r="H447" s="141" t="str">
        <f t="shared" si="30"/>
        <v>155070600892</v>
      </c>
      <c r="I447" s="142">
        <v>6.5216999999999997E-2</v>
      </c>
      <c r="J447" s="142" t="s">
        <v>1866</v>
      </c>
      <c r="K447" s="143">
        <f t="shared" si="27"/>
        <v>7.8260399999999999</v>
      </c>
      <c r="L447" s="144">
        <f t="shared" si="28"/>
        <v>112.17395999999999</v>
      </c>
      <c r="M447" s="144">
        <f t="shared" si="29"/>
        <v>120</v>
      </c>
      <c r="N447" s="145" t="s">
        <v>1046</v>
      </c>
      <c r="O447" s="125"/>
    </row>
    <row r="448" spans="1:15" ht="15" customHeight="1" x14ac:dyDescent="0.3">
      <c r="A448" s="90" t="s">
        <v>198</v>
      </c>
      <c r="B448" s="90" t="s">
        <v>763</v>
      </c>
      <c r="C448" s="90" t="s">
        <v>764</v>
      </c>
      <c r="D448" s="90" t="s">
        <v>1050</v>
      </c>
      <c r="E448" s="90" t="s">
        <v>1051</v>
      </c>
      <c r="F448" s="90" t="s">
        <v>1052</v>
      </c>
      <c r="G448" s="89">
        <v>167.7</v>
      </c>
      <c r="H448" s="141" t="str">
        <f t="shared" si="30"/>
        <v>155201478892</v>
      </c>
      <c r="I448" s="142">
        <v>0.11209999999999998</v>
      </c>
      <c r="J448" s="142" t="s">
        <v>1864</v>
      </c>
      <c r="K448" s="143">
        <f t="shared" si="27"/>
        <v>18.799169999999997</v>
      </c>
      <c r="L448" s="144">
        <f t="shared" si="28"/>
        <v>148.90082999999998</v>
      </c>
      <c r="M448" s="144">
        <f t="shared" si="29"/>
        <v>167.7</v>
      </c>
      <c r="N448" s="145" t="s">
        <v>1046</v>
      </c>
      <c r="O448" s="125"/>
    </row>
    <row r="449" spans="1:15" ht="15" customHeight="1" x14ac:dyDescent="0.3">
      <c r="A449" s="90" t="s">
        <v>198</v>
      </c>
      <c r="B449" s="90" t="s">
        <v>739</v>
      </c>
      <c r="C449" s="90" t="s">
        <v>740</v>
      </c>
      <c r="D449" s="90" t="s">
        <v>1053</v>
      </c>
      <c r="E449" s="90" t="s">
        <v>1054</v>
      </c>
      <c r="F449" s="90" t="s">
        <v>1055</v>
      </c>
      <c r="G449" s="89">
        <v>424.33</v>
      </c>
      <c r="H449" s="141" t="str">
        <f t="shared" si="30"/>
        <v>155061627892</v>
      </c>
      <c r="I449" s="142">
        <v>0</v>
      </c>
      <c r="J449" s="142" t="s">
        <v>1863</v>
      </c>
      <c r="K449" s="143">
        <f t="shared" si="27"/>
        <v>0</v>
      </c>
      <c r="L449" s="144">
        <f t="shared" si="28"/>
        <v>424.33</v>
      </c>
      <c r="M449" s="144">
        <f t="shared" si="29"/>
        <v>424.33</v>
      </c>
      <c r="N449" s="145" t="s">
        <v>1046</v>
      </c>
      <c r="O449" s="125"/>
    </row>
    <row r="450" spans="1:15" ht="15" customHeight="1" x14ac:dyDescent="0.3">
      <c r="A450" s="90" t="s">
        <v>198</v>
      </c>
      <c r="B450" s="90" t="s">
        <v>819</v>
      </c>
      <c r="C450" s="90" t="s">
        <v>820</v>
      </c>
      <c r="D450" s="90" t="s">
        <v>1050</v>
      </c>
      <c r="E450" s="90" t="s">
        <v>1051</v>
      </c>
      <c r="F450" s="90" t="s">
        <v>1052</v>
      </c>
      <c r="G450" s="89">
        <v>513.62</v>
      </c>
      <c r="H450" s="141" t="str">
        <f t="shared" si="30"/>
        <v>135101478892</v>
      </c>
      <c r="I450" s="142">
        <v>0.11160000000000003</v>
      </c>
      <c r="J450" s="142" t="s">
        <v>1871</v>
      </c>
      <c r="K450" s="143">
        <f t="shared" si="27"/>
        <v>57.31999200000002</v>
      </c>
      <c r="L450" s="144">
        <f t="shared" si="28"/>
        <v>456.30000799999999</v>
      </c>
      <c r="M450" s="144">
        <f t="shared" si="29"/>
        <v>513.62</v>
      </c>
      <c r="N450" s="145" t="s">
        <v>1046</v>
      </c>
      <c r="O450" s="125"/>
    </row>
    <row r="451" spans="1:15" ht="15" customHeight="1" x14ac:dyDescent="0.3">
      <c r="A451" s="90" t="s">
        <v>198</v>
      </c>
      <c r="B451" s="90" t="s">
        <v>750</v>
      </c>
      <c r="C451" s="90" t="s">
        <v>751</v>
      </c>
      <c r="D451" s="90" t="s">
        <v>1056</v>
      </c>
      <c r="E451" s="90" t="s">
        <v>1057</v>
      </c>
      <c r="F451" s="90" t="s">
        <v>1058</v>
      </c>
      <c r="G451" s="89">
        <v>618.72</v>
      </c>
      <c r="H451" s="141" t="str">
        <f t="shared" si="30"/>
        <v>155071635892</v>
      </c>
      <c r="I451" s="142">
        <v>6.5216999999999997E-2</v>
      </c>
      <c r="J451" s="142" t="s">
        <v>1866</v>
      </c>
      <c r="K451" s="143">
        <f t="shared" si="27"/>
        <v>40.351062239999997</v>
      </c>
      <c r="L451" s="144">
        <f t="shared" si="28"/>
        <v>578.36893775999999</v>
      </c>
      <c r="M451" s="144">
        <f t="shared" si="29"/>
        <v>618.72</v>
      </c>
      <c r="N451" s="145" t="s">
        <v>1046</v>
      </c>
      <c r="O451" s="125"/>
    </row>
    <row r="452" spans="1:15" ht="15" customHeight="1" x14ac:dyDescent="0.3">
      <c r="A452" s="90" t="s">
        <v>198</v>
      </c>
      <c r="B452" s="90" t="s">
        <v>690</v>
      </c>
      <c r="C452" s="90" t="s">
        <v>691</v>
      </c>
      <c r="D452" s="90" t="s">
        <v>1059</v>
      </c>
      <c r="E452" s="90" t="s">
        <v>1060</v>
      </c>
      <c r="F452" s="90" t="s">
        <v>1061</v>
      </c>
      <c r="G452" s="89">
        <v>1035.32</v>
      </c>
      <c r="H452" s="141" t="str">
        <f t="shared" si="30"/>
        <v>141001603892</v>
      </c>
      <c r="I452" s="142">
        <v>1.1399999999999966E-2</v>
      </c>
      <c r="J452" s="142" t="s">
        <v>281</v>
      </c>
      <c r="K452" s="143">
        <f t="shared" si="27"/>
        <v>11.802647999999964</v>
      </c>
      <c r="L452" s="144">
        <f t="shared" si="28"/>
        <v>1023.517352</v>
      </c>
      <c r="M452" s="144">
        <f t="shared" si="29"/>
        <v>1035.32</v>
      </c>
      <c r="N452" s="145" t="s">
        <v>1046</v>
      </c>
      <c r="O452" s="125"/>
    </row>
    <row r="453" spans="1:15" ht="15" customHeight="1" x14ac:dyDescent="0.3">
      <c r="A453" s="90" t="s">
        <v>198</v>
      </c>
      <c r="B453" s="90" t="s">
        <v>819</v>
      </c>
      <c r="C453" s="90" t="s">
        <v>820</v>
      </c>
      <c r="D453" s="90" t="s">
        <v>1056</v>
      </c>
      <c r="E453" s="90" t="s">
        <v>1057</v>
      </c>
      <c r="F453" s="90" t="s">
        <v>1058</v>
      </c>
      <c r="G453" s="89">
        <v>1112.5700000000002</v>
      </c>
      <c r="H453" s="141" t="str">
        <f t="shared" si="30"/>
        <v>135101635892</v>
      </c>
      <c r="I453" s="142">
        <v>0.11160000000000003</v>
      </c>
      <c r="J453" s="142" t="s">
        <v>1882</v>
      </c>
      <c r="K453" s="143">
        <f t="shared" si="27"/>
        <v>124.16281200000006</v>
      </c>
      <c r="L453" s="144">
        <f t="shared" si="28"/>
        <v>988.40718800000013</v>
      </c>
      <c r="M453" s="144">
        <f t="shared" si="29"/>
        <v>1112.5700000000002</v>
      </c>
      <c r="N453" s="145" t="s">
        <v>1046</v>
      </c>
      <c r="O453" s="125"/>
    </row>
    <row r="454" spans="1:15" ht="15" customHeight="1" x14ac:dyDescent="0.3">
      <c r="A454" s="90" t="s">
        <v>198</v>
      </c>
      <c r="B454" s="90" t="s">
        <v>739</v>
      </c>
      <c r="C454" s="90" t="s">
        <v>740</v>
      </c>
      <c r="D454" s="90" t="s">
        <v>1062</v>
      </c>
      <c r="E454" s="90" t="s">
        <v>1001</v>
      </c>
      <c r="F454" s="90" t="s">
        <v>1063</v>
      </c>
      <c r="G454" s="89">
        <v>1453.2</v>
      </c>
      <c r="H454" s="141" t="str">
        <f t="shared" si="30"/>
        <v>155061073892</v>
      </c>
      <c r="I454" s="142">
        <v>0</v>
      </c>
      <c r="J454" s="142" t="s">
        <v>1863</v>
      </c>
      <c r="K454" s="143">
        <f t="shared" si="27"/>
        <v>0</v>
      </c>
      <c r="L454" s="144">
        <f t="shared" si="28"/>
        <v>1453.2</v>
      </c>
      <c r="M454" s="144">
        <f t="shared" si="29"/>
        <v>1453.2</v>
      </c>
      <c r="N454" s="145" t="s">
        <v>1046</v>
      </c>
      <c r="O454" s="125"/>
    </row>
    <row r="455" spans="1:15" ht="15" customHeight="1" x14ac:dyDescent="0.3">
      <c r="A455" s="90" t="s">
        <v>198</v>
      </c>
      <c r="B455" s="90" t="s">
        <v>758</v>
      </c>
      <c r="C455" s="90" t="s">
        <v>759</v>
      </c>
      <c r="D455" s="90" t="s">
        <v>1047</v>
      </c>
      <c r="E455" s="90" t="s">
        <v>1048</v>
      </c>
      <c r="F455" s="90" t="s">
        <v>1049</v>
      </c>
      <c r="G455" s="89">
        <v>1641.5100000000002</v>
      </c>
      <c r="H455" s="141" t="str">
        <f t="shared" si="30"/>
        <v>155050600892</v>
      </c>
      <c r="I455" s="142">
        <v>0</v>
      </c>
      <c r="J455" s="142" t="s">
        <v>1863</v>
      </c>
      <c r="K455" s="143">
        <f t="shared" si="27"/>
        <v>0</v>
      </c>
      <c r="L455" s="144">
        <f t="shared" si="28"/>
        <v>1641.5100000000002</v>
      </c>
      <c r="M455" s="144">
        <f t="shared" si="29"/>
        <v>1641.5100000000002</v>
      </c>
      <c r="N455" s="145" t="s">
        <v>1046</v>
      </c>
      <c r="O455" s="125"/>
    </row>
    <row r="456" spans="1:15" ht="15" customHeight="1" x14ac:dyDescent="0.3">
      <c r="A456" s="90" t="s">
        <v>198</v>
      </c>
      <c r="B456" s="90" t="s">
        <v>739</v>
      </c>
      <c r="C456" s="90" t="s">
        <v>740</v>
      </c>
      <c r="D456" s="90" t="s">
        <v>1064</v>
      </c>
      <c r="E456" s="90" t="s">
        <v>1065</v>
      </c>
      <c r="F456" s="90" t="s">
        <v>1066</v>
      </c>
      <c r="G456" s="89">
        <v>1941.57</v>
      </c>
      <c r="H456" s="141" t="str">
        <f t="shared" si="30"/>
        <v>155061615892</v>
      </c>
      <c r="I456" s="142">
        <v>0</v>
      </c>
      <c r="J456" s="142" t="s">
        <v>1863</v>
      </c>
      <c r="K456" s="143">
        <f t="shared" si="27"/>
        <v>0</v>
      </c>
      <c r="L456" s="144">
        <f t="shared" si="28"/>
        <v>1941.57</v>
      </c>
      <c r="M456" s="144">
        <f t="shared" si="29"/>
        <v>1941.57</v>
      </c>
      <c r="N456" s="145" t="s">
        <v>1046</v>
      </c>
      <c r="O456" s="125"/>
    </row>
    <row r="457" spans="1:15" ht="15" customHeight="1" x14ac:dyDescent="0.3">
      <c r="A457" s="90" t="s">
        <v>198</v>
      </c>
      <c r="B457" s="90" t="s">
        <v>739</v>
      </c>
      <c r="C457" s="90" t="s">
        <v>740</v>
      </c>
      <c r="D457" s="90" t="s">
        <v>1050</v>
      </c>
      <c r="E457" s="90" t="s">
        <v>1051</v>
      </c>
      <c r="F457" s="90" t="s">
        <v>1052</v>
      </c>
      <c r="G457" s="89">
        <v>3097.08</v>
      </c>
      <c r="H457" s="141" t="str">
        <f t="shared" si="30"/>
        <v>155061478892</v>
      </c>
      <c r="I457" s="142">
        <v>0</v>
      </c>
      <c r="J457" s="142" t="s">
        <v>1863</v>
      </c>
      <c r="K457" s="143">
        <f t="shared" si="27"/>
        <v>0</v>
      </c>
      <c r="L457" s="144">
        <f t="shared" si="28"/>
        <v>3097.08</v>
      </c>
      <c r="M457" s="144">
        <f t="shared" si="29"/>
        <v>3097.08</v>
      </c>
      <c r="N457" s="145" t="s">
        <v>1046</v>
      </c>
      <c r="O457" s="125"/>
    </row>
    <row r="458" spans="1:15" ht="15" customHeight="1" x14ac:dyDescent="0.3">
      <c r="A458" s="90" t="s">
        <v>198</v>
      </c>
      <c r="B458" s="90" t="s">
        <v>739</v>
      </c>
      <c r="C458" s="90" t="s">
        <v>740</v>
      </c>
      <c r="D458" s="90" t="s">
        <v>1047</v>
      </c>
      <c r="E458" s="90" t="s">
        <v>1048</v>
      </c>
      <c r="F458" s="90" t="s">
        <v>1049</v>
      </c>
      <c r="G458" s="89">
        <v>5266.35</v>
      </c>
      <c r="H458" s="141" t="str">
        <f t="shared" si="30"/>
        <v>155060600892</v>
      </c>
      <c r="I458" s="142">
        <v>0</v>
      </c>
      <c r="J458" s="142" t="s">
        <v>1863</v>
      </c>
      <c r="K458" s="143">
        <f t="shared" si="27"/>
        <v>0</v>
      </c>
      <c r="L458" s="144">
        <f t="shared" si="28"/>
        <v>5266.35</v>
      </c>
      <c r="M458" s="144">
        <f t="shared" si="29"/>
        <v>5266.35</v>
      </c>
      <c r="N458" s="145" t="s">
        <v>1046</v>
      </c>
      <c r="O458" s="125"/>
    </row>
    <row r="459" spans="1:15" ht="15" customHeight="1" x14ac:dyDescent="0.3">
      <c r="A459" s="90" t="s">
        <v>198</v>
      </c>
      <c r="B459" s="90" t="s">
        <v>690</v>
      </c>
      <c r="C459" s="90" t="s">
        <v>691</v>
      </c>
      <c r="D459" s="90" t="s">
        <v>1067</v>
      </c>
      <c r="E459" s="90" t="s">
        <v>1068</v>
      </c>
      <c r="F459" s="90" t="s">
        <v>1069</v>
      </c>
      <c r="G459" s="89">
        <v>9204.4499999999989</v>
      </c>
      <c r="H459" s="141" t="str">
        <f t="shared" si="30"/>
        <v>141001610892</v>
      </c>
      <c r="I459" s="142">
        <v>1.1399999999999966E-2</v>
      </c>
      <c r="J459" s="142" t="s">
        <v>281</v>
      </c>
      <c r="K459" s="143">
        <f t="shared" si="27"/>
        <v>104.93072999999967</v>
      </c>
      <c r="L459" s="144">
        <f t="shared" si="28"/>
        <v>9099.5192699999989</v>
      </c>
      <c r="M459" s="144">
        <f t="shared" si="29"/>
        <v>9204.4499999999989</v>
      </c>
      <c r="N459" s="145" t="s">
        <v>1046</v>
      </c>
      <c r="O459" s="125"/>
    </row>
    <row r="460" spans="1:15" ht="15" customHeight="1" x14ac:dyDescent="0.3">
      <c r="A460" s="90" t="s">
        <v>198</v>
      </c>
      <c r="B460" s="90" t="s">
        <v>739</v>
      </c>
      <c r="C460" s="90" t="s">
        <v>740</v>
      </c>
      <c r="D460" s="90" t="s">
        <v>1059</v>
      </c>
      <c r="E460" s="90" t="s">
        <v>1060</v>
      </c>
      <c r="F460" s="90" t="s">
        <v>1061</v>
      </c>
      <c r="G460" s="89">
        <v>11078.140000000001</v>
      </c>
      <c r="H460" s="141" t="str">
        <f t="shared" si="30"/>
        <v>155061603892</v>
      </c>
      <c r="I460" s="142">
        <v>0</v>
      </c>
      <c r="J460" s="142" t="s">
        <v>1863</v>
      </c>
      <c r="K460" s="143">
        <f t="shared" si="27"/>
        <v>0</v>
      </c>
      <c r="L460" s="144">
        <f t="shared" si="28"/>
        <v>11078.140000000001</v>
      </c>
      <c r="M460" s="144">
        <f t="shared" si="29"/>
        <v>11078.140000000001</v>
      </c>
      <c r="N460" s="145" t="s">
        <v>1046</v>
      </c>
      <c r="O460" s="125"/>
    </row>
    <row r="461" spans="1:15" ht="15" customHeight="1" x14ac:dyDescent="0.3">
      <c r="A461" s="90" t="s">
        <v>198</v>
      </c>
      <c r="B461" s="90" t="s">
        <v>750</v>
      </c>
      <c r="C461" s="90" t="s">
        <v>751</v>
      </c>
      <c r="D461" s="90" t="s">
        <v>1067</v>
      </c>
      <c r="E461" s="90" t="s">
        <v>1068</v>
      </c>
      <c r="F461" s="90" t="s">
        <v>1069</v>
      </c>
      <c r="G461" s="89">
        <v>11216.74</v>
      </c>
      <c r="H461" s="141" t="str">
        <f t="shared" si="30"/>
        <v>155071610892</v>
      </c>
      <c r="I461" s="142">
        <v>6.5216999999999997E-2</v>
      </c>
      <c r="J461" s="142" t="s">
        <v>1866</v>
      </c>
      <c r="K461" s="143">
        <f t="shared" si="27"/>
        <v>731.52213257999995</v>
      </c>
      <c r="L461" s="144">
        <f t="shared" si="28"/>
        <v>10485.21786742</v>
      </c>
      <c r="M461" s="144">
        <f t="shared" si="29"/>
        <v>11216.74</v>
      </c>
      <c r="N461" s="145" t="s">
        <v>1046</v>
      </c>
      <c r="O461" s="125"/>
    </row>
    <row r="462" spans="1:15" ht="15" customHeight="1" x14ac:dyDescent="0.3">
      <c r="A462" s="90" t="s">
        <v>198</v>
      </c>
      <c r="B462" s="90" t="s">
        <v>690</v>
      </c>
      <c r="C462" s="90" t="s">
        <v>691</v>
      </c>
      <c r="D462" s="90" t="s">
        <v>1047</v>
      </c>
      <c r="E462" s="90" t="s">
        <v>1048</v>
      </c>
      <c r="F462" s="90" t="s">
        <v>1049</v>
      </c>
      <c r="G462" s="89">
        <v>14671.219999999998</v>
      </c>
      <c r="H462" s="141" t="str">
        <f t="shared" si="30"/>
        <v>141000600892</v>
      </c>
      <c r="I462" s="142">
        <v>1.1399999999999966E-2</v>
      </c>
      <c r="J462" s="142" t="s">
        <v>281</v>
      </c>
      <c r="K462" s="143">
        <f t="shared" si="27"/>
        <v>167.25190799999947</v>
      </c>
      <c r="L462" s="144">
        <f t="shared" si="28"/>
        <v>14503.968091999997</v>
      </c>
      <c r="M462" s="144">
        <f t="shared" si="29"/>
        <v>14671.219999999998</v>
      </c>
      <c r="N462" s="145" t="s">
        <v>1046</v>
      </c>
      <c r="O462" s="125"/>
    </row>
    <row r="463" spans="1:15" ht="15" customHeight="1" x14ac:dyDescent="0.3">
      <c r="A463" s="90" t="s">
        <v>198</v>
      </c>
      <c r="B463" s="90" t="s">
        <v>745</v>
      </c>
      <c r="C463" s="90" t="s">
        <v>746</v>
      </c>
      <c r="D463" s="90" t="s">
        <v>1043</v>
      </c>
      <c r="E463" s="90" t="s">
        <v>1044</v>
      </c>
      <c r="F463" s="90" t="s">
        <v>1045</v>
      </c>
      <c r="G463" s="89">
        <v>15996.8</v>
      </c>
      <c r="H463" s="141" t="str">
        <f t="shared" si="30"/>
        <v>141091605892</v>
      </c>
      <c r="I463" s="142">
        <v>1</v>
      </c>
      <c r="J463" s="142" t="s">
        <v>1484</v>
      </c>
      <c r="K463" s="143">
        <f t="shared" si="27"/>
        <v>15996.8</v>
      </c>
      <c r="L463" s="144">
        <f t="shared" si="28"/>
        <v>0</v>
      </c>
      <c r="M463" s="144">
        <f t="shared" si="29"/>
        <v>15996.8</v>
      </c>
      <c r="N463" s="145" t="s">
        <v>1046</v>
      </c>
      <c r="O463" s="125"/>
    </row>
    <row r="464" spans="1:15" ht="15" customHeight="1" x14ac:dyDescent="0.3">
      <c r="A464" s="90" t="s">
        <v>198</v>
      </c>
      <c r="B464" s="90" t="s">
        <v>745</v>
      </c>
      <c r="C464" s="90" t="s">
        <v>746</v>
      </c>
      <c r="D464" s="90" t="s">
        <v>1067</v>
      </c>
      <c r="E464" s="90" t="s">
        <v>1068</v>
      </c>
      <c r="F464" s="90" t="s">
        <v>1069</v>
      </c>
      <c r="G464" s="89">
        <v>23139.78</v>
      </c>
      <c r="H464" s="141" t="str">
        <f t="shared" si="30"/>
        <v>141091610892</v>
      </c>
      <c r="I464" s="142">
        <v>1</v>
      </c>
      <c r="J464" s="142" t="s">
        <v>1484</v>
      </c>
      <c r="K464" s="143">
        <f t="shared" si="27"/>
        <v>23139.78</v>
      </c>
      <c r="L464" s="144">
        <f t="shared" si="28"/>
        <v>0</v>
      </c>
      <c r="M464" s="144">
        <f t="shared" si="29"/>
        <v>23139.78</v>
      </c>
      <c r="N464" s="145" t="s">
        <v>1046</v>
      </c>
      <c r="O464" s="125"/>
    </row>
    <row r="465" spans="1:15" ht="15" customHeight="1" x14ac:dyDescent="0.3">
      <c r="A465" s="90" t="s">
        <v>198</v>
      </c>
      <c r="B465" s="90" t="s">
        <v>690</v>
      </c>
      <c r="C465" s="90" t="s">
        <v>691</v>
      </c>
      <c r="D465" s="90" t="s">
        <v>1043</v>
      </c>
      <c r="E465" s="90" t="s">
        <v>1044</v>
      </c>
      <c r="F465" s="90" t="s">
        <v>1045</v>
      </c>
      <c r="G465" s="89">
        <v>67272.78</v>
      </c>
      <c r="H465" s="141" t="str">
        <f t="shared" si="30"/>
        <v>141001605892</v>
      </c>
      <c r="I465" s="142">
        <v>1.1399999999999966E-2</v>
      </c>
      <c r="J465" s="142" t="s">
        <v>281</v>
      </c>
      <c r="K465" s="143">
        <f t="shared" si="27"/>
        <v>766.90969199999768</v>
      </c>
      <c r="L465" s="144">
        <f t="shared" si="28"/>
        <v>66505.870307999998</v>
      </c>
      <c r="M465" s="144">
        <f t="shared" si="29"/>
        <v>67272.78</v>
      </c>
      <c r="N465" s="145" t="s">
        <v>1046</v>
      </c>
      <c r="O465" s="125"/>
    </row>
    <row r="466" spans="1:15" ht="15" customHeight="1" x14ac:dyDescent="0.3">
      <c r="A466" s="90" t="s">
        <v>198</v>
      </c>
      <c r="B466" s="90" t="s">
        <v>688</v>
      </c>
      <c r="C466" s="90" t="s">
        <v>689</v>
      </c>
      <c r="D466" s="90" t="s">
        <v>1056</v>
      </c>
      <c r="E466" s="90" t="s">
        <v>1057</v>
      </c>
      <c r="F466" s="90" t="s">
        <v>1058</v>
      </c>
      <c r="G466" s="89">
        <v>127169</v>
      </c>
      <c r="H466" s="141" t="str">
        <f t="shared" si="30"/>
        <v>111001635892</v>
      </c>
      <c r="I466" s="142">
        <v>8.3600000000000008E-2</v>
      </c>
      <c r="J466" s="142" t="s">
        <v>1865</v>
      </c>
      <c r="K466" s="143">
        <f t="shared" si="27"/>
        <v>10631.3284</v>
      </c>
      <c r="L466" s="144">
        <f t="shared" si="28"/>
        <v>116537.6716</v>
      </c>
      <c r="M466" s="144">
        <f t="shared" si="29"/>
        <v>127169</v>
      </c>
      <c r="N466" s="145" t="s">
        <v>1046</v>
      </c>
      <c r="O466" s="125"/>
    </row>
    <row r="467" spans="1:15" ht="15" customHeight="1" x14ac:dyDescent="0.3">
      <c r="A467" s="90" t="s">
        <v>198</v>
      </c>
      <c r="B467" s="90" t="s">
        <v>739</v>
      </c>
      <c r="C467" s="90" t="s">
        <v>740</v>
      </c>
      <c r="D467" s="90" t="s">
        <v>1043</v>
      </c>
      <c r="E467" s="90" t="s">
        <v>1044</v>
      </c>
      <c r="F467" s="90" t="s">
        <v>1045</v>
      </c>
      <c r="G467" s="89">
        <v>181439.21999999997</v>
      </c>
      <c r="H467" s="141" t="str">
        <f t="shared" si="30"/>
        <v>155061605892</v>
      </c>
      <c r="I467" s="142">
        <v>0</v>
      </c>
      <c r="J467" s="142" t="s">
        <v>1863</v>
      </c>
      <c r="K467" s="143">
        <f t="shared" si="27"/>
        <v>0</v>
      </c>
      <c r="L467" s="144">
        <f t="shared" si="28"/>
        <v>181439.21999999997</v>
      </c>
      <c r="M467" s="144">
        <f t="shared" si="29"/>
        <v>181439.21999999997</v>
      </c>
      <c r="N467" s="145" t="s">
        <v>1046</v>
      </c>
      <c r="O467" s="125"/>
    </row>
    <row r="468" spans="1:15" ht="15" customHeight="1" x14ac:dyDescent="0.3">
      <c r="A468" s="90" t="s">
        <v>198</v>
      </c>
      <c r="B468" s="90" t="s">
        <v>739</v>
      </c>
      <c r="C468" s="90" t="s">
        <v>740</v>
      </c>
      <c r="D468" s="90" t="s">
        <v>1067</v>
      </c>
      <c r="E468" s="90" t="s">
        <v>1068</v>
      </c>
      <c r="F468" s="90" t="s">
        <v>1069</v>
      </c>
      <c r="G468" s="89">
        <v>219622.01</v>
      </c>
      <c r="H468" s="141" t="str">
        <f t="shared" si="30"/>
        <v>155061610892</v>
      </c>
      <c r="I468" s="142">
        <v>0</v>
      </c>
      <c r="J468" s="142" t="s">
        <v>1863</v>
      </c>
      <c r="K468" s="143">
        <f t="shared" si="27"/>
        <v>0</v>
      </c>
      <c r="L468" s="144">
        <f t="shared" si="28"/>
        <v>219622.01</v>
      </c>
      <c r="M468" s="144">
        <f t="shared" si="29"/>
        <v>219622.01</v>
      </c>
      <c r="N468" s="145" t="s">
        <v>1046</v>
      </c>
      <c r="O468" s="125"/>
    </row>
    <row r="469" spans="1:15" ht="15" customHeight="1" x14ac:dyDescent="0.3">
      <c r="A469" s="90" t="s">
        <v>199</v>
      </c>
      <c r="B469" s="90" t="s">
        <v>688</v>
      </c>
      <c r="C469" s="90" t="s">
        <v>689</v>
      </c>
      <c r="D469" s="90" t="s">
        <v>1070</v>
      </c>
      <c r="E469" s="90" t="s">
        <v>1071</v>
      </c>
      <c r="F469" s="90" t="s">
        <v>1072</v>
      </c>
      <c r="G469" s="89">
        <v>-17.760000000000002</v>
      </c>
      <c r="H469" s="141" t="str">
        <f t="shared" si="30"/>
        <v>111001340893</v>
      </c>
      <c r="I469" s="142">
        <v>8.3600000000000008E-2</v>
      </c>
      <c r="J469" s="142" t="s">
        <v>1865</v>
      </c>
      <c r="K469" s="143">
        <f t="shared" si="27"/>
        <v>-1.4847360000000003</v>
      </c>
      <c r="L469" s="144">
        <f t="shared" si="28"/>
        <v>-16.275264</v>
      </c>
      <c r="M469" s="144">
        <f t="shared" si="29"/>
        <v>-17.760000000000002</v>
      </c>
      <c r="N469" s="145" t="s">
        <v>1073</v>
      </c>
      <c r="O469" s="125"/>
    </row>
    <row r="470" spans="1:15" ht="15" customHeight="1" x14ac:dyDescent="0.3">
      <c r="A470" s="90" t="s">
        <v>199</v>
      </c>
      <c r="B470" s="90" t="s">
        <v>819</v>
      </c>
      <c r="C470" s="90" t="s">
        <v>820</v>
      </c>
      <c r="D470" s="90" t="s">
        <v>1074</v>
      </c>
      <c r="E470" s="90" t="s">
        <v>697</v>
      </c>
      <c r="F470" s="90" t="s">
        <v>1075</v>
      </c>
      <c r="G470" s="89">
        <v>55.61</v>
      </c>
      <c r="H470" s="141" t="str">
        <f t="shared" si="30"/>
        <v>135101295893</v>
      </c>
      <c r="I470" s="142">
        <v>0.11160000000000003</v>
      </c>
      <c r="J470" s="142" t="s">
        <v>1871</v>
      </c>
      <c r="K470" s="143">
        <f t="shared" si="27"/>
        <v>6.2060760000000021</v>
      </c>
      <c r="L470" s="144">
        <f t="shared" si="28"/>
        <v>49.403923999999996</v>
      </c>
      <c r="M470" s="144">
        <f t="shared" si="29"/>
        <v>55.61</v>
      </c>
      <c r="N470" s="145" t="s">
        <v>1073</v>
      </c>
      <c r="O470" s="125"/>
    </row>
    <row r="471" spans="1:15" ht="15" customHeight="1" x14ac:dyDescent="0.3">
      <c r="A471" s="90" t="s">
        <v>199</v>
      </c>
      <c r="B471" s="90" t="s">
        <v>1076</v>
      </c>
      <c r="C471" s="90" t="s">
        <v>1077</v>
      </c>
      <c r="D471" s="90" t="s">
        <v>1070</v>
      </c>
      <c r="E471" s="90" t="s">
        <v>1071</v>
      </c>
      <c r="F471" s="90" t="s">
        <v>1072</v>
      </c>
      <c r="G471" s="89">
        <v>68.400000000000006</v>
      </c>
      <c r="H471" s="141" t="str">
        <f t="shared" si="30"/>
        <v>120121340893</v>
      </c>
      <c r="I471" s="142">
        <v>0.11209999999999998</v>
      </c>
      <c r="J471" s="142" t="s">
        <v>308</v>
      </c>
      <c r="K471" s="143">
        <f t="shared" si="27"/>
        <v>7.6676399999999987</v>
      </c>
      <c r="L471" s="144">
        <f t="shared" si="28"/>
        <v>60.732360000000007</v>
      </c>
      <c r="M471" s="144">
        <f t="shared" si="29"/>
        <v>68.400000000000006</v>
      </c>
      <c r="N471" s="145" t="s">
        <v>1073</v>
      </c>
      <c r="O471" s="125"/>
    </row>
    <row r="472" spans="1:15" ht="15" customHeight="1" x14ac:dyDescent="0.3">
      <c r="A472" s="90" t="s">
        <v>199</v>
      </c>
      <c r="B472" s="90" t="s">
        <v>1078</v>
      </c>
      <c r="C472" s="90" t="s">
        <v>1079</v>
      </c>
      <c r="D472" s="90" t="s">
        <v>1080</v>
      </c>
      <c r="E472" s="90" t="s">
        <v>1081</v>
      </c>
      <c r="F472" s="90" t="s">
        <v>1082</v>
      </c>
      <c r="G472" s="89">
        <v>77.63000000000001</v>
      </c>
      <c r="H472" s="141" t="str">
        <f t="shared" si="30"/>
        <v>120111540893</v>
      </c>
      <c r="I472" s="142">
        <v>0.11270000000000002</v>
      </c>
      <c r="J472" s="142" t="s">
        <v>1885</v>
      </c>
      <c r="K472" s="143">
        <f t="shared" ref="K472:K535" si="31">G472*I472</f>
        <v>8.7489010000000036</v>
      </c>
      <c r="L472" s="144">
        <f t="shared" ref="L472:L535" si="32">G472-K472</f>
        <v>68.881099000000006</v>
      </c>
      <c r="M472" s="144">
        <f t="shared" ref="M472:M535" si="33">K472+L472</f>
        <v>77.63000000000001</v>
      </c>
      <c r="N472" s="145" t="s">
        <v>1073</v>
      </c>
      <c r="O472" s="125"/>
    </row>
    <row r="473" spans="1:15" ht="15" customHeight="1" x14ac:dyDescent="0.3">
      <c r="A473" s="90" t="s">
        <v>199</v>
      </c>
      <c r="B473" s="90" t="s">
        <v>684</v>
      </c>
      <c r="C473" s="90" t="s">
        <v>685</v>
      </c>
      <c r="D473" s="90" t="s">
        <v>1083</v>
      </c>
      <c r="E473" s="90" t="s">
        <v>880</v>
      </c>
      <c r="F473" s="90" t="s">
        <v>1084</v>
      </c>
      <c r="G473" s="89">
        <v>96.94</v>
      </c>
      <c r="H473" s="141" t="str">
        <f t="shared" ref="H473:H536" si="34">CONCATENATE(B473,RIGHT(D473,4),A473)</f>
        <v>151001620893</v>
      </c>
      <c r="I473" s="142">
        <v>0</v>
      </c>
      <c r="J473" s="142" t="s">
        <v>1863</v>
      </c>
      <c r="K473" s="143">
        <f t="shared" si="31"/>
        <v>0</v>
      </c>
      <c r="L473" s="144">
        <f t="shared" si="32"/>
        <v>96.94</v>
      </c>
      <c r="M473" s="144">
        <f t="shared" si="33"/>
        <v>96.94</v>
      </c>
      <c r="N473" s="145" t="s">
        <v>1073</v>
      </c>
      <c r="O473" s="125"/>
    </row>
    <row r="474" spans="1:15" ht="15" customHeight="1" x14ac:dyDescent="0.3">
      <c r="A474" s="90" t="s">
        <v>199</v>
      </c>
      <c r="B474" s="90" t="s">
        <v>750</v>
      </c>
      <c r="C474" s="90" t="s">
        <v>751</v>
      </c>
      <c r="D474" s="90" t="s">
        <v>1085</v>
      </c>
      <c r="E474" s="90" t="s">
        <v>1086</v>
      </c>
      <c r="F474" s="90" t="s">
        <v>1087</v>
      </c>
      <c r="G474" s="89">
        <v>120</v>
      </c>
      <c r="H474" s="141" t="str">
        <f t="shared" si="34"/>
        <v>155071465893</v>
      </c>
      <c r="I474" s="142">
        <v>6.5216999999999997E-2</v>
      </c>
      <c r="J474" s="142" t="s">
        <v>1866</v>
      </c>
      <c r="K474" s="143">
        <f t="shared" si="31"/>
        <v>7.8260399999999999</v>
      </c>
      <c r="L474" s="144">
        <f t="shared" si="32"/>
        <v>112.17395999999999</v>
      </c>
      <c r="M474" s="144">
        <f t="shared" si="33"/>
        <v>120</v>
      </c>
      <c r="N474" s="145" t="s">
        <v>1073</v>
      </c>
      <c r="O474" s="125"/>
    </row>
    <row r="475" spans="1:15" ht="15" customHeight="1" x14ac:dyDescent="0.3">
      <c r="A475" s="90" t="s">
        <v>199</v>
      </c>
      <c r="B475" s="90" t="s">
        <v>690</v>
      </c>
      <c r="C475" s="90" t="s">
        <v>691</v>
      </c>
      <c r="D475" s="90" t="s">
        <v>1083</v>
      </c>
      <c r="E475" s="90" t="s">
        <v>880</v>
      </c>
      <c r="F475" s="90" t="s">
        <v>1084</v>
      </c>
      <c r="G475" s="89">
        <v>129.25</v>
      </c>
      <c r="H475" s="141" t="str">
        <f t="shared" si="34"/>
        <v>141001620893</v>
      </c>
      <c r="I475" s="142">
        <v>1.1399999999999966E-2</v>
      </c>
      <c r="J475" s="142" t="s">
        <v>281</v>
      </c>
      <c r="K475" s="143">
        <f t="shared" si="31"/>
        <v>1.4734499999999955</v>
      </c>
      <c r="L475" s="144">
        <f t="shared" si="32"/>
        <v>127.77655</v>
      </c>
      <c r="M475" s="144">
        <f t="shared" si="33"/>
        <v>129.25</v>
      </c>
      <c r="N475" s="145" t="s">
        <v>1073</v>
      </c>
      <c r="O475" s="125"/>
    </row>
    <row r="476" spans="1:15" ht="15" customHeight="1" x14ac:dyDescent="0.3">
      <c r="A476" s="90" t="s">
        <v>199</v>
      </c>
      <c r="B476" s="90" t="s">
        <v>763</v>
      </c>
      <c r="C476" s="90" t="s">
        <v>764</v>
      </c>
      <c r="D476" s="90" t="s">
        <v>1083</v>
      </c>
      <c r="E476" s="90" t="s">
        <v>880</v>
      </c>
      <c r="F476" s="90" t="s">
        <v>1084</v>
      </c>
      <c r="G476" s="89">
        <v>155.07</v>
      </c>
      <c r="H476" s="141" t="str">
        <f t="shared" si="34"/>
        <v>155201620893</v>
      </c>
      <c r="I476" s="142">
        <v>0.11209999999999998</v>
      </c>
      <c r="J476" s="142" t="s">
        <v>308</v>
      </c>
      <c r="K476" s="143">
        <f t="shared" si="31"/>
        <v>17.383346999999997</v>
      </c>
      <c r="L476" s="144">
        <f t="shared" si="32"/>
        <v>137.68665300000001</v>
      </c>
      <c r="M476" s="144">
        <f t="shared" si="33"/>
        <v>155.07</v>
      </c>
      <c r="N476" s="145" t="s">
        <v>1073</v>
      </c>
      <c r="O476" s="125"/>
    </row>
    <row r="477" spans="1:15" ht="15" customHeight="1" x14ac:dyDescent="0.3">
      <c r="A477" s="90" t="s">
        <v>199</v>
      </c>
      <c r="B477" s="90" t="s">
        <v>739</v>
      </c>
      <c r="C477" s="90" t="s">
        <v>740</v>
      </c>
      <c r="D477" s="90" t="s">
        <v>1088</v>
      </c>
      <c r="E477" s="90" t="s">
        <v>1089</v>
      </c>
      <c r="F477" s="90" t="s">
        <v>1090</v>
      </c>
      <c r="G477" s="89">
        <v>190.74</v>
      </c>
      <c r="H477" s="141" t="str">
        <f t="shared" si="34"/>
        <v>155061400893</v>
      </c>
      <c r="I477" s="142">
        <v>0</v>
      </c>
      <c r="J477" s="142" t="s">
        <v>1878</v>
      </c>
      <c r="K477" s="143">
        <f t="shared" si="31"/>
        <v>0</v>
      </c>
      <c r="L477" s="144">
        <f t="shared" si="32"/>
        <v>190.74</v>
      </c>
      <c r="M477" s="144">
        <f t="shared" si="33"/>
        <v>190.74</v>
      </c>
      <c r="N477" s="145" t="s">
        <v>1073</v>
      </c>
      <c r="O477" s="125"/>
    </row>
    <row r="478" spans="1:15" ht="15" customHeight="1" x14ac:dyDescent="0.3">
      <c r="A478" s="90" t="s">
        <v>199</v>
      </c>
      <c r="B478" s="90" t="s">
        <v>688</v>
      </c>
      <c r="C478" s="90" t="s">
        <v>689</v>
      </c>
      <c r="D478" s="90" t="s">
        <v>1091</v>
      </c>
      <c r="E478" s="90" t="s">
        <v>1092</v>
      </c>
      <c r="F478" s="90" t="s">
        <v>1082</v>
      </c>
      <c r="G478" s="89">
        <v>199</v>
      </c>
      <c r="H478" s="141" t="str">
        <f t="shared" si="34"/>
        <v>111001535893</v>
      </c>
      <c r="I478" s="142">
        <v>8.3600000000000008E-2</v>
      </c>
      <c r="J478" s="142" t="s">
        <v>1865</v>
      </c>
      <c r="K478" s="143">
        <f t="shared" si="31"/>
        <v>16.636400000000002</v>
      </c>
      <c r="L478" s="144">
        <f t="shared" si="32"/>
        <v>182.36359999999999</v>
      </c>
      <c r="M478" s="144">
        <f t="shared" si="33"/>
        <v>199</v>
      </c>
      <c r="N478" s="145" t="s">
        <v>1073</v>
      </c>
      <c r="O478" s="125"/>
    </row>
    <row r="479" spans="1:15" ht="15" customHeight="1" x14ac:dyDescent="0.3">
      <c r="A479" s="90" t="s">
        <v>199</v>
      </c>
      <c r="B479" s="90" t="s">
        <v>690</v>
      </c>
      <c r="C479" s="90" t="s">
        <v>691</v>
      </c>
      <c r="D479" s="90" t="s">
        <v>1093</v>
      </c>
      <c r="E479" s="90" t="s">
        <v>1094</v>
      </c>
      <c r="F479" s="90" t="s">
        <v>1095</v>
      </c>
      <c r="G479" s="89">
        <v>221.17</v>
      </c>
      <c r="H479" s="141" t="str">
        <f t="shared" si="34"/>
        <v>141001460893</v>
      </c>
      <c r="I479" s="142">
        <v>1.1399999999999966E-2</v>
      </c>
      <c r="J479" s="142" t="s">
        <v>281</v>
      </c>
      <c r="K479" s="143">
        <f t="shared" si="31"/>
        <v>2.5213379999999921</v>
      </c>
      <c r="L479" s="144">
        <f t="shared" si="32"/>
        <v>218.648662</v>
      </c>
      <c r="M479" s="144">
        <f t="shared" si="33"/>
        <v>221.17</v>
      </c>
      <c r="N479" s="145" t="s">
        <v>1073</v>
      </c>
      <c r="O479" s="125"/>
    </row>
    <row r="480" spans="1:15" ht="15" customHeight="1" x14ac:dyDescent="0.3">
      <c r="A480" s="90" t="s">
        <v>199</v>
      </c>
      <c r="B480" s="90" t="s">
        <v>686</v>
      </c>
      <c r="C480" s="90" t="s">
        <v>687</v>
      </c>
      <c r="D480" s="90" t="s">
        <v>1074</v>
      </c>
      <c r="E480" s="90" t="s">
        <v>697</v>
      </c>
      <c r="F480" s="90" t="s">
        <v>1075</v>
      </c>
      <c r="G480" s="89">
        <v>271.28000000000003</v>
      </c>
      <c r="H480" s="141" t="str">
        <f t="shared" si="34"/>
        <v>131001295893</v>
      </c>
      <c r="I480" s="142">
        <v>0.11209999999999998</v>
      </c>
      <c r="J480" s="142" t="s">
        <v>1864</v>
      </c>
      <c r="K480" s="143">
        <f t="shared" si="31"/>
        <v>30.410487999999997</v>
      </c>
      <c r="L480" s="144">
        <f t="shared" si="32"/>
        <v>240.86951200000004</v>
      </c>
      <c r="M480" s="144">
        <f t="shared" si="33"/>
        <v>271.28000000000003</v>
      </c>
      <c r="N480" s="145" t="s">
        <v>1073</v>
      </c>
      <c r="O480" s="125"/>
    </row>
    <row r="481" spans="1:15" ht="15" customHeight="1" x14ac:dyDescent="0.3">
      <c r="A481" s="90" t="s">
        <v>199</v>
      </c>
      <c r="B481" s="90" t="s">
        <v>819</v>
      </c>
      <c r="C481" s="90" t="s">
        <v>820</v>
      </c>
      <c r="D481" s="90" t="s">
        <v>1096</v>
      </c>
      <c r="E481" s="90" t="s">
        <v>1097</v>
      </c>
      <c r="F481" s="90" t="s">
        <v>1098</v>
      </c>
      <c r="G481" s="89">
        <v>361.4</v>
      </c>
      <c r="H481" s="141" t="str">
        <f t="shared" si="34"/>
        <v>135101165893</v>
      </c>
      <c r="I481" s="142">
        <v>0.11160000000000003</v>
      </c>
      <c r="J481" s="142" t="s">
        <v>1882</v>
      </c>
      <c r="K481" s="143">
        <f t="shared" si="31"/>
        <v>40.332240000000006</v>
      </c>
      <c r="L481" s="144">
        <f t="shared" si="32"/>
        <v>321.06775999999996</v>
      </c>
      <c r="M481" s="144">
        <f t="shared" si="33"/>
        <v>361.4</v>
      </c>
      <c r="N481" s="145" t="s">
        <v>1073</v>
      </c>
      <c r="O481" s="125"/>
    </row>
    <row r="482" spans="1:15" ht="15" customHeight="1" x14ac:dyDescent="0.3">
      <c r="A482" s="90" t="s">
        <v>199</v>
      </c>
      <c r="B482" s="90" t="s">
        <v>686</v>
      </c>
      <c r="C482" s="90" t="s">
        <v>687</v>
      </c>
      <c r="D482" s="90" t="s">
        <v>1099</v>
      </c>
      <c r="E482" s="90" t="s">
        <v>1100</v>
      </c>
      <c r="F482" s="90" t="s">
        <v>1101</v>
      </c>
      <c r="G482" s="89">
        <v>384.75</v>
      </c>
      <c r="H482" s="141" t="str">
        <f t="shared" si="34"/>
        <v>131001190893</v>
      </c>
      <c r="I482" s="142">
        <v>0.11209999999999998</v>
      </c>
      <c r="J482" s="142" t="s">
        <v>1864</v>
      </c>
      <c r="K482" s="143">
        <f t="shared" si="31"/>
        <v>43.13047499999999</v>
      </c>
      <c r="L482" s="144">
        <f t="shared" si="32"/>
        <v>341.61952500000001</v>
      </c>
      <c r="M482" s="144">
        <f t="shared" si="33"/>
        <v>384.75</v>
      </c>
      <c r="N482" s="145" t="s">
        <v>1073</v>
      </c>
      <c r="O482" s="125"/>
    </row>
    <row r="483" spans="1:15" ht="15" customHeight="1" x14ac:dyDescent="0.3">
      <c r="A483" s="90" t="s">
        <v>199</v>
      </c>
      <c r="B483" s="90" t="s">
        <v>819</v>
      </c>
      <c r="C483" s="90" t="s">
        <v>820</v>
      </c>
      <c r="D483" s="90" t="s">
        <v>1102</v>
      </c>
      <c r="E483" s="90" t="s">
        <v>1103</v>
      </c>
      <c r="F483" s="90" t="s">
        <v>1104</v>
      </c>
      <c r="G483" s="89">
        <v>465.34999999999997</v>
      </c>
      <c r="H483" s="141" t="str">
        <f t="shared" si="34"/>
        <v>135101420893</v>
      </c>
      <c r="I483" s="142">
        <v>0.11160000000000003</v>
      </c>
      <c r="J483" s="142" t="s">
        <v>1871</v>
      </c>
      <c r="K483" s="143">
        <f t="shared" si="31"/>
        <v>51.933060000000012</v>
      </c>
      <c r="L483" s="144">
        <f t="shared" si="32"/>
        <v>413.41693999999995</v>
      </c>
      <c r="M483" s="144">
        <f t="shared" si="33"/>
        <v>465.34999999999997</v>
      </c>
      <c r="N483" s="145" t="s">
        <v>1073</v>
      </c>
      <c r="O483" s="125"/>
    </row>
    <row r="484" spans="1:15" ht="15" customHeight="1" x14ac:dyDescent="0.3">
      <c r="A484" s="90" t="s">
        <v>199</v>
      </c>
      <c r="B484" s="90" t="s">
        <v>819</v>
      </c>
      <c r="C484" s="90" t="s">
        <v>820</v>
      </c>
      <c r="D484" s="90" t="s">
        <v>1105</v>
      </c>
      <c r="E484" s="90" t="s">
        <v>1106</v>
      </c>
      <c r="F484" s="90" t="s">
        <v>1107</v>
      </c>
      <c r="G484" s="89">
        <v>517.84</v>
      </c>
      <c r="H484" s="141" t="str">
        <f t="shared" si="34"/>
        <v>135101350893</v>
      </c>
      <c r="I484" s="142">
        <v>0.11160000000000003</v>
      </c>
      <c r="J484" s="142" t="s">
        <v>1872</v>
      </c>
      <c r="K484" s="143">
        <f t="shared" si="31"/>
        <v>57.790944000000017</v>
      </c>
      <c r="L484" s="144">
        <f t="shared" si="32"/>
        <v>460.04905600000001</v>
      </c>
      <c r="M484" s="144">
        <f t="shared" si="33"/>
        <v>517.84</v>
      </c>
      <c r="N484" s="145" t="s">
        <v>1073</v>
      </c>
      <c r="O484" s="125"/>
    </row>
    <row r="485" spans="1:15" ht="15" customHeight="1" x14ac:dyDescent="0.3">
      <c r="A485" s="90" t="s">
        <v>199</v>
      </c>
      <c r="B485" s="90" t="s">
        <v>819</v>
      </c>
      <c r="C485" s="90" t="s">
        <v>820</v>
      </c>
      <c r="D485" s="90" t="s">
        <v>1108</v>
      </c>
      <c r="E485" s="90" t="s">
        <v>1109</v>
      </c>
      <c r="F485" s="90" t="s">
        <v>1101</v>
      </c>
      <c r="G485" s="89">
        <v>584.16999999999996</v>
      </c>
      <c r="H485" s="141" t="str">
        <f t="shared" si="34"/>
        <v>135101185893</v>
      </c>
      <c r="I485" s="142">
        <v>0.11160000000000003</v>
      </c>
      <c r="J485" s="142" t="s">
        <v>1871</v>
      </c>
      <c r="K485" s="143">
        <f t="shared" si="31"/>
        <v>65.193372000000011</v>
      </c>
      <c r="L485" s="144">
        <f t="shared" si="32"/>
        <v>518.97662799999989</v>
      </c>
      <c r="M485" s="144">
        <f t="shared" si="33"/>
        <v>584.16999999999985</v>
      </c>
      <c r="N485" s="145" t="s">
        <v>1073</v>
      </c>
      <c r="O485" s="125"/>
    </row>
    <row r="486" spans="1:15" ht="15" customHeight="1" x14ac:dyDescent="0.3">
      <c r="A486" s="90" t="s">
        <v>199</v>
      </c>
      <c r="B486" s="90" t="s">
        <v>750</v>
      </c>
      <c r="C486" s="90" t="s">
        <v>751</v>
      </c>
      <c r="D486" s="90" t="s">
        <v>1083</v>
      </c>
      <c r="E486" s="90" t="s">
        <v>880</v>
      </c>
      <c r="F486" s="90" t="s">
        <v>1084</v>
      </c>
      <c r="G486" s="89">
        <v>593.49</v>
      </c>
      <c r="H486" s="141" t="str">
        <f t="shared" si="34"/>
        <v>155071620893</v>
      </c>
      <c r="I486" s="142">
        <v>6.5216999999999997E-2</v>
      </c>
      <c r="J486" s="142" t="s">
        <v>1866</v>
      </c>
      <c r="K486" s="143">
        <f t="shared" si="31"/>
        <v>38.705637330000002</v>
      </c>
      <c r="L486" s="144">
        <f t="shared" si="32"/>
        <v>554.78436267000006</v>
      </c>
      <c r="M486" s="144">
        <f t="shared" si="33"/>
        <v>593.49</v>
      </c>
      <c r="N486" s="145" t="s">
        <v>1073</v>
      </c>
      <c r="O486" s="125"/>
    </row>
    <row r="487" spans="1:15" ht="15" customHeight="1" x14ac:dyDescent="0.3">
      <c r="A487" s="90" t="s">
        <v>199</v>
      </c>
      <c r="B487" s="90" t="s">
        <v>688</v>
      </c>
      <c r="C487" s="90" t="s">
        <v>689</v>
      </c>
      <c r="D487" s="90" t="s">
        <v>1110</v>
      </c>
      <c r="E487" s="90" t="s">
        <v>1111</v>
      </c>
      <c r="F487" s="90" t="s">
        <v>1082</v>
      </c>
      <c r="G487" s="89">
        <v>615.88</v>
      </c>
      <c r="H487" s="141" t="str">
        <f t="shared" si="34"/>
        <v>111001530893</v>
      </c>
      <c r="I487" s="142">
        <v>8.3600000000000008E-2</v>
      </c>
      <c r="J487" s="142" t="s">
        <v>1865</v>
      </c>
      <c r="K487" s="143">
        <f t="shared" si="31"/>
        <v>51.487568000000003</v>
      </c>
      <c r="L487" s="144">
        <f t="shared" si="32"/>
        <v>564.39243199999999</v>
      </c>
      <c r="M487" s="144">
        <f t="shared" si="33"/>
        <v>615.88</v>
      </c>
      <c r="N487" s="145" t="s">
        <v>1073</v>
      </c>
      <c r="O487" s="125"/>
    </row>
    <row r="488" spans="1:15" ht="15" customHeight="1" x14ac:dyDescent="0.3">
      <c r="A488" s="90" t="s">
        <v>199</v>
      </c>
      <c r="B488" s="90" t="s">
        <v>739</v>
      </c>
      <c r="C488" s="90" t="s">
        <v>740</v>
      </c>
      <c r="D488" s="90" t="s">
        <v>1112</v>
      </c>
      <c r="E488" s="90" t="s">
        <v>1113</v>
      </c>
      <c r="F488" s="90" t="s">
        <v>1114</v>
      </c>
      <c r="G488" s="89">
        <v>624.68000000000006</v>
      </c>
      <c r="H488" s="141" t="str">
        <f t="shared" si="34"/>
        <v>155061345893</v>
      </c>
      <c r="I488" s="142">
        <v>0</v>
      </c>
      <c r="J488" s="142" t="s">
        <v>1863</v>
      </c>
      <c r="K488" s="143">
        <f t="shared" si="31"/>
        <v>0</v>
      </c>
      <c r="L488" s="144">
        <f t="shared" si="32"/>
        <v>624.68000000000006</v>
      </c>
      <c r="M488" s="144">
        <f t="shared" si="33"/>
        <v>624.68000000000006</v>
      </c>
      <c r="N488" s="145" t="s">
        <v>1073</v>
      </c>
      <c r="O488" s="125"/>
    </row>
    <row r="489" spans="1:15" ht="15" customHeight="1" x14ac:dyDescent="0.3">
      <c r="A489" s="90" t="s">
        <v>199</v>
      </c>
      <c r="B489" s="90" t="s">
        <v>739</v>
      </c>
      <c r="C489" s="90" t="s">
        <v>740</v>
      </c>
      <c r="D489" s="90" t="s">
        <v>1105</v>
      </c>
      <c r="E489" s="90" t="s">
        <v>1106</v>
      </c>
      <c r="F489" s="90" t="s">
        <v>1107</v>
      </c>
      <c r="G489" s="89">
        <v>637.6</v>
      </c>
      <c r="H489" s="141" t="str">
        <f t="shared" si="34"/>
        <v>155061350893</v>
      </c>
      <c r="I489" s="142">
        <v>0</v>
      </c>
      <c r="J489" s="142" t="s">
        <v>1863</v>
      </c>
      <c r="K489" s="143">
        <f t="shared" si="31"/>
        <v>0</v>
      </c>
      <c r="L489" s="144">
        <f t="shared" si="32"/>
        <v>637.6</v>
      </c>
      <c r="M489" s="144">
        <f t="shared" si="33"/>
        <v>637.6</v>
      </c>
      <c r="N489" s="145" t="s">
        <v>1073</v>
      </c>
      <c r="O489" s="125"/>
    </row>
    <row r="490" spans="1:15" ht="15" customHeight="1" x14ac:dyDescent="0.3">
      <c r="A490" s="90" t="s">
        <v>199</v>
      </c>
      <c r="B490" s="90" t="s">
        <v>750</v>
      </c>
      <c r="C490" s="90" t="s">
        <v>751</v>
      </c>
      <c r="D490" s="90" t="s">
        <v>1099</v>
      </c>
      <c r="E490" s="90" t="s">
        <v>1100</v>
      </c>
      <c r="F490" s="90" t="s">
        <v>1101</v>
      </c>
      <c r="G490" s="89">
        <v>720</v>
      </c>
      <c r="H490" s="141" t="str">
        <f t="shared" si="34"/>
        <v>155071190893</v>
      </c>
      <c r="I490" s="142">
        <v>6.5216999999999997E-2</v>
      </c>
      <c r="J490" s="142" t="s">
        <v>1866</v>
      </c>
      <c r="K490" s="143">
        <f t="shared" si="31"/>
        <v>46.956240000000001</v>
      </c>
      <c r="L490" s="144">
        <f t="shared" si="32"/>
        <v>673.04376000000002</v>
      </c>
      <c r="M490" s="144">
        <f t="shared" si="33"/>
        <v>720</v>
      </c>
      <c r="N490" s="145" t="s">
        <v>1073</v>
      </c>
      <c r="O490" s="125"/>
    </row>
    <row r="491" spans="1:15" ht="15" customHeight="1" x14ac:dyDescent="0.3">
      <c r="A491" s="90" t="s">
        <v>199</v>
      </c>
      <c r="B491" s="90" t="s">
        <v>690</v>
      </c>
      <c r="C491" s="90" t="s">
        <v>691</v>
      </c>
      <c r="D491" s="90" t="s">
        <v>1074</v>
      </c>
      <c r="E491" s="90" t="s">
        <v>697</v>
      </c>
      <c r="F491" s="90" t="s">
        <v>1075</v>
      </c>
      <c r="G491" s="89">
        <v>769.25</v>
      </c>
      <c r="H491" s="141" t="str">
        <f t="shared" si="34"/>
        <v>141001295893</v>
      </c>
      <c r="I491" s="142">
        <v>1.1399999999999966E-2</v>
      </c>
      <c r="J491" s="142" t="s">
        <v>281</v>
      </c>
      <c r="K491" s="143">
        <f t="shared" si="31"/>
        <v>8.7694499999999742</v>
      </c>
      <c r="L491" s="144">
        <f t="shared" si="32"/>
        <v>760.48054999999999</v>
      </c>
      <c r="M491" s="144">
        <f t="shared" si="33"/>
        <v>769.25</v>
      </c>
      <c r="N491" s="145" t="s">
        <v>1073</v>
      </c>
      <c r="O491" s="125"/>
    </row>
    <row r="492" spans="1:15" ht="15" customHeight="1" x14ac:dyDescent="0.3">
      <c r="A492" s="90" t="s">
        <v>199</v>
      </c>
      <c r="B492" s="90" t="s">
        <v>739</v>
      </c>
      <c r="C492" s="90" t="s">
        <v>740</v>
      </c>
      <c r="D492" s="90" t="s">
        <v>1083</v>
      </c>
      <c r="E492" s="90" t="s">
        <v>880</v>
      </c>
      <c r="F492" s="90" t="s">
        <v>1084</v>
      </c>
      <c r="G492" s="89">
        <v>956.55000000000007</v>
      </c>
      <c r="H492" s="141" t="str">
        <f t="shared" si="34"/>
        <v>155061620893</v>
      </c>
      <c r="I492" s="142">
        <v>0</v>
      </c>
      <c r="J492" s="142" t="s">
        <v>1878</v>
      </c>
      <c r="K492" s="143">
        <f t="shared" si="31"/>
        <v>0</v>
      </c>
      <c r="L492" s="144">
        <f t="shared" si="32"/>
        <v>956.55000000000007</v>
      </c>
      <c r="M492" s="144">
        <f t="shared" si="33"/>
        <v>956.55000000000007</v>
      </c>
      <c r="N492" s="145" t="s">
        <v>1073</v>
      </c>
      <c r="O492" s="125"/>
    </row>
    <row r="493" spans="1:15" ht="15" customHeight="1" x14ac:dyDescent="0.3">
      <c r="A493" s="90" t="s">
        <v>199</v>
      </c>
      <c r="B493" s="90" t="s">
        <v>690</v>
      </c>
      <c r="C493" s="90" t="s">
        <v>691</v>
      </c>
      <c r="D493" s="90" t="s">
        <v>1102</v>
      </c>
      <c r="E493" s="90" t="s">
        <v>1103</v>
      </c>
      <c r="F493" s="90" t="s">
        <v>1104</v>
      </c>
      <c r="G493" s="89">
        <v>1625.0199999999998</v>
      </c>
      <c r="H493" s="141" t="str">
        <f t="shared" si="34"/>
        <v>141001420893</v>
      </c>
      <c r="I493" s="142">
        <v>1.1399999999999966E-2</v>
      </c>
      <c r="J493" s="142" t="s">
        <v>281</v>
      </c>
      <c r="K493" s="143">
        <f t="shared" si="31"/>
        <v>18.525227999999942</v>
      </c>
      <c r="L493" s="144">
        <f t="shared" si="32"/>
        <v>1606.4947719999998</v>
      </c>
      <c r="M493" s="144">
        <f t="shared" si="33"/>
        <v>1625.0199999999998</v>
      </c>
      <c r="N493" s="145" t="s">
        <v>1073</v>
      </c>
      <c r="O493" s="125"/>
    </row>
    <row r="494" spans="1:15" ht="15" customHeight="1" x14ac:dyDescent="0.3">
      <c r="A494" s="90" t="s">
        <v>199</v>
      </c>
      <c r="B494" s="90" t="s">
        <v>739</v>
      </c>
      <c r="C494" s="90" t="s">
        <v>740</v>
      </c>
      <c r="D494" s="90" t="s">
        <v>1074</v>
      </c>
      <c r="E494" s="90" t="s">
        <v>697</v>
      </c>
      <c r="F494" s="90" t="s">
        <v>1075</v>
      </c>
      <c r="G494" s="89">
        <v>2764.12</v>
      </c>
      <c r="H494" s="141" t="str">
        <f t="shared" si="34"/>
        <v>155061295893</v>
      </c>
      <c r="I494" s="142">
        <v>0</v>
      </c>
      <c r="J494" s="142" t="s">
        <v>1863</v>
      </c>
      <c r="K494" s="143">
        <f t="shared" si="31"/>
        <v>0</v>
      </c>
      <c r="L494" s="144">
        <f t="shared" si="32"/>
        <v>2764.12</v>
      </c>
      <c r="M494" s="144">
        <f t="shared" si="33"/>
        <v>2764.12</v>
      </c>
      <c r="N494" s="145" t="s">
        <v>1073</v>
      </c>
      <c r="O494" s="125"/>
    </row>
    <row r="495" spans="1:15" ht="15" customHeight="1" x14ac:dyDescent="0.3">
      <c r="A495" s="90" t="s">
        <v>199</v>
      </c>
      <c r="B495" s="90" t="s">
        <v>690</v>
      </c>
      <c r="C495" s="90" t="s">
        <v>691</v>
      </c>
      <c r="D495" s="90" t="s">
        <v>1105</v>
      </c>
      <c r="E495" s="90" t="s">
        <v>1106</v>
      </c>
      <c r="F495" s="90" t="s">
        <v>1107</v>
      </c>
      <c r="G495" s="89">
        <v>3090.29</v>
      </c>
      <c r="H495" s="141" t="str">
        <f t="shared" si="34"/>
        <v>141001350893</v>
      </c>
      <c r="I495" s="142">
        <v>1.1399999999999966E-2</v>
      </c>
      <c r="J495" s="142" t="s">
        <v>281</v>
      </c>
      <c r="K495" s="143">
        <f t="shared" si="31"/>
        <v>35.229305999999895</v>
      </c>
      <c r="L495" s="144">
        <f t="shared" si="32"/>
        <v>3055.0606940000002</v>
      </c>
      <c r="M495" s="144">
        <f t="shared" si="33"/>
        <v>3090.29</v>
      </c>
      <c r="N495" s="145" t="s">
        <v>1073</v>
      </c>
      <c r="O495" s="125"/>
    </row>
    <row r="496" spans="1:15" ht="15" customHeight="1" x14ac:dyDescent="0.3">
      <c r="A496" s="90" t="s">
        <v>199</v>
      </c>
      <c r="B496" s="90" t="s">
        <v>1078</v>
      </c>
      <c r="C496" s="90" t="s">
        <v>1079</v>
      </c>
      <c r="D496" s="90" t="s">
        <v>1112</v>
      </c>
      <c r="E496" s="90" t="s">
        <v>1113</v>
      </c>
      <c r="F496" s="90" t="s">
        <v>1114</v>
      </c>
      <c r="G496" s="89">
        <v>3322.23</v>
      </c>
      <c r="H496" s="141" t="str">
        <f t="shared" si="34"/>
        <v>120111345893</v>
      </c>
      <c r="I496" s="142">
        <v>0.11270000000000002</v>
      </c>
      <c r="J496" s="142" t="s">
        <v>1885</v>
      </c>
      <c r="K496" s="143">
        <f t="shared" si="31"/>
        <v>374.41532100000006</v>
      </c>
      <c r="L496" s="144">
        <f t="shared" si="32"/>
        <v>2947.8146790000001</v>
      </c>
      <c r="M496" s="144">
        <f t="shared" si="33"/>
        <v>3322.23</v>
      </c>
      <c r="N496" s="145" t="s">
        <v>1073</v>
      </c>
      <c r="O496" s="125"/>
    </row>
    <row r="497" spans="1:15" ht="15" customHeight="1" x14ac:dyDescent="0.3">
      <c r="A497" s="90" t="s">
        <v>199</v>
      </c>
      <c r="B497" s="90" t="s">
        <v>819</v>
      </c>
      <c r="C497" s="90" t="s">
        <v>820</v>
      </c>
      <c r="D497" s="90" t="s">
        <v>1112</v>
      </c>
      <c r="E497" s="90" t="s">
        <v>1113</v>
      </c>
      <c r="F497" s="90" t="s">
        <v>1114</v>
      </c>
      <c r="G497" s="89">
        <v>3471.73</v>
      </c>
      <c r="H497" s="141" t="str">
        <f t="shared" si="34"/>
        <v>135101345893</v>
      </c>
      <c r="I497" s="142">
        <v>0.11160000000000003</v>
      </c>
      <c r="J497" s="142" t="s">
        <v>1871</v>
      </c>
      <c r="K497" s="143">
        <f t="shared" si="31"/>
        <v>387.44506800000011</v>
      </c>
      <c r="L497" s="144">
        <f t="shared" si="32"/>
        <v>3084.284932</v>
      </c>
      <c r="M497" s="144">
        <f t="shared" si="33"/>
        <v>3471.73</v>
      </c>
      <c r="N497" s="145" t="s">
        <v>1073</v>
      </c>
      <c r="O497" s="125"/>
    </row>
    <row r="498" spans="1:15" ht="15" customHeight="1" x14ac:dyDescent="0.3">
      <c r="A498" s="90" t="s">
        <v>199</v>
      </c>
      <c r="B498" s="90" t="s">
        <v>690</v>
      </c>
      <c r="C498" s="90" t="s">
        <v>691</v>
      </c>
      <c r="D498" s="90" t="s">
        <v>1115</v>
      </c>
      <c r="E498" s="90" t="s">
        <v>1116</v>
      </c>
      <c r="F498" s="90" t="s">
        <v>1117</v>
      </c>
      <c r="G498" s="89">
        <v>5302.52</v>
      </c>
      <c r="H498" s="141" t="str">
        <f t="shared" si="34"/>
        <v>141001335893</v>
      </c>
      <c r="I498" s="142">
        <v>1.1399999999999966E-2</v>
      </c>
      <c r="J498" s="142" t="s">
        <v>281</v>
      </c>
      <c r="K498" s="143">
        <f t="shared" si="31"/>
        <v>60.448727999999825</v>
      </c>
      <c r="L498" s="144">
        <f t="shared" si="32"/>
        <v>5242.071272000001</v>
      </c>
      <c r="M498" s="144">
        <f t="shared" si="33"/>
        <v>5302.52</v>
      </c>
      <c r="N498" s="145" t="s">
        <v>1073</v>
      </c>
      <c r="O498" s="125"/>
    </row>
    <row r="499" spans="1:15" ht="15" customHeight="1" x14ac:dyDescent="0.3">
      <c r="A499" s="90" t="s">
        <v>199</v>
      </c>
      <c r="B499" s="90" t="s">
        <v>688</v>
      </c>
      <c r="C499" s="90" t="s">
        <v>689</v>
      </c>
      <c r="D499" s="90" t="s">
        <v>1088</v>
      </c>
      <c r="E499" s="90" t="s">
        <v>1089</v>
      </c>
      <c r="F499" s="90" t="s">
        <v>1090</v>
      </c>
      <c r="G499" s="89">
        <v>9464.5000000000018</v>
      </c>
      <c r="H499" s="141" t="str">
        <f t="shared" si="34"/>
        <v>111001400893</v>
      </c>
      <c r="I499" s="142">
        <v>8.3600000000000008E-2</v>
      </c>
      <c r="J499" s="142" t="s">
        <v>1865</v>
      </c>
      <c r="K499" s="143">
        <f t="shared" si="31"/>
        <v>791.23220000000026</v>
      </c>
      <c r="L499" s="144">
        <f t="shared" si="32"/>
        <v>8673.2678000000014</v>
      </c>
      <c r="M499" s="144">
        <f t="shared" si="33"/>
        <v>9464.5000000000018</v>
      </c>
      <c r="N499" s="145" t="s">
        <v>1073</v>
      </c>
      <c r="O499" s="125"/>
    </row>
    <row r="500" spans="1:15" ht="15" customHeight="1" x14ac:dyDescent="0.3">
      <c r="A500" s="90" t="s">
        <v>199</v>
      </c>
      <c r="B500" s="90" t="s">
        <v>798</v>
      </c>
      <c r="C500" s="90" t="s">
        <v>799</v>
      </c>
      <c r="D500" s="90" t="s">
        <v>1083</v>
      </c>
      <c r="E500" s="90" t="s">
        <v>880</v>
      </c>
      <c r="F500" s="90" t="s">
        <v>1084</v>
      </c>
      <c r="G500" s="89">
        <v>11022.51</v>
      </c>
      <c r="H500" s="141" t="str">
        <f t="shared" si="34"/>
        <v>113201620893</v>
      </c>
      <c r="I500" s="142">
        <v>0.11160000000000003</v>
      </c>
      <c r="J500" s="142" t="s">
        <v>1871</v>
      </c>
      <c r="K500" s="143">
        <f t="shared" si="31"/>
        <v>1230.1121160000005</v>
      </c>
      <c r="L500" s="144">
        <f t="shared" si="32"/>
        <v>9792.397884</v>
      </c>
      <c r="M500" s="144">
        <f t="shared" si="33"/>
        <v>11022.51</v>
      </c>
      <c r="N500" s="145" t="s">
        <v>1073</v>
      </c>
      <c r="O500" s="125"/>
    </row>
    <row r="501" spans="1:15" ht="15" customHeight="1" x14ac:dyDescent="0.3">
      <c r="A501" s="90" t="s">
        <v>199</v>
      </c>
      <c r="B501" s="90" t="s">
        <v>688</v>
      </c>
      <c r="C501" s="90" t="s">
        <v>689</v>
      </c>
      <c r="D501" s="90" t="s">
        <v>1074</v>
      </c>
      <c r="E501" s="90" t="s">
        <v>697</v>
      </c>
      <c r="F501" s="90" t="s">
        <v>1075</v>
      </c>
      <c r="G501" s="89">
        <v>16517.669999999998</v>
      </c>
      <c r="H501" s="141" t="str">
        <f t="shared" si="34"/>
        <v>111001295893</v>
      </c>
      <c r="I501" s="142">
        <v>8.3600000000000008E-2</v>
      </c>
      <c r="J501" s="142" t="s">
        <v>1865</v>
      </c>
      <c r="K501" s="143">
        <f t="shared" si="31"/>
        <v>1380.8772119999999</v>
      </c>
      <c r="L501" s="144">
        <f t="shared" si="32"/>
        <v>15136.792787999999</v>
      </c>
      <c r="M501" s="144">
        <f t="shared" si="33"/>
        <v>16517.669999999998</v>
      </c>
      <c r="N501" s="145" t="s">
        <v>1073</v>
      </c>
      <c r="O501" s="125"/>
    </row>
    <row r="502" spans="1:15" ht="15" customHeight="1" x14ac:dyDescent="0.3">
      <c r="A502" s="90" t="s">
        <v>199</v>
      </c>
      <c r="B502" s="90" t="s">
        <v>690</v>
      </c>
      <c r="C502" s="90" t="s">
        <v>691</v>
      </c>
      <c r="D502" s="90" t="s">
        <v>1112</v>
      </c>
      <c r="E502" s="90" t="s">
        <v>1113</v>
      </c>
      <c r="F502" s="90" t="s">
        <v>1114</v>
      </c>
      <c r="G502" s="89">
        <v>26859.329999999998</v>
      </c>
      <c r="H502" s="141" t="str">
        <f t="shared" si="34"/>
        <v>141001345893</v>
      </c>
      <c r="I502" s="142">
        <v>1.1399999999999966E-2</v>
      </c>
      <c r="J502" s="142" t="s">
        <v>281</v>
      </c>
      <c r="K502" s="143">
        <f t="shared" si="31"/>
        <v>306.19636199999906</v>
      </c>
      <c r="L502" s="144">
        <f t="shared" si="32"/>
        <v>26553.133637999999</v>
      </c>
      <c r="M502" s="144">
        <f t="shared" si="33"/>
        <v>26859.329999999998</v>
      </c>
      <c r="N502" s="145" t="s">
        <v>1073</v>
      </c>
      <c r="O502" s="125"/>
    </row>
    <row r="503" spans="1:15" ht="15" customHeight="1" x14ac:dyDescent="0.3">
      <c r="A503" s="90" t="s">
        <v>199</v>
      </c>
      <c r="B503" s="90" t="s">
        <v>1078</v>
      </c>
      <c r="C503" s="90" t="s">
        <v>1079</v>
      </c>
      <c r="D503" s="90" t="s">
        <v>1118</v>
      </c>
      <c r="E503" s="90" t="s">
        <v>1119</v>
      </c>
      <c r="F503" s="90" t="s">
        <v>1120</v>
      </c>
      <c r="G503" s="89">
        <v>27033.499999999996</v>
      </c>
      <c r="H503" s="141" t="str">
        <f t="shared" si="34"/>
        <v>120111375893</v>
      </c>
      <c r="I503" s="142">
        <v>0.11160000000000003</v>
      </c>
      <c r="J503" s="142" t="s">
        <v>1871</v>
      </c>
      <c r="K503" s="143">
        <f t="shared" si="31"/>
        <v>3016.9386000000004</v>
      </c>
      <c r="L503" s="144">
        <f t="shared" si="32"/>
        <v>24016.561399999995</v>
      </c>
      <c r="M503" s="144">
        <f t="shared" si="33"/>
        <v>27033.499999999996</v>
      </c>
      <c r="N503" s="145" t="s">
        <v>1073</v>
      </c>
      <c r="O503" s="125"/>
    </row>
    <row r="504" spans="1:15" ht="15" customHeight="1" x14ac:dyDescent="0.3">
      <c r="A504" s="90" t="s">
        <v>199</v>
      </c>
      <c r="B504" s="90" t="s">
        <v>688</v>
      </c>
      <c r="C504" s="90" t="s">
        <v>689</v>
      </c>
      <c r="D504" s="90" t="s">
        <v>1112</v>
      </c>
      <c r="E504" s="90" t="s">
        <v>1113</v>
      </c>
      <c r="F504" s="90" t="s">
        <v>1114</v>
      </c>
      <c r="G504" s="89">
        <v>29253.13</v>
      </c>
      <c r="H504" s="141" t="str">
        <f t="shared" si="34"/>
        <v>111001345893</v>
      </c>
      <c r="I504" s="142">
        <v>8.3600000000000008E-2</v>
      </c>
      <c r="J504" s="142" t="s">
        <v>1865</v>
      </c>
      <c r="K504" s="143">
        <f t="shared" si="31"/>
        <v>2445.5616680000003</v>
      </c>
      <c r="L504" s="144">
        <f t="shared" si="32"/>
        <v>26807.568332000003</v>
      </c>
      <c r="M504" s="144">
        <f t="shared" si="33"/>
        <v>29253.130000000005</v>
      </c>
      <c r="N504" s="145" t="s">
        <v>1073</v>
      </c>
      <c r="O504" s="125"/>
    </row>
    <row r="505" spans="1:15" ht="15" customHeight="1" x14ac:dyDescent="0.3">
      <c r="A505" s="90" t="s">
        <v>199</v>
      </c>
      <c r="B505" s="90" t="s">
        <v>688</v>
      </c>
      <c r="C505" s="90" t="s">
        <v>689</v>
      </c>
      <c r="D505" s="90" t="s">
        <v>1085</v>
      </c>
      <c r="E505" s="90" t="s">
        <v>1086</v>
      </c>
      <c r="F505" s="90" t="s">
        <v>1087</v>
      </c>
      <c r="G505" s="89">
        <v>30284.880000000001</v>
      </c>
      <c r="H505" s="141" t="str">
        <f t="shared" si="34"/>
        <v>111001465893</v>
      </c>
      <c r="I505" s="142">
        <v>8.3600000000000008E-2</v>
      </c>
      <c r="J505" s="142" t="s">
        <v>1865</v>
      </c>
      <c r="K505" s="143">
        <f t="shared" si="31"/>
        <v>2531.8159680000003</v>
      </c>
      <c r="L505" s="144">
        <f t="shared" si="32"/>
        <v>27753.064032000002</v>
      </c>
      <c r="M505" s="144">
        <f t="shared" si="33"/>
        <v>30284.880000000001</v>
      </c>
      <c r="N505" s="145" t="s">
        <v>1073</v>
      </c>
      <c r="O505" s="125"/>
    </row>
    <row r="506" spans="1:15" ht="15" customHeight="1" x14ac:dyDescent="0.3">
      <c r="A506" s="90" t="s">
        <v>199</v>
      </c>
      <c r="B506" s="90" t="s">
        <v>688</v>
      </c>
      <c r="C506" s="90" t="s">
        <v>689</v>
      </c>
      <c r="D506" s="90" t="s">
        <v>1102</v>
      </c>
      <c r="E506" s="90" t="s">
        <v>1103</v>
      </c>
      <c r="F506" s="90" t="s">
        <v>1104</v>
      </c>
      <c r="G506" s="89">
        <v>34601.89</v>
      </c>
      <c r="H506" s="141" t="str">
        <f t="shared" si="34"/>
        <v>111001420893</v>
      </c>
      <c r="I506" s="142">
        <v>8.3600000000000008E-2</v>
      </c>
      <c r="J506" s="142" t="s">
        <v>1865</v>
      </c>
      <c r="K506" s="143">
        <f t="shared" si="31"/>
        <v>2892.7180040000003</v>
      </c>
      <c r="L506" s="144">
        <f t="shared" si="32"/>
        <v>31709.171995999997</v>
      </c>
      <c r="M506" s="144">
        <f t="shared" si="33"/>
        <v>34601.89</v>
      </c>
      <c r="N506" s="145" t="s">
        <v>1073</v>
      </c>
      <c r="O506" s="125"/>
    </row>
    <row r="507" spans="1:15" ht="15" customHeight="1" x14ac:dyDescent="0.3">
      <c r="A507" s="90" t="s">
        <v>199</v>
      </c>
      <c r="B507" s="90" t="s">
        <v>688</v>
      </c>
      <c r="C507" s="90" t="s">
        <v>689</v>
      </c>
      <c r="D507" s="90" t="s">
        <v>1108</v>
      </c>
      <c r="E507" s="90" t="s">
        <v>1109</v>
      </c>
      <c r="F507" s="90" t="s">
        <v>1101</v>
      </c>
      <c r="G507" s="89">
        <v>35398.509999999995</v>
      </c>
      <c r="H507" s="141" t="str">
        <f t="shared" si="34"/>
        <v>111001185893</v>
      </c>
      <c r="I507" s="142">
        <v>0.11160000000000003</v>
      </c>
      <c r="J507" s="142" t="s">
        <v>1871</v>
      </c>
      <c r="K507" s="143">
        <f t="shared" si="31"/>
        <v>3950.4737160000004</v>
      </c>
      <c r="L507" s="144">
        <f t="shared" si="32"/>
        <v>31448.036283999994</v>
      </c>
      <c r="M507" s="144">
        <f t="shared" si="33"/>
        <v>35398.509999999995</v>
      </c>
      <c r="N507" s="145" t="s">
        <v>1073</v>
      </c>
      <c r="O507" s="125"/>
    </row>
    <row r="508" spans="1:15" ht="15" customHeight="1" x14ac:dyDescent="0.3">
      <c r="A508" s="90" t="s">
        <v>199</v>
      </c>
      <c r="B508" s="90" t="s">
        <v>688</v>
      </c>
      <c r="C508" s="90" t="s">
        <v>689</v>
      </c>
      <c r="D508" s="90" t="s">
        <v>1105</v>
      </c>
      <c r="E508" s="90" t="s">
        <v>1106</v>
      </c>
      <c r="F508" s="90" t="s">
        <v>1107</v>
      </c>
      <c r="G508" s="89">
        <v>39037.729999999996</v>
      </c>
      <c r="H508" s="141" t="str">
        <f t="shared" si="34"/>
        <v>111001350893</v>
      </c>
      <c r="I508" s="142">
        <v>8.3600000000000008E-2</v>
      </c>
      <c r="J508" s="142" t="s">
        <v>1865</v>
      </c>
      <c r="K508" s="143">
        <f t="shared" si="31"/>
        <v>3263.554228</v>
      </c>
      <c r="L508" s="144">
        <f t="shared" si="32"/>
        <v>35774.175771999995</v>
      </c>
      <c r="M508" s="144">
        <f t="shared" si="33"/>
        <v>39037.729999999996</v>
      </c>
      <c r="N508" s="145" t="s">
        <v>1073</v>
      </c>
      <c r="O508" s="125"/>
    </row>
    <row r="509" spans="1:15" ht="15" customHeight="1" x14ac:dyDescent="0.3">
      <c r="A509" s="90" t="s">
        <v>199</v>
      </c>
      <c r="B509" s="90" t="s">
        <v>1078</v>
      </c>
      <c r="C509" s="90" t="s">
        <v>1079</v>
      </c>
      <c r="D509" s="90" t="s">
        <v>1121</v>
      </c>
      <c r="E509" s="90" t="s">
        <v>1122</v>
      </c>
      <c r="F509" s="90" t="s">
        <v>1120</v>
      </c>
      <c r="G509" s="89">
        <v>66905.45</v>
      </c>
      <c r="H509" s="141" t="str">
        <f t="shared" si="34"/>
        <v>120111385893</v>
      </c>
      <c r="I509" s="142">
        <v>0.11160000000000003</v>
      </c>
      <c r="J509" s="142" t="s">
        <v>1871</v>
      </c>
      <c r="K509" s="143">
        <f t="shared" si="31"/>
        <v>7466.6482200000019</v>
      </c>
      <c r="L509" s="144">
        <f t="shared" si="32"/>
        <v>59438.801779999994</v>
      </c>
      <c r="M509" s="144">
        <f t="shared" si="33"/>
        <v>66905.45</v>
      </c>
      <c r="N509" s="145" t="s">
        <v>1073</v>
      </c>
      <c r="O509" s="125"/>
    </row>
    <row r="510" spans="1:15" ht="15" customHeight="1" x14ac:dyDescent="0.3">
      <c r="A510" s="90" t="s">
        <v>199</v>
      </c>
      <c r="B510" s="90" t="s">
        <v>1078</v>
      </c>
      <c r="C510" s="90" t="s">
        <v>1079</v>
      </c>
      <c r="D510" s="90" t="s">
        <v>1091</v>
      </c>
      <c r="E510" s="90" t="s">
        <v>1092</v>
      </c>
      <c r="F510" s="90" t="s">
        <v>1082</v>
      </c>
      <c r="G510" s="89">
        <v>72938.34</v>
      </c>
      <c r="H510" s="141" t="str">
        <f t="shared" si="34"/>
        <v>120111535893</v>
      </c>
      <c r="I510" s="142">
        <v>8.3899999999999975E-2</v>
      </c>
      <c r="J510" s="142" t="s">
        <v>1880</v>
      </c>
      <c r="K510" s="143">
        <f t="shared" si="31"/>
        <v>6119.5267259999982</v>
      </c>
      <c r="L510" s="144">
        <f t="shared" si="32"/>
        <v>66818.813274</v>
      </c>
      <c r="M510" s="144">
        <f t="shared" si="33"/>
        <v>72938.34</v>
      </c>
      <c r="N510" s="145" t="s">
        <v>1073</v>
      </c>
      <c r="O510" s="125"/>
    </row>
    <row r="511" spans="1:15" ht="15" customHeight="1" x14ac:dyDescent="0.3">
      <c r="A511" s="90" t="s">
        <v>199</v>
      </c>
      <c r="B511" s="90" t="s">
        <v>1078</v>
      </c>
      <c r="C511" s="90" t="s">
        <v>1079</v>
      </c>
      <c r="D511" s="90" t="s">
        <v>1110</v>
      </c>
      <c r="E511" s="90" t="s">
        <v>1111</v>
      </c>
      <c r="F511" s="90" t="s">
        <v>1082</v>
      </c>
      <c r="G511" s="89">
        <v>88166.23000000001</v>
      </c>
      <c r="H511" s="141" t="str">
        <f t="shared" si="34"/>
        <v>120111530893</v>
      </c>
      <c r="I511" s="142">
        <v>0.10119999999999996</v>
      </c>
      <c r="J511" s="142" t="s">
        <v>1886</v>
      </c>
      <c r="K511" s="143">
        <f t="shared" si="31"/>
        <v>8922.4224759999979</v>
      </c>
      <c r="L511" s="144">
        <f t="shared" si="32"/>
        <v>79243.807524000018</v>
      </c>
      <c r="M511" s="144">
        <f t="shared" si="33"/>
        <v>88166.23000000001</v>
      </c>
      <c r="N511" s="145" t="s">
        <v>1073</v>
      </c>
      <c r="O511" s="125"/>
    </row>
    <row r="512" spans="1:15" ht="15" customHeight="1" x14ac:dyDescent="0.3">
      <c r="A512" s="90" t="s">
        <v>199</v>
      </c>
      <c r="B512" s="90" t="s">
        <v>688</v>
      </c>
      <c r="C512" s="90" t="s">
        <v>689</v>
      </c>
      <c r="D512" s="90" t="s">
        <v>1099</v>
      </c>
      <c r="E512" s="90" t="s">
        <v>1100</v>
      </c>
      <c r="F512" s="90" t="s">
        <v>1101</v>
      </c>
      <c r="G512" s="89">
        <v>139038.34</v>
      </c>
      <c r="H512" s="141" t="str">
        <f t="shared" si="34"/>
        <v>111001190893</v>
      </c>
      <c r="I512" s="142">
        <v>8.3600000000000008E-2</v>
      </c>
      <c r="J512" s="142" t="s">
        <v>1865</v>
      </c>
      <c r="K512" s="143">
        <f t="shared" si="31"/>
        <v>11623.605224000001</v>
      </c>
      <c r="L512" s="144">
        <f t="shared" si="32"/>
        <v>127414.734776</v>
      </c>
      <c r="M512" s="144">
        <f t="shared" si="33"/>
        <v>139038.34</v>
      </c>
      <c r="N512" s="145" t="s">
        <v>1073</v>
      </c>
      <c r="O512" s="125"/>
    </row>
    <row r="513" spans="1:15" ht="15" customHeight="1" x14ac:dyDescent="0.3">
      <c r="A513" s="90" t="s">
        <v>199</v>
      </c>
      <c r="B513" s="90" t="s">
        <v>1078</v>
      </c>
      <c r="C513" s="90" t="s">
        <v>1079</v>
      </c>
      <c r="D513" s="90" t="s">
        <v>1070</v>
      </c>
      <c r="E513" s="90" t="s">
        <v>1071</v>
      </c>
      <c r="F513" s="90" t="s">
        <v>1072</v>
      </c>
      <c r="G513" s="89">
        <v>197711.50000000003</v>
      </c>
      <c r="H513" s="141" t="str">
        <f t="shared" si="34"/>
        <v>120111340893</v>
      </c>
      <c r="I513" s="142">
        <v>0.11270000000000002</v>
      </c>
      <c r="J513" s="142" t="s">
        <v>1885</v>
      </c>
      <c r="K513" s="143">
        <f t="shared" si="31"/>
        <v>22282.086050000009</v>
      </c>
      <c r="L513" s="144">
        <f t="shared" si="32"/>
        <v>175429.41395000002</v>
      </c>
      <c r="M513" s="144">
        <f t="shared" si="33"/>
        <v>197711.50000000003</v>
      </c>
      <c r="N513" s="145" t="s">
        <v>1073</v>
      </c>
      <c r="O513" s="125"/>
    </row>
    <row r="514" spans="1:15" ht="15" customHeight="1" x14ac:dyDescent="0.3">
      <c r="A514" s="90" t="s">
        <v>199</v>
      </c>
      <c r="B514" s="90" t="s">
        <v>688</v>
      </c>
      <c r="C514" s="90" t="s">
        <v>689</v>
      </c>
      <c r="D514" s="90" t="s">
        <v>1093</v>
      </c>
      <c r="E514" s="90" t="s">
        <v>1094</v>
      </c>
      <c r="F514" s="90" t="s">
        <v>1095</v>
      </c>
      <c r="G514" s="89">
        <v>295105.86</v>
      </c>
      <c r="H514" s="141" t="str">
        <f t="shared" si="34"/>
        <v>111001460893</v>
      </c>
      <c r="I514" s="142">
        <v>8.3600000000000008E-2</v>
      </c>
      <c r="J514" s="142" t="s">
        <v>1865</v>
      </c>
      <c r="K514" s="143">
        <f t="shared" si="31"/>
        <v>24670.849896</v>
      </c>
      <c r="L514" s="144">
        <f t="shared" si="32"/>
        <v>270435.01010399999</v>
      </c>
      <c r="M514" s="144">
        <f t="shared" si="33"/>
        <v>295105.86</v>
      </c>
      <c r="N514" s="145" t="s">
        <v>1073</v>
      </c>
      <c r="O514" s="125"/>
    </row>
    <row r="515" spans="1:15" ht="15" customHeight="1" x14ac:dyDescent="0.3">
      <c r="A515" s="90" t="s">
        <v>199</v>
      </c>
      <c r="B515" s="90" t="s">
        <v>688</v>
      </c>
      <c r="C515" s="90" t="s">
        <v>689</v>
      </c>
      <c r="D515" s="90" t="s">
        <v>1096</v>
      </c>
      <c r="E515" s="90" t="s">
        <v>1097</v>
      </c>
      <c r="F515" s="90" t="s">
        <v>1098</v>
      </c>
      <c r="G515" s="89">
        <v>358382.98</v>
      </c>
      <c r="H515" s="141" t="str">
        <f t="shared" si="34"/>
        <v>111001165893</v>
      </c>
      <c r="I515" s="142">
        <v>8.3600000000000008E-2</v>
      </c>
      <c r="J515" s="142" t="s">
        <v>1865</v>
      </c>
      <c r="K515" s="143">
        <f t="shared" si="31"/>
        <v>29960.817128000002</v>
      </c>
      <c r="L515" s="144">
        <f t="shared" si="32"/>
        <v>328422.16287199996</v>
      </c>
      <c r="M515" s="144">
        <f t="shared" si="33"/>
        <v>358382.98</v>
      </c>
      <c r="N515" s="145" t="s">
        <v>1073</v>
      </c>
      <c r="O515" s="125"/>
    </row>
    <row r="516" spans="1:15" ht="15" customHeight="1" x14ac:dyDescent="0.3">
      <c r="A516" s="90" t="s">
        <v>199</v>
      </c>
      <c r="B516" s="90" t="s">
        <v>819</v>
      </c>
      <c r="C516" s="90" t="s">
        <v>820</v>
      </c>
      <c r="D516" s="90" t="s">
        <v>1083</v>
      </c>
      <c r="E516" s="90" t="s">
        <v>880</v>
      </c>
      <c r="F516" s="90" t="s">
        <v>1084</v>
      </c>
      <c r="G516" s="89">
        <v>1328407.9500000002</v>
      </c>
      <c r="H516" s="141" t="str">
        <f t="shared" si="34"/>
        <v>135101620893</v>
      </c>
      <c r="I516" s="142">
        <v>0.11160000000000003</v>
      </c>
      <c r="J516" s="142" t="s">
        <v>1871</v>
      </c>
      <c r="K516" s="143">
        <f t="shared" si="31"/>
        <v>148250.32722000006</v>
      </c>
      <c r="L516" s="144">
        <f t="shared" si="32"/>
        <v>1180157.6227800001</v>
      </c>
      <c r="M516" s="144">
        <f t="shared" si="33"/>
        <v>1328407.9500000002</v>
      </c>
      <c r="N516" s="145" t="s">
        <v>1073</v>
      </c>
      <c r="O516" s="125"/>
    </row>
    <row r="517" spans="1:15" ht="15" customHeight="1" x14ac:dyDescent="0.3">
      <c r="A517" s="90" t="s">
        <v>201</v>
      </c>
      <c r="B517" s="90" t="s">
        <v>690</v>
      </c>
      <c r="C517" s="90" t="s">
        <v>691</v>
      </c>
      <c r="D517" s="90" t="s">
        <v>1123</v>
      </c>
      <c r="E517" s="90" t="s">
        <v>1124</v>
      </c>
      <c r="F517" s="90" t="s">
        <v>1125</v>
      </c>
      <c r="G517" s="89">
        <v>5870.0600000000013</v>
      </c>
      <c r="H517" s="141" t="str">
        <f t="shared" si="34"/>
        <v>141001655894</v>
      </c>
      <c r="I517" s="142">
        <v>1.1399999999999966E-2</v>
      </c>
      <c r="J517" s="142" t="s">
        <v>281</v>
      </c>
      <c r="K517" s="143">
        <f t="shared" si="31"/>
        <v>66.918683999999814</v>
      </c>
      <c r="L517" s="144">
        <f t="shared" si="32"/>
        <v>5803.1413160000011</v>
      </c>
      <c r="M517" s="144">
        <f t="shared" si="33"/>
        <v>5870.0600000000013</v>
      </c>
      <c r="N517" s="145" t="s">
        <v>1126</v>
      </c>
      <c r="O517" s="125"/>
    </row>
    <row r="518" spans="1:15" ht="15" customHeight="1" x14ac:dyDescent="0.3">
      <c r="A518" s="90" t="s">
        <v>201</v>
      </c>
      <c r="B518" s="90" t="s">
        <v>1127</v>
      </c>
      <c r="C518" s="90" t="s">
        <v>1128</v>
      </c>
      <c r="D518" s="90" t="s">
        <v>1129</v>
      </c>
      <c r="E518" s="90" t="s">
        <v>1130</v>
      </c>
      <c r="F518" s="90" t="s">
        <v>1131</v>
      </c>
      <c r="G518" s="89">
        <v>10609.36</v>
      </c>
      <c r="H518" s="141" t="str">
        <f t="shared" si="34"/>
        <v>118002015894</v>
      </c>
      <c r="I518" s="142">
        <v>0</v>
      </c>
      <c r="J518" s="142" t="s">
        <v>1867</v>
      </c>
      <c r="K518" s="143">
        <f t="shared" si="31"/>
        <v>0</v>
      </c>
      <c r="L518" s="144">
        <f t="shared" si="32"/>
        <v>10609.36</v>
      </c>
      <c r="M518" s="144">
        <f t="shared" si="33"/>
        <v>10609.36</v>
      </c>
      <c r="N518" s="145" t="s">
        <v>1126</v>
      </c>
      <c r="O518" s="125"/>
    </row>
    <row r="519" spans="1:15" ht="15" customHeight="1" x14ac:dyDescent="0.3">
      <c r="A519" s="90" t="s">
        <v>201</v>
      </c>
      <c r="B519" s="90" t="s">
        <v>1127</v>
      </c>
      <c r="C519" s="90" t="s">
        <v>1128</v>
      </c>
      <c r="D519" s="90" t="s">
        <v>1132</v>
      </c>
      <c r="E519" s="90" t="s">
        <v>1133</v>
      </c>
      <c r="F519" s="90" t="s">
        <v>1134</v>
      </c>
      <c r="G519" s="89">
        <v>14428.49</v>
      </c>
      <c r="H519" s="141" t="str">
        <f t="shared" si="34"/>
        <v>118002005894</v>
      </c>
      <c r="I519" s="142">
        <v>0</v>
      </c>
      <c r="J519" s="142" t="s">
        <v>1863</v>
      </c>
      <c r="K519" s="143">
        <f t="shared" si="31"/>
        <v>0</v>
      </c>
      <c r="L519" s="144">
        <f t="shared" si="32"/>
        <v>14428.49</v>
      </c>
      <c r="M519" s="144">
        <f t="shared" si="33"/>
        <v>14428.49</v>
      </c>
      <c r="N519" s="145" t="s">
        <v>1126</v>
      </c>
      <c r="O519" s="125"/>
    </row>
    <row r="520" spans="1:15" ht="15" customHeight="1" x14ac:dyDescent="0.3">
      <c r="A520" s="90" t="s">
        <v>201</v>
      </c>
      <c r="B520" s="90" t="s">
        <v>1127</v>
      </c>
      <c r="C520" s="90" t="s">
        <v>1128</v>
      </c>
      <c r="D520" s="90" t="s">
        <v>1135</v>
      </c>
      <c r="E520" s="90" t="s">
        <v>1136</v>
      </c>
      <c r="F520" s="90" t="s">
        <v>1137</v>
      </c>
      <c r="G520" s="89">
        <v>19767.62</v>
      </c>
      <c r="H520" s="141" t="str">
        <f t="shared" si="34"/>
        <v>118002010894</v>
      </c>
      <c r="I520" s="142">
        <v>0</v>
      </c>
      <c r="J520" s="142" t="s">
        <v>1867</v>
      </c>
      <c r="K520" s="143">
        <f t="shared" si="31"/>
        <v>0</v>
      </c>
      <c r="L520" s="144">
        <f t="shared" si="32"/>
        <v>19767.62</v>
      </c>
      <c r="M520" s="144">
        <f t="shared" si="33"/>
        <v>19767.62</v>
      </c>
      <c r="N520" s="145" t="s">
        <v>1126</v>
      </c>
      <c r="O520" s="125"/>
    </row>
    <row r="521" spans="1:15" ht="15" customHeight="1" x14ac:dyDescent="0.3">
      <c r="A521" s="90" t="s">
        <v>201</v>
      </c>
      <c r="B521" s="90" t="s">
        <v>826</v>
      </c>
      <c r="C521" s="90" t="s">
        <v>827</v>
      </c>
      <c r="D521" s="90" t="s">
        <v>1138</v>
      </c>
      <c r="E521" s="90" t="s">
        <v>829</v>
      </c>
      <c r="F521" s="90" t="s">
        <v>1139</v>
      </c>
      <c r="G521" s="89">
        <v>19792.61</v>
      </c>
      <c r="H521" s="141" t="str">
        <f t="shared" si="34"/>
        <v>162002345894</v>
      </c>
      <c r="I521" s="142">
        <v>0.11209999999999998</v>
      </c>
      <c r="J521" s="142" t="s">
        <v>1864</v>
      </c>
      <c r="K521" s="143">
        <f t="shared" si="31"/>
        <v>2218.7515809999995</v>
      </c>
      <c r="L521" s="144">
        <f t="shared" si="32"/>
        <v>17573.858419</v>
      </c>
      <c r="M521" s="144">
        <f t="shared" si="33"/>
        <v>19792.61</v>
      </c>
      <c r="N521" s="145" t="s">
        <v>1126</v>
      </c>
      <c r="O521" s="125"/>
    </row>
    <row r="522" spans="1:15" ht="15" customHeight="1" x14ac:dyDescent="0.3">
      <c r="A522" s="90" t="s">
        <v>203</v>
      </c>
      <c r="B522" s="90" t="s">
        <v>893</v>
      </c>
      <c r="C522" s="90" t="s">
        <v>894</v>
      </c>
      <c r="D522" s="90" t="s">
        <v>1140</v>
      </c>
      <c r="E522" s="90" t="s">
        <v>708</v>
      </c>
      <c r="F522" s="90" t="s">
        <v>1141</v>
      </c>
      <c r="G522" s="89">
        <v>1718145.9500000002</v>
      </c>
      <c r="H522" s="141" t="str">
        <f t="shared" si="34"/>
        <v>134001630901</v>
      </c>
      <c r="I522" s="142">
        <v>0.11160000000000003</v>
      </c>
      <c r="J522" s="142" t="s">
        <v>1871</v>
      </c>
      <c r="K522" s="143">
        <f t="shared" si="31"/>
        <v>191745.08802000008</v>
      </c>
      <c r="L522" s="144">
        <f t="shared" si="32"/>
        <v>1526400.86198</v>
      </c>
      <c r="M522" s="144">
        <f t="shared" si="33"/>
        <v>1718145.9500000002</v>
      </c>
      <c r="N522" s="145" t="s">
        <v>1142</v>
      </c>
      <c r="O522" s="125"/>
    </row>
    <row r="523" spans="1:15" ht="15" customHeight="1" x14ac:dyDescent="0.3">
      <c r="A523" s="90" t="s">
        <v>204</v>
      </c>
      <c r="B523" s="90" t="s">
        <v>1143</v>
      </c>
      <c r="C523" s="90" t="s">
        <v>1144</v>
      </c>
      <c r="D523" s="90" t="s">
        <v>1145</v>
      </c>
      <c r="E523" s="90" t="s">
        <v>704</v>
      </c>
      <c r="F523" s="90" t="s">
        <v>1146</v>
      </c>
      <c r="G523" s="89">
        <v>118.65</v>
      </c>
      <c r="H523" s="141" t="str">
        <f t="shared" si="34"/>
        <v>540301505902</v>
      </c>
      <c r="I523" s="142">
        <v>0.11160000000000003</v>
      </c>
      <c r="J523" s="142" t="s">
        <v>1882</v>
      </c>
      <c r="K523" s="143">
        <f t="shared" si="31"/>
        <v>13.241340000000005</v>
      </c>
      <c r="L523" s="144">
        <f t="shared" si="32"/>
        <v>105.40866</v>
      </c>
      <c r="M523" s="144">
        <f t="shared" si="33"/>
        <v>118.65</v>
      </c>
      <c r="N523" s="145" t="s">
        <v>1147</v>
      </c>
      <c r="O523" s="125"/>
    </row>
    <row r="524" spans="1:15" ht="15" customHeight="1" x14ac:dyDescent="0.3">
      <c r="A524" s="90" t="s">
        <v>204</v>
      </c>
      <c r="B524" s="90" t="s">
        <v>819</v>
      </c>
      <c r="C524" s="90" t="s">
        <v>820</v>
      </c>
      <c r="D524" s="90" t="s">
        <v>1148</v>
      </c>
      <c r="E524" s="90" t="s">
        <v>1149</v>
      </c>
      <c r="F524" s="90" t="s">
        <v>1150</v>
      </c>
      <c r="G524" s="89">
        <v>311.45999999999998</v>
      </c>
      <c r="H524" s="141" t="str">
        <f t="shared" si="34"/>
        <v>135101360902</v>
      </c>
      <c r="I524" s="142">
        <v>0.11160000000000003</v>
      </c>
      <c r="J524" s="142" t="s">
        <v>1871</v>
      </c>
      <c r="K524" s="143">
        <f t="shared" si="31"/>
        <v>34.758936000000006</v>
      </c>
      <c r="L524" s="144">
        <f t="shared" si="32"/>
        <v>276.70106399999997</v>
      </c>
      <c r="M524" s="144">
        <f t="shared" si="33"/>
        <v>311.45999999999998</v>
      </c>
      <c r="N524" s="145" t="s">
        <v>1147</v>
      </c>
      <c r="O524" s="125"/>
    </row>
    <row r="525" spans="1:15" ht="15" customHeight="1" x14ac:dyDescent="0.3">
      <c r="A525" s="90" t="s">
        <v>204</v>
      </c>
      <c r="B525" s="90" t="s">
        <v>688</v>
      </c>
      <c r="C525" s="90" t="s">
        <v>689</v>
      </c>
      <c r="D525" s="90" t="s">
        <v>1151</v>
      </c>
      <c r="E525" s="90" t="s">
        <v>1152</v>
      </c>
      <c r="F525" s="90" t="s">
        <v>1150</v>
      </c>
      <c r="G525" s="89">
        <v>623.76</v>
      </c>
      <c r="H525" s="141" t="str">
        <f t="shared" si="34"/>
        <v>111001355902</v>
      </c>
      <c r="I525" s="142">
        <v>0.11160000000000003</v>
      </c>
      <c r="J525" s="142" t="s">
        <v>1882</v>
      </c>
      <c r="K525" s="143">
        <f t="shared" si="31"/>
        <v>69.611616000000026</v>
      </c>
      <c r="L525" s="144">
        <f t="shared" si="32"/>
        <v>554.14838399999996</v>
      </c>
      <c r="M525" s="144">
        <f t="shared" si="33"/>
        <v>623.76</v>
      </c>
      <c r="N525" s="145" t="s">
        <v>1147</v>
      </c>
      <c r="O525" s="125"/>
    </row>
    <row r="526" spans="1:15" ht="15" customHeight="1" x14ac:dyDescent="0.3">
      <c r="A526" s="90" t="s">
        <v>204</v>
      </c>
      <c r="B526" s="90" t="s">
        <v>690</v>
      </c>
      <c r="C526" s="90" t="s">
        <v>691</v>
      </c>
      <c r="D526" s="90" t="s">
        <v>1148</v>
      </c>
      <c r="E526" s="90" t="s">
        <v>1149</v>
      </c>
      <c r="F526" s="90" t="s">
        <v>1150</v>
      </c>
      <c r="G526" s="89">
        <v>626.83000000000004</v>
      </c>
      <c r="H526" s="141" t="str">
        <f t="shared" si="34"/>
        <v>141001360902</v>
      </c>
      <c r="I526" s="142">
        <v>0.11160000000000003</v>
      </c>
      <c r="J526" s="142" t="s">
        <v>1872</v>
      </c>
      <c r="K526" s="143">
        <f t="shared" si="31"/>
        <v>69.954228000000029</v>
      </c>
      <c r="L526" s="144">
        <f t="shared" si="32"/>
        <v>556.87577199999998</v>
      </c>
      <c r="M526" s="144">
        <f t="shared" si="33"/>
        <v>626.83000000000004</v>
      </c>
      <c r="N526" s="145" t="s">
        <v>1147</v>
      </c>
      <c r="O526" s="125"/>
    </row>
    <row r="527" spans="1:15" ht="15" customHeight="1" x14ac:dyDescent="0.3">
      <c r="A527" s="90" t="s">
        <v>204</v>
      </c>
      <c r="B527" s="90" t="s">
        <v>750</v>
      </c>
      <c r="C527" s="90" t="s">
        <v>751</v>
      </c>
      <c r="D527" s="90" t="s">
        <v>1151</v>
      </c>
      <c r="E527" s="90" t="s">
        <v>1152</v>
      </c>
      <c r="F527" s="90" t="s">
        <v>1150</v>
      </c>
      <c r="G527" s="89">
        <v>1846.38</v>
      </c>
      <c r="H527" s="141" t="str">
        <f t="shared" si="34"/>
        <v>155071355902</v>
      </c>
      <c r="I527" s="142">
        <v>6.5216999999999997E-2</v>
      </c>
      <c r="J527" s="142" t="s">
        <v>1866</v>
      </c>
      <c r="K527" s="143">
        <f t="shared" si="31"/>
        <v>120.41536446000001</v>
      </c>
      <c r="L527" s="144">
        <f t="shared" si="32"/>
        <v>1725.96463554</v>
      </c>
      <c r="M527" s="144">
        <f t="shared" si="33"/>
        <v>1846.38</v>
      </c>
      <c r="N527" s="145" t="s">
        <v>1147</v>
      </c>
      <c r="O527" s="125"/>
    </row>
    <row r="528" spans="1:15" ht="15" customHeight="1" x14ac:dyDescent="0.3">
      <c r="A528" s="90" t="s">
        <v>204</v>
      </c>
      <c r="B528" s="90" t="s">
        <v>688</v>
      </c>
      <c r="C528" s="90" t="s">
        <v>689</v>
      </c>
      <c r="D528" s="90" t="s">
        <v>1148</v>
      </c>
      <c r="E528" s="90" t="s">
        <v>1149</v>
      </c>
      <c r="F528" s="90" t="s">
        <v>1150</v>
      </c>
      <c r="G528" s="89">
        <v>77670.84</v>
      </c>
      <c r="H528" s="141" t="str">
        <f t="shared" si="34"/>
        <v>111001360902</v>
      </c>
      <c r="I528" s="142">
        <v>0.11160000000000003</v>
      </c>
      <c r="J528" s="142" t="s">
        <v>1871</v>
      </c>
      <c r="K528" s="143">
        <f t="shared" si="31"/>
        <v>8668.0657440000014</v>
      </c>
      <c r="L528" s="144">
        <f t="shared" si="32"/>
        <v>69002.77425599999</v>
      </c>
      <c r="M528" s="144">
        <f t="shared" si="33"/>
        <v>77670.84</v>
      </c>
      <c r="N528" s="145" t="s">
        <v>1147</v>
      </c>
      <c r="O528" s="125"/>
    </row>
    <row r="529" spans="1:15" ht="15" customHeight="1" x14ac:dyDescent="0.3">
      <c r="A529" s="90" t="s">
        <v>204</v>
      </c>
      <c r="B529" s="90" t="s">
        <v>819</v>
      </c>
      <c r="C529" s="90" t="s">
        <v>820</v>
      </c>
      <c r="D529" s="90" t="s">
        <v>1151</v>
      </c>
      <c r="E529" s="90" t="s">
        <v>1152</v>
      </c>
      <c r="F529" s="90" t="s">
        <v>1150</v>
      </c>
      <c r="G529" s="89">
        <v>809535.76</v>
      </c>
      <c r="H529" s="141" t="str">
        <f t="shared" si="34"/>
        <v>135101355902</v>
      </c>
      <c r="I529" s="142">
        <v>0.11160000000000003</v>
      </c>
      <c r="J529" s="142" t="s">
        <v>1871</v>
      </c>
      <c r="K529" s="143">
        <f t="shared" si="31"/>
        <v>90344.190816000031</v>
      </c>
      <c r="L529" s="144">
        <f t="shared" si="32"/>
        <v>719191.56918400002</v>
      </c>
      <c r="M529" s="144">
        <f t="shared" si="33"/>
        <v>809535.76</v>
      </c>
      <c r="N529" s="145" t="s">
        <v>1147</v>
      </c>
      <c r="O529" s="125"/>
    </row>
    <row r="530" spans="1:15" ht="15" customHeight="1" x14ac:dyDescent="0.3">
      <c r="A530" s="90" t="s">
        <v>205</v>
      </c>
      <c r="B530" s="90" t="s">
        <v>684</v>
      </c>
      <c r="C530" s="90" t="s">
        <v>685</v>
      </c>
      <c r="D530" s="90" t="s">
        <v>1153</v>
      </c>
      <c r="E530" s="90" t="s">
        <v>704</v>
      </c>
      <c r="F530" s="90" t="s">
        <v>1154</v>
      </c>
      <c r="G530" s="89">
        <v>10.8</v>
      </c>
      <c r="H530" s="141" t="str">
        <f t="shared" si="34"/>
        <v>151001505903</v>
      </c>
      <c r="I530" s="142">
        <v>0</v>
      </c>
      <c r="J530" s="142" t="s">
        <v>1863</v>
      </c>
      <c r="K530" s="143">
        <f t="shared" si="31"/>
        <v>0</v>
      </c>
      <c r="L530" s="144">
        <f t="shared" si="32"/>
        <v>10.8</v>
      </c>
      <c r="M530" s="144">
        <f t="shared" si="33"/>
        <v>10.8</v>
      </c>
      <c r="N530" s="145" t="s">
        <v>1155</v>
      </c>
      <c r="O530" s="125"/>
    </row>
    <row r="531" spans="1:15" ht="15" customHeight="1" x14ac:dyDescent="0.3">
      <c r="A531" s="90" t="s">
        <v>205</v>
      </c>
      <c r="B531" s="90" t="s">
        <v>893</v>
      </c>
      <c r="C531" s="90" t="s">
        <v>894</v>
      </c>
      <c r="D531" s="90" t="s">
        <v>1156</v>
      </c>
      <c r="E531" s="90" t="s">
        <v>1157</v>
      </c>
      <c r="F531" s="90" t="s">
        <v>1158</v>
      </c>
      <c r="G531" s="89">
        <v>79.59</v>
      </c>
      <c r="H531" s="141" t="str">
        <f t="shared" si="34"/>
        <v>134001015903</v>
      </c>
      <c r="I531" s="142">
        <v>0.11160000000000003</v>
      </c>
      <c r="J531" s="142" t="s">
        <v>1871</v>
      </c>
      <c r="K531" s="143">
        <f t="shared" si="31"/>
        <v>8.8822440000000036</v>
      </c>
      <c r="L531" s="144">
        <f t="shared" si="32"/>
        <v>70.707756000000003</v>
      </c>
      <c r="M531" s="144">
        <f t="shared" si="33"/>
        <v>79.59</v>
      </c>
      <c r="N531" s="145" t="s">
        <v>1155</v>
      </c>
      <c r="O531" s="125"/>
    </row>
    <row r="532" spans="1:15" ht="15" customHeight="1" x14ac:dyDescent="0.3">
      <c r="A532" s="90" t="s">
        <v>205</v>
      </c>
      <c r="B532" s="90" t="s">
        <v>893</v>
      </c>
      <c r="C532" s="90" t="s">
        <v>894</v>
      </c>
      <c r="D532" s="90" t="s">
        <v>1159</v>
      </c>
      <c r="E532" s="90" t="s">
        <v>1160</v>
      </c>
      <c r="F532" s="90" t="s">
        <v>1161</v>
      </c>
      <c r="G532" s="89">
        <v>94.47</v>
      </c>
      <c r="H532" s="141" t="str">
        <f t="shared" si="34"/>
        <v>134004250903</v>
      </c>
      <c r="I532" s="142">
        <v>0.11160000000000003</v>
      </c>
      <c r="J532" s="142" t="s">
        <v>1871</v>
      </c>
      <c r="K532" s="143">
        <f t="shared" si="31"/>
        <v>10.542852000000003</v>
      </c>
      <c r="L532" s="144">
        <f t="shared" si="32"/>
        <v>83.927147999999988</v>
      </c>
      <c r="M532" s="144">
        <f t="shared" si="33"/>
        <v>94.47</v>
      </c>
      <c r="N532" s="145" t="s">
        <v>1155</v>
      </c>
      <c r="O532" s="125"/>
    </row>
    <row r="533" spans="1:15" ht="15" customHeight="1" x14ac:dyDescent="0.3">
      <c r="A533" s="90" t="s">
        <v>205</v>
      </c>
      <c r="B533" s="90" t="s">
        <v>700</v>
      </c>
      <c r="C533" s="90" t="s">
        <v>701</v>
      </c>
      <c r="D533" s="90" t="s">
        <v>1162</v>
      </c>
      <c r="E533" s="90" t="s">
        <v>1163</v>
      </c>
      <c r="F533" s="90" t="s">
        <v>1164</v>
      </c>
      <c r="G533" s="89">
        <v>154.75</v>
      </c>
      <c r="H533" s="141" t="str">
        <f t="shared" si="34"/>
        <v>420164280903</v>
      </c>
      <c r="I533" s="142">
        <v>9.8799999999999999E-2</v>
      </c>
      <c r="J533" s="142" t="s">
        <v>1887</v>
      </c>
      <c r="K533" s="143">
        <f t="shared" si="31"/>
        <v>15.289299999999999</v>
      </c>
      <c r="L533" s="144">
        <f t="shared" si="32"/>
        <v>139.4607</v>
      </c>
      <c r="M533" s="144">
        <f t="shared" si="33"/>
        <v>154.75</v>
      </c>
      <c r="N533" s="145" t="s">
        <v>1155</v>
      </c>
      <c r="O533" s="125"/>
    </row>
    <row r="534" spans="1:15" ht="15" customHeight="1" x14ac:dyDescent="0.3">
      <c r="A534" s="90" t="s">
        <v>205</v>
      </c>
      <c r="B534" s="90" t="s">
        <v>684</v>
      </c>
      <c r="C534" s="90" t="s">
        <v>685</v>
      </c>
      <c r="D534" s="90" t="s">
        <v>1162</v>
      </c>
      <c r="E534" s="90" t="s">
        <v>1163</v>
      </c>
      <c r="F534" s="90" t="s">
        <v>1164</v>
      </c>
      <c r="G534" s="89">
        <v>160</v>
      </c>
      <c r="H534" s="141" t="str">
        <f t="shared" si="34"/>
        <v>151004280903</v>
      </c>
      <c r="I534" s="142">
        <v>0</v>
      </c>
      <c r="J534" s="142" t="s">
        <v>1863</v>
      </c>
      <c r="K534" s="143">
        <f t="shared" si="31"/>
        <v>0</v>
      </c>
      <c r="L534" s="144">
        <f t="shared" si="32"/>
        <v>160</v>
      </c>
      <c r="M534" s="144">
        <f t="shared" si="33"/>
        <v>160</v>
      </c>
      <c r="N534" s="145" t="s">
        <v>1155</v>
      </c>
      <c r="O534" s="125"/>
    </row>
    <row r="535" spans="1:15" ht="15" customHeight="1" x14ac:dyDescent="0.3">
      <c r="A535" s="90" t="s">
        <v>205</v>
      </c>
      <c r="B535" s="90" t="s">
        <v>688</v>
      </c>
      <c r="C535" s="90" t="s">
        <v>689</v>
      </c>
      <c r="D535" s="90" t="s">
        <v>1162</v>
      </c>
      <c r="E535" s="90" t="s">
        <v>1163</v>
      </c>
      <c r="F535" s="90" t="s">
        <v>1164</v>
      </c>
      <c r="G535" s="89">
        <v>163.38</v>
      </c>
      <c r="H535" s="141" t="str">
        <f t="shared" si="34"/>
        <v>111004280903</v>
      </c>
      <c r="I535" s="142">
        <v>0.11160000000000003</v>
      </c>
      <c r="J535" s="142" t="s">
        <v>1871</v>
      </c>
      <c r="K535" s="143">
        <f t="shared" si="31"/>
        <v>18.233208000000005</v>
      </c>
      <c r="L535" s="144">
        <f t="shared" si="32"/>
        <v>145.146792</v>
      </c>
      <c r="M535" s="144">
        <f t="shared" si="33"/>
        <v>163.38</v>
      </c>
      <c r="N535" s="145" t="s">
        <v>1155</v>
      </c>
      <c r="O535" s="125"/>
    </row>
    <row r="536" spans="1:15" ht="15" customHeight="1" x14ac:dyDescent="0.3">
      <c r="A536" s="90" t="s">
        <v>205</v>
      </c>
      <c r="B536" s="90" t="s">
        <v>690</v>
      </c>
      <c r="C536" s="90" t="s">
        <v>691</v>
      </c>
      <c r="D536" s="90" t="s">
        <v>1162</v>
      </c>
      <c r="E536" s="90" t="s">
        <v>1163</v>
      </c>
      <c r="F536" s="90" t="s">
        <v>1164</v>
      </c>
      <c r="G536" s="89">
        <v>357.64</v>
      </c>
      <c r="H536" s="141" t="str">
        <f t="shared" si="34"/>
        <v>141004280903</v>
      </c>
      <c r="I536" s="142">
        <v>1.1399999999999966E-2</v>
      </c>
      <c r="J536" s="142" t="s">
        <v>281</v>
      </c>
      <c r="K536" s="143">
        <f t="shared" ref="K536:K599" si="35">G536*I536</f>
        <v>4.0770959999999876</v>
      </c>
      <c r="L536" s="144">
        <f t="shared" ref="L536:L599" si="36">G536-K536</f>
        <v>353.562904</v>
      </c>
      <c r="M536" s="144">
        <f t="shared" ref="M536:M599" si="37">K536+L536</f>
        <v>357.64</v>
      </c>
      <c r="N536" s="145" t="s">
        <v>1155</v>
      </c>
      <c r="O536" s="125"/>
    </row>
    <row r="537" spans="1:15" ht="15" customHeight="1" x14ac:dyDescent="0.3">
      <c r="A537" s="90" t="s">
        <v>205</v>
      </c>
      <c r="B537" s="90" t="s">
        <v>819</v>
      </c>
      <c r="C537" s="90" t="s">
        <v>820</v>
      </c>
      <c r="D537" s="90" t="s">
        <v>1162</v>
      </c>
      <c r="E537" s="90" t="s">
        <v>1163</v>
      </c>
      <c r="F537" s="90" t="s">
        <v>1164</v>
      </c>
      <c r="G537" s="89">
        <v>484.87</v>
      </c>
      <c r="H537" s="141" t="str">
        <f t="shared" ref="H537:H600" si="38">CONCATENATE(B537,RIGHT(D537,4),A537)</f>
        <v>135104280903</v>
      </c>
      <c r="I537" s="142">
        <v>0.11160000000000003</v>
      </c>
      <c r="J537" s="142" t="s">
        <v>1871</v>
      </c>
      <c r="K537" s="143">
        <f t="shared" si="35"/>
        <v>54.11149200000002</v>
      </c>
      <c r="L537" s="144">
        <f t="shared" si="36"/>
        <v>430.75850800000001</v>
      </c>
      <c r="M537" s="144">
        <f t="shared" si="37"/>
        <v>484.87</v>
      </c>
      <c r="N537" s="145" t="s">
        <v>1155</v>
      </c>
      <c r="O537" s="125"/>
    </row>
    <row r="538" spans="1:15" ht="15" customHeight="1" x14ac:dyDescent="0.3">
      <c r="A538" s="90" t="s">
        <v>205</v>
      </c>
      <c r="B538" s="90" t="s">
        <v>1165</v>
      </c>
      <c r="C538" s="90" t="s">
        <v>1166</v>
      </c>
      <c r="D538" s="90" t="s">
        <v>1153</v>
      </c>
      <c r="E538" s="90" t="s">
        <v>704</v>
      </c>
      <c r="F538" s="90" t="s">
        <v>1154</v>
      </c>
      <c r="G538" s="89">
        <v>646.89</v>
      </c>
      <c r="H538" s="141" t="str">
        <f t="shared" si="38"/>
        <v>420301505903</v>
      </c>
      <c r="I538" s="142">
        <v>0.11209999999999998</v>
      </c>
      <c r="J538" s="142" t="s">
        <v>1864</v>
      </c>
      <c r="K538" s="143">
        <f t="shared" si="35"/>
        <v>72.516368999999983</v>
      </c>
      <c r="L538" s="144">
        <f t="shared" si="36"/>
        <v>574.37363100000005</v>
      </c>
      <c r="M538" s="144">
        <f t="shared" si="37"/>
        <v>646.89</v>
      </c>
      <c r="N538" s="145" t="s">
        <v>1155</v>
      </c>
      <c r="O538" s="125"/>
    </row>
    <row r="539" spans="1:15" ht="15" customHeight="1" x14ac:dyDescent="0.3">
      <c r="A539" s="90" t="s">
        <v>205</v>
      </c>
      <c r="B539" s="90" t="s">
        <v>750</v>
      </c>
      <c r="C539" s="90" t="s">
        <v>751</v>
      </c>
      <c r="D539" s="90" t="s">
        <v>1167</v>
      </c>
      <c r="E539" s="90" t="s">
        <v>880</v>
      </c>
      <c r="F539" s="90" t="s">
        <v>1168</v>
      </c>
      <c r="G539" s="89">
        <v>732.72</v>
      </c>
      <c r="H539" s="141" t="str">
        <f t="shared" si="38"/>
        <v>155071620903</v>
      </c>
      <c r="I539" s="142">
        <v>6.5216999999999997E-2</v>
      </c>
      <c r="J539" s="142" t="s">
        <v>1866</v>
      </c>
      <c r="K539" s="143">
        <f t="shared" si="35"/>
        <v>47.78580024</v>
      </c>
      <c r="L539" s="144">
        <f t="shared" si="36"/>
        <v>684.93419976000007</v>
      </c>
      <c r="M539" s="144">
        <f t="shared" si="37"/>
        <v>732.72</v>
      </c>
      <c r="N539" s="145" t="s">
        <v>1155</v>
      </c>
      <c r="O539" s="125"/>
    </row>
    <row r="540" spans="1:15" ht="15" customHeight="1" x14ac:dyDescent="0.3">
      <c r="A540" s="90" t="s">
        <v>205</v>
      </c>
      <c r="B540" s="90" t="s">
        <v>739</v>
      </c>
      <c r="C540" s="90" t="s">
        <v>740</v>
      </c>
      <c r="D540" s="90" t="s">
        <v>1167</v>
      </c>
      <c r="E540" s="90" t="s">
        <v>880</v>
      </c>
      <c r="F540" s="90" t="s">
        <v>1168</v>
      </c>
      <c r="G540" s="89">
        <v>762</v>
      </c>
      <c r="H540" s="141" t="str">
        <f t="shared" si="38"/>
        <v>155061620903</v>
      </c>
      <c r="I540" s="142">
        <v>0</v>
      </c>
      <c r="J540" s="142" t="s">
        <v>1863</v>
      </c>
      <c r="K540" s="143">
        <f t="shared" si="35"/>
        <v>0</v>
      </c>
      <c r="L540" s="144">
        <f t="shared" si="36"/>
        <v>762</v>
      </c>
      <c r="M540" s="144">
        <f t="shared" si="37"/>
        <v>762</v>
      </c>
      <c r="N540" s="145" t="s">
        <v>1155</v>
      </c>
      <c r="O540" s="125"/>
    </row>
    <row r="541" spans="1:15" ht="15" customHeight="1" x14ac:dyDescent="0.3">
      <c r="A541" s="90" t="s">
        <v>205</v>
      </c>
      <c r="B541" s="90" t="s">
        <v>798</v>
      </c>
      <c r="C541" s="90" t="s">
        <v>799</v>
      </c>
      <c r="D541" s="90" t="s">
        <v>1167</v>
      </c>
      <c r="E541" s="90" t="s">
        <v>880</v>
      </c>
      <c r="F541" s="90" t="s">
        <v>1168</v>
      </c>
      <c r="G541" s="89">
        <v>967.99999999999989</v>
      </c>
      <c r="H541" s="141" t="str">
        <f t="shared" si="38"/>
        <v>113201620903</v>
      </c>
      <c r="I541" s="142">
        <v>0.11160000000000003</v>
      </c>
      <c r="J541" s="142" t="s">
        <v>1882</v>
      </c>
      <c r="K541" s="143">
        <f t="shared" si="35"/>
        <v>108.02880000000002</v>
      </c>
      <c r="L541" s="144">
        <f t="shared" si="36"/>
        <v>859.97119999999984</v>
      </c>
      <c r="M541" s="144">
        <f t="shared" si="37"/>
        <v>967.99999999999989</v>
      </c>
      <c r="N541" s="145" t="s">
        <v>1155</v>
      </c>
      <c r="O541" s="125"/>
    </row>
    <row r="542" spans="1:15" ht="15" customHeight="1" x14ac:dyDescent="0.3">
      <c r="A542" s="90" t="s">
        <v>205</v>
      </c>
      <c r="B542" s="90" t="s">
        <v>954</v>
      </c>
      <c r="C542" s="90" t="s">
        <v>955</v>
      </c>
      <c r="D542" s="90" t="s">
        <v>1156</v>
      </c>
      <c r="E542" s="90" t="s">
        <v>1157</v>
      </c>
      <c r="F542" s="90" t="s">
        <v>1158</v>
      </c>
      <c r="G542" s="89">
        <v>1684.8</v>
      </c>
      <c r="H542" s="141" t="str">
        <f t="shared" si="38"/>
        <v>164001015903</v>
      </c>
      <c r="I542" s="142">
        <v>0.11160000000000003</v>
      </c>
      <c r="J542" s="142" t="s">
        <v>1871</v>
      </c>
      <c r="K542" s="143">
        <f t="shared" si="35"/>
        <v>188.02368000000004</v>
      </c>
      <c r="L542" s="144">
        <f t="shared" si="36"/>
        <v>1496.7763199999999</v>
      </c>
      <c r="M542" s="144">
        <f t="shared" si="37"/>
        <v>1684.8</v>
      </c>
      <c r="N542" s="145" t="s">
        <v>1155</v>
      </c>
      <c r="O542" s="125"/>
    </row>
    <row r="543" spans="1:15" ht="15" customHeight="1" x14ac:dyDescent="0.3">
      <c r="A543" s="90" t="s">
        <v>205</v>
      </c>
      <c r="B543" s="90" t="s">
        <v>739</v>
      </c>
      <c r="C543" s="90" t="s">
        <v>740</v>
      </c>
      <c r="D543" s="90" t="s">
        <v>1169</v>
      </c>
      <c r="E543" s="90" t="s">
        <v>1170</v>
      </c>
      <c r="F543" s="90" t="s">
        <v>1171</v>
      </c>
      <c r="G543" s="89">
        <v>2017.0600000000002</v>
      </c>
      <c r="H543" s="141" t="str">
        <f t="shared" si="38"/>
        <v>155061080903</v>
      </c>
      <c r="I543" s="142">
        <v>0</v>
      </c>
      <c r="J543" s="142" t="s">
        <v>1863</v>
      </c>
      <c r="K543" s="143">
        <f t="shared" si="35"/>
        <v>0</v>
      </c>
      <c r="L543" s="144">
        <f t="shared" si="36"/>
        <v>2017.0600000000002</v>
      </c>
      <c r="M543" s="144">
        <f t="shared" si="37"/>
        <v>2017.0600000000002</v>
      </c>
      <c r="N543" s="145" t="s">
        <v>1155</v>
      </c>
      <c r="O543" s="125"/>
    </row>
    <row r="544" spans="1:15" ht="15" customHeight="1" x14ac:dyDescent="0.3">
      <c r="A544" s="90" t="s">
        <v>205</v>
      </c>
      <c r="B544" s="90" t="s">
        <v>819</v>
      </c>
      <c r="C544" s="90" t="s">
        <v>820</v>
      </c>
      <c r="D544" s="90" t="s">
        <v>1169</v>
      </c>
      <c r="E544" s="90" t="s">
        <v>1170</v>
      </c>
      <c r="F544" s="90" t="s">
        <v>1171</v>
      </c>
      <c r="G544" s="89">
        <v>3209.4299999999994</v>
      </c>
      <c r="H544" s="141" t="str">
        <f t="shared" si="38"/>
        <v>135101080903</v>
      </c>
      <c r="I544" s="142">
        <v>0.11160000000000003</v>
      </c>
      <c r="J544" s="142" t="s">
        <v>1871</v>
      </c>
      <c r="K544" s="143">
        <f t="shared" si="35"/>
        <v>358.17238800000001</v>
      </c>
      <c r="L544" s="144">
        <f t="shared" si="36"/>
        <v>2851.2576119999994</v>
      </c>
      <c r="M544" s="144">
        <f t="shared" si="37"/>
        <v>3209.4299999999994</v>
      </c>
      <c r="N544" s="145" t="s">
        <v>1155</v>
      </c>
      <c r="O544" s="125"/>
    </row>
    <row r="545" spans="1:15" ht="15" customHeight="1" x14ac:dyDescent="0.3">
      <c r="A545" s="90" t="s">
        <v>205</v>
      </c>
      <c r="B545" s="90" t="s">
        <v>1172</v>
      </c>
      <c r="C545" s="90" t="s">
        <v>1173</v>
      </c>
      <c r="D545" s="90" t="s">
        <v>1162</v>
      </c>
      <c r="E545" s="90" t="s">
        <v>1163</v>
      </c>
      <c r="F545" s="90" t="s">
        <v>1164</v>
      </c>
      <c r="G545" s="89">
        <v>6771.65</v>
      </c>
      <c r="H545" s="141" t="str">
        <f t="shared" si="38"/>
        <v>420184280903</v>
      </c>
      <c r="I545" s="142">
        <v>0.11209999999999998</v>
      </c>
      <c r="J545" s="142" t="s">
        <v>1864</v>
      </c>
      <c r="K545" s="143">
        <f t="shared" si="35"/>
        <v>759.10196499999984</v>
      </c>
      <c r="L545" s="144">
        <f t="shared" si="36"/>
        <v>6012.5480349999998</v>
      </c>
      <c r="M545" s="144">
        <f t="shared" si="37"/>
        <v>6771.65</v>
      </c>
      <c r="N545" s="145" t="s">
        <v>1155</v>
      </c>
      <c r="O545" s="125"/>
    </row>
    <row r="546" spans="1:15" ht="15" customHeight="1" x14ac:dyDescent="0.3">
      <c r="A546" s="90" t="s">
        <v>205</v>
      </c>
      <c r="B546" s="90" t="s">
        <v>893</v>
      </c>
      <c r="C546" s="90" t="s">
        <v>894</v>
      </c>
      <c r="D546" s="90" t="s">
        <v>1174</v>
      </c>
      <c r="E546" s="90" t="s">
        <v>824</v>
      </c>
      <c r="F546" s="90" t="s">
        <v>1175</v>
      </c>
      <c r="G546" s="89">
        <v>22287.43</v>
      </c>
      <c r="H546" s="141" t="str">
        <f t="shared" si="38"/>
        <v>134001170903</v>
      </c>
      <c r="I546" s="142">
        <v>0.11160000000000003</v>
      </c>
      <c r="J546" s="142" t="s">
        <v>1871</v>
      </c>
      <c r="K546" s="143">
        <f t="shared" si="35"/>
        <v>2487.2771880000009</v>
      </c>
      <c r="L546" s="144">
        <f t="shared" si="36"/>
        <v>19800.152812</v>
      </c>
      <c r="M546" s="144">
        <f t="shared" si="37"/>
        <v>22287.43</v>
      </c>
      <c r="N546" s="145" t="s">
        <v>1155</v>
      </c>
      <c r="O546" s="125"/>
    </row>
    <row r="547" spans="1:15" ht="15" customHeight="1" x14ac:dyDescent="0.3">
      <c r="A547" s="90" t="s">
        <v>205</v>
      </c>
      <c r="B547" s="90" t="s">
        <v>1165</v>
      </c>
      <c r="C547" s="90" t="s">
        <v>1166</v>
      </c>
      <c r="D547" s="90" t="s">
        <v>1162</v>
      </c>
      <c r="E547" s="90" t="s">
        <v>1163</v>
      </c>
      <c r="F547" s="90" t="s">
        <v>1164</v>
      </c>
      <c r="G547" s="89">
        <v>119022.01</v>
      </c>
      <c r="H547" s="141" t="str">
        <f t="shared" si="38"/>
        <v>420304280903</v>
      </c>
      <c r="I547" s="142">
        <v>0.11209999999999998</v>
      </c>
      <c r="J547" s="142" t="s">
        <v>1864</v>
      </c>
      <c r="K547" s="143">
        <f t="shared" si="35"/>
        <v>13342.367320999996</v>
      </c>
      <c r="L547" s="144">
        <f t="shared" si="36"/>
        <v>105679.642679</v>
      </c>
      <c r="M547" s="144">
        <f t="shared" si="37"/>
        <v>119022.01</v>
      </c>
      <c r="N547" s="145" t="s">
        <v>1155</v>
      </c>
      <c r="O547" s="125"/>
    </row>
    <row r="548" spans="1:15" ht="15" customHeight="1" x14ac:dyDescent="0.3">
      <c r="A548" s="90" t="s">
        <v>205</v>
      </c>
      <c r="B548" s="90" t="s">
        <v>1176</v>
      </c>
      <c r="C548" s="90" t="s">
        <v>1177</v>
      </c>
      <c r="D548" s="90" t="s">
        <v>1162</v>
      </c>
      <c r="E548" s="90" t="s">
        <v>1163</v>
      </c>
      <c r="F548" s="90" t="s">
        <v>1164</v>
      </c>
      <c r="G548" s="89">
        <v>218307.14</v>
      </c>
      <c r="H548" s="141" t="str">
        <f t="shared" si="38"/>
        <v>136004280903</v>
      </c>
      <c r="I548" s="142">
        <v>0.11160000000000003</v>
      </c>
      <c r="J548" s="142" t="s">
        <v>1871</v>
      </c>
      <c r="K548" s="143">
        <f t="shared" si="35"/>
        <v>24363.076824000007</v>
      </c>
      <c r="L548" s="144">
        <f t="shared" si="36"/>
        <v>193944.063176</v>
      </c>
      <c r="M548" s="144">
        <f t="shared" si="37"/>
        <v>218307.14</v>
      </c>
      <c r="N548" s="145" t="s">
        <v>1155</v>
      </c>
      <c r="O548" s="125"/>
    </row>
    <row r="549" spans="1:15" ht="15" customHeight="1" x14ac:dyDescent="0.3">
      <c r="A549" s="90" t="s">
        <v>205</v>
      </c>
      <c r="B549" s="90" t="s">
        <v>1178</v>
      </c>
      <c r="C549" s="90" t="s">
        <v>1179</v>
      </c>
      <c r="D549" s="90" t="s">
        <v>1180</v>
      </c>
      <c r="E549" s="90" t="s">
        <v>1181</v>
      </c>
      <c r="F549" s="90" t="s">
        <v>1158</v>
      </c>
      <c r="G549" s="89">
        <v>367411.7900000001</v>
      </c>
      <c r="H549" s="141" t="str">
        <f t="shared" si="38"/>
        <v>113481010903</v>
      </c>
      <c r="I549" s="142">
        <v>8.3899999999999975E-2</v>
      </c>
      <c r="J549" s="142" t="s">
        <v>1880</v>
      </c>
      <c r="K549" s="143">
        <f t="shared" si="35"/>
        <v>30825.849180999998</v>
      </c>
      <c r="L549" s="144">
        <f t="shared" si="36"/>
        <v>336585.94081900013</v>
      </c>
      <c r="M549" s="144">
        <f t="shared" si="37"/>
        <v>367411.79000000015</v>
      </c>
      <c r="N549" s="145" t="s">
        <v>1155</v>
      </c>
      <c r="O549" s="125"/>
    </row>
    <row r="550" spans="1:15" ht="15" customHeight="1" x14ac:dyDescent="0.3">
      <c r="A550" s="90" t="s">
        <v>205</v>
      </c>
      <c r="B550" s="90" t="s">
        <v>1176</v>
      </c>
      <c r="C550" s="90" t="s">
        <v>1177</v>
      </c>
      <c r="D550" s="90" t="s">
        <v>1153</v>
      </c>
      <c r="E550" s="90" t="s">
        <v>704</v>
      </c>
      <c r="F550" s="90" t="s">
        <v>1154</v>
      </c>
      <c r="G550" s="89">
        <v>590283.97</v>
      </c>
      <c r="H550" s="141" t="str">
        <f t="shared" si="38"/>
        <v>136001505903</v>
      </c>
      <c r="I550" s="142">
        <v>0.11160000000000003</v>
      </c>
      <c r="J550" s="142" t="s">
        <v>1888</v>
      </c>
      <c r="K550" s="143">
        <f t="shared" si="35"/>
        <v>65875.691052000009</v>
      </c>
      <c r="L550" s="144">
        <f t="shared" si="36"/>
        <v>524408.27894799993</v>
      </c>
      <c r="M550" s="144">
        <f t="shared" si="37"/>
        <v>590283.97</v>
      </c>
      <c r="N550" s="145" t="s">
        <v>1155</v>
      </c>
      <c r="O550" s="125"/>
    </row>
    <row r="551" spans="1:15" ht="15" customHeight="1" x14ac:dyDescent="0.3">
      <c r="A551" s="90" t="s">
        <v>205</v>
      </c>
      <c r="B551" s="90" t="s">
        <v>819</v>
      </c>
      <c r="C551" s="90" t="s">
        <v>820</v>
      </c>
      <c r="D551" s="90" t="s">
        <v>1167</v>
      </c>
      <c r="E551" s="90" t="s">
        <v>880</v>
      </c>
      <c r="F551" s="90" t="s">
        <v>1168</v>
      </c>
      <c r="G551" s="89">
        <v>1858556.96</v>
      </c>
      <c r="H551" s="141" t="str">
        <f t="shared" si="38"/>
        <v>135101620903</v>
      </c>
      <c r="I551" s="142">
        <v>0.11160000000000003</v>
      </c>
      <c r="J551" s="142" t="s">
        <v>1871</v>
      </c>
      <c r="K551" s="143">
        <f t="shared" si="35"/>
        <v>207414.95673600005</v>
      </c>
      <c r="L551" s="144">
        <f t="shared" si="36"/>
        <v>1651142.0032639999</v>
      </c>
      <c r="M551" s="144">
        <f t="shared" si="37"/>
        <v>1858556.96</v>
      </c>
      <c r="N551" s="145" t="s">
        <v>1155</v>
      </c>
      <c r="O551" s="125"/>
    </row>
    <row r="552" spans="1:15" ht="15" customHeight="1" x14ac:dyDescent="0.3">
      <c r="A552" s="90" t="s">
        <v>205</v>
      </c>
      <c r="B552" s="90" t="s">
        <v>1176</v>
      </c>
      <c r="C552" s="90" t="s">
        <v>1177</v>
      </c>
      <c r="D552" s="90" t="s">
        <v>1156</v>
      </c>
      <c r="E552" s="90" t="s">
        <v>1157</v>
      </c>
      <c r="F552" s="90" t="s">
        <v>1158</v>
      </c>
      <c r="G552" s="89">
        <v>4021388.3299999996</v>
      </c>
      <c r="H552" s="141" t="str">
        <f t="shared" si="38"/>
        <v>136001015903</v>
      </c>
      <c r="I552" s="142">
        <v>0.11160000000000003</v>
      </c>
      <c r="J552" s="142" t="s">
        <v>1882</v>
      </c>
      <c r="K552" s="143">
        <f t="shared" si="35"/>
        <v>448786.9376280001</v>
      </c>
      <c r="L552" s="144">
        <f t="shared" si="36"/>
        <v>3572601.3923719996</v>
      </c>
      <c r="M552" s="144">
        <f t="shared" si="37"/>
        <v>4021388.3299999996</v>
      </c>
      <c r="N552" s="145" t="s">
        <v>1155</v>
      </c>
      <c r="O552" s="125"/>
    </row>
    <row r="553" spans="1:15" ht="15" customHeight="1" x14ac:dyDescent="0.3">
      <c r="A553" s="90" t="s">
        <v>205</v>
      </c>
      <c r="B553" s="90" t="s">
        <v>893</v>
      </c>
      <c r="C553" s="90" t="s">
        <v>894</v>
      </c>
      <c r="D553" s="90" t="s">
        <v>1162</v>
      </c>
      <c r="E553" s="90" t="s">
        <v>1163</v>
      </c>
      <c r="F553" s="90" t="s">
        <v>1164</v>
      </c>
      <c r="G553" s="89">
        <v>11007193.729999999</v>
      </c>
      <c r="H553" s="141" t="str">
        <f t="shared" si="38"/>
        <v>134004280903</v>
      </c>
      <c r="I553" s="142">
        <v>0.11160000000000003</v>
      </c>
      <c r="J553" s="142" t="s">
        <v>1871</v>
      </c>
      <c r="K553" s="143">
        <f t="shared" si="35"/>
        <v>1228402.8202680002</v>
      </c>
      <c r="L553" s="144">
        <f t="shared" si="36"/>
        <v>9778790.909731999</v>
      </c>
      <c r="M553" s="144">
        <f t="shared" si="37"/>
        <v>11007193.729999999</v>
      </c>
      <c r="N553" s="145" t="s">
        <v>1155</v>
      </c>
      <c r="O553" s="125"/>
    </row>
    <row r="554" spans="1:15" ht="15" customHeight="1" x14ac:dyDescent="0.3">
      <c r="A554" s="90" t="s">
        <v>207</v>
      </c>
      <c r="B554" s="90" t="s">
        <v>561</v>
      </c>
      <c r="C554" s="90" t="s">
        <v>562</v>
      </c>
      <c r="D554" s="90" t="s">
        <v>574</v>
      </c>
      <c r="E554" s="90" t="s">
        <v>1182</v>
      </c>
      <c r="F554" s="90" t="s">
        <v>575</v>
      </c>
      <c r="G554" s="89">
        <v>-7119</v>
      </c>
      <c r="H554" s="141" t="str">
        <f t="shared" si="38"/>
        <v>854106495904</v>
      </c>
      <c r="I554" s="142">
        <v>0.11160000000000003</v>
      </c>
      <c r="J554" s="142" t="s">
        <v>1871</v>
      </c>
      <c r="K554" s="143">
        <f t="shared" si="35"/>
        <v>-794.48040000000026</v>
      </c>
      <c r="L554" s="144">
        <f t="shared" si="36"/>
        <v>-6324.5195999999996</v>
      </c>
      <c r="M554" s="144">
        <f t="shared" si="37"/>
        <v>-7119</v>
      </c>
      <c r="N554" s="145" t="s">
        <v>1183</v>
      </c>
      <c r="O554" s="125"/>
    </row>
    <row r="555" spans="1:15" ht="15" customHeight="1" x14ac:dyDescent="0.3">
      <c r="A555" s="90" t="s">
        <v>207</v>
      </c>
      <c r="B555" s="90" t="s">
        <v>561</v>
      </c>
      <c r="C555" s="90" t="s">
        <v>562</v>
      </c>
      <c r="D555" s="90" t="s">
        <v>572</v>
      </c>
      <c r="E555" s="90" t="s">
        <v>1184</v>
      </c>
      <c r="F555" s="90" t="s">
        <v>573</v>
      </c>
      <c r="G555" s="89">
        <v>1.3642420526593924E-12</v>
      </c>
      <c r="H555" s="141" t="str">
        <f t="shared" si="38"/>
        <v>854106176904</v>
      </c>
      <c r="I555" s="142">
        <v>0</v>
      </c>
      <c r="J555" s="142" t="s">
        <v>1863</v>
      </c>
      <c r="K555" s="143">
        <f t="shared" si="35"/>
        <v>0</v>
      </c>
      <c r="L555" s="144">
        <f t="shared" si="36"/>
        <v>1.3642420526593924E-12</v>
      </c>
      <c r="M555" s="144">
        <f t="shared" si="37"/>
        <v>1.3642420526593924E-12</v>
      </c>
      <c r="N555" s="145" t="s">
        <v>1183</v>
      </c>
      <c r="O555" s="125"/>
    </row>
    <row r="556" spans="1:15" ht="15" customHeight="1" x14ac:dyDescent="0.3">
      <c r="A556" s="90" t="s">
        <v>207</v>
      </c>
      <c r="B556" s="90" t="s">
        <v>561</v>
      </c>
      <c r="C556" s="90" t="s">
        <v>562</v>
      </c>
      <c r="D556" s="90" t="s">
        <v>567</v>
      </c>
      <c r="E556" s="90" t="s">
        <v>1185</v>
      </c>
      <c r="F556" s="90" t="s">
        <v>568</v>
      </c>
      <c r="G556" s="89">
        <v>878.80999999999813</v>
      </c>
      <c r="H556" s="141" t="str">
        <f t="shared" si="38"/>
        <v>854102597904</v>
      </c>
      <c r="I556" s="142">
        <v>8.3899999999999975E-2</v>
      </c>
      <c r="J556" s="142" t="s">
        <v>1880</v>
      </c>
      <c r="K556" s="143">
        <f t="shared" si="35"/>
        <v>73.732158999999825</v>
      </c>
      <c r="L556" s="144">
        <f t="shared" si="36"/>
        <v>805.07784099999833</v>
      </c>
      <c r="M556" s="144">
        <f t="shared" si="37"/>
        <v>878.80999999999813</v>
      </c>
      <c r="N556" s="145" t="s">
        <v>1183</v>
      </c>
      <c r="O556" s="125"/>
    </row>
    <row r="557" spans="1:15" ht="15" customHeight="1" x14ac:dyDescent="0.3">
      <c r="A557" s="90" t="s">
        <v>207</v>
      </c>
      <c r="B557" s="90" t="s">
        <v>561</v>
      </c>
      <c r="C557" s="90" t="s">
        <v>562</v>
      </c>
      <c r="D557" s="90" t="s">
        <v>569</v>
      </c>
      <c r="E557" s="90" t="s">
        <v>1186</v>
      </c>
      <c r="F557" s="90" t="s">
        <v>568</v>
      </c>
      <c r="G557" s="89">
        <v>3674.5299999999997</v>
      </c>
      <c r="H557" s="141" t="str">
        <f t="shared" si="38"/>
        <v>854102598904</v>
      </c>
      <c r="I557" s="142">
        <v>8.3899999999999975E-2</v>
      </c>
      <c r="J557" s="142" t="s">
        <v>1880</v>
      </c>
      <c r="K557" s="143">
        <f t="shared" si="35"/>
        <v>308.29306699999989</v>
      </c>
      <c r="L557" s="144">
        <f t="shared" si="36"/>
        <v>3366.2369329999997</v>
      </c>
      <c r="M557" s="144">
        <f t="shared" si="37"/>
        <v>3674.5299999999997</v>
      </c>
      <c r="N557" s="145" t="s">
        <v>1183</v>
      </c>
      <c r="O557" s="125"/>
    </row>
    <row r="558" spans="1:15" ht="15" customHeight="1" x14ac:dyDescent="0.3">
      <c r="A558" s="90" t="s">
        <v>207</v>
      </c>
      <c r="B558" s="90" t="s">
        <v>561</v>
      </c>
      <c r="C558" s="90" t="s">
        <v>562</v>
      </c>
      <c r="D558" s="90" t="s">
        <v>570</v>
      </c>
      <c r="E558" s="90" t="s">
        <v>1187</v>
      </c>
      <c r="F558" s="90" t="s">
        <v>571</v>
      </c>
      <c r="G558" s="89">
        <v>62300</v>
      </c>
      <c r="H558" s="141" t="str">
        <f t="shared" si="38"/>
        <v>854102599904</v>
      </c>
      <c r="I558" s="142">
        <v>0.11160000000000003</v>
      </c>
      <c r="J558" s="142" t="s">
        <v>1871</v>
      </c>
      <c r="K558" s="143">
        <f t="shared" si="35"/>
        <v>6952.6800000000021</v>
      </c>
      <c r="L558" s="144">
        <f t="shared" si="36"/>
        <v>55347.32</v>
      </c>
      <c r="M558" s="144">
        <f t="shared" si="37"/>
        <v>62300</v>
      </c>
      <c r="N558" s="145" t="s">
        <v>1183</v>
      </c>
      <c r="O558" s="125"/>
    </row>
    <row r="559" spans="1:15" ht="15" customHeight="1" x14ac:dyDescent="0.3">
      <c r="A559" s="90" t="s">
        <v>207</v>
      </c>
      <c r="B559" s="90" t="s">
        <v>561</v>
      </c>
      <c r="C559" s="90" t="s">
        <v>562</v>
      </c>
      <c r="D559" s="90" t="s">
        <v>565</v>
      </c>
      <c r="E559" s="90" t="s">
        <v>1188</v>
      </c>
      <c r="F559" s="90" t="s">
        <v>566</v>
      </c>
      <c r="G559" s="89">
        <v>74370.89</v>
      </c>
      <c r="H559" s="141" t="str">
        <f t="shared" si="38"/>
        <v>854102596904</v>
      </c>
      <c r="I559" s="142">
        <v>0.10119999999999996</v>
      </c>
      <c r="J559" s="142" t="s">
        <v>1886</v>
      </c>
      <c r="K559" s="143">
        <f t="shared" si="35"/>
        <v>7526.3340679999965</v>
      </c>
      <c r="L559" s="144">
        <f t="shared" si="36"/>
        <v>66844.555932000003</v>
      </c>
      <c r="M559" s="144">
        <f t="shared" si="37"/>
        <v>74370.89</v>
      </c>
      <c r="N559" s="145" t="s">
        <v>1183</v>
      </c>
      <c r="O559" s="125"/>
    </row>
    <row r="560" spans="1:15" ht="15" customHeight="1" x14ac:dyDescent="0.3">
      <c r="A560" s="90" t="s">
        <v>207</v>
      </c>
      <c r="B560" s="90" t="s">
        <v>561</v>
      </c>
      <c r="C560" s="90" t="s">
        <v>562</v>
      </c>
      <c r="D560" s="90" t="s">
        <v>563</v>
      </c>
      <c r="E560" s="90" t="s">
        <v>1189</v>
      </c>
      <c r="F560" s="90" t="s">
        <v>564</v>
      </c>
      <c r="G560" s="89">
        <v>391298.49000000011</v>
      </c>
      <c r="H560" s="141" t="str">
        <f t="shared" si="38"/>
        <v>854102595904</v>
      </c>
      <c r="I560" s="142">
        <v>0.11270000000000002</v>
      </c>
      <c r="J560" s="142" t="s">
        <v>1885</v>
      </c>
      <c r="K560" s="143">
        <f t="shared" si="35"/>
        <v>44099.339823000024</v>
      </c>
      <c r="L560" s="144">
        <f t="shared" si="36"/>
        <v>347199.15017700009</v>
      </c>
      <c r="M560" s="144">
        <f t="shared" si="37"/>
        <v>391298.49000000011</v>
      </c>
      <c r="N560" s="145" t="s">
        <v>1183</v>
      </c>
      <c r="O560" s="125"/>
    </row>
    <row r="561" spans="1:15" ht="15" customHeight="1" x14ac:dyDescent="0.3">
      <c r="A561" s="90" t="s">
        <v>210</v>
      </c>
      <c r="B561" s="90" t="s">
        <v>1190</v>
      </c>
      <c r="C561" s="90" t="s">
        <v>1191</v>
      </c>
      <c r="D561" s="90" t="s">
        <v>1192</v>
      </c>
      <c r="E561" s="90" t="s">
        <v>704</v>
      </c>
      <c r="F561" s="90" t="s">
        <v>1193</v>
      </c>
      <c r="G561" s="89">
        <v>2697.02</v>
      </c>
      <c r="H561" s="141" t="str">
        <f t="shared" si="38"/>
        <v>114101505907</v>
      </c>
      <c r="I561" s="142">
        <v>0.11270000000000002</v>
      </c>
      <c r="J561" s="142" t="s">
        <v>1885</v>
      </c>
      <c r="K561" s="143">
        <f t="shared" si="35"/>
        <v>303.95415400000007</v>
      </c>
      <c r="L561" s="144">
        <f t="shared" si="36"/>
        <v>2393.065846</v>
      </c>
      <c r="M561" s="144">
        <f t="shared" si="37"/>
        <v>2697.02</v>
      </c>
      <c r="N561" s="145" t="s">
        <v>1194</v>
      </c>
      <c r="O561" s="125"/>
    </row>
    <row r="562" spans="1:15" ht="15" customHeight="1" x14ac:dyDescent="0.3">
      <c r="A562" s="90" t="s">
        <v>211</v>
      </c>
      <c r="B562" s="90" t="s">
        <v>1195</v>
      </c>
      <c r="C562" s="90" t="s">
        <v>1196</v>
      </c>
      <c r="D562" s="90" t="s">
        <v>1197</v>
      </c>
      <c r="E562" s="90" t="s">
        <v>1198</v>
      </c>
      <c r="F562" s="90" t="s">
        <v>1199</v>
      </c>
      <c r="G562" s="89">
        <v>-541.52</v>
      </c>
      <c r="H562" s="141" t="str">
        <f t="shared" si="38"/>
        <v>114204660908</v>
      </c>
      <c r="I562" s="142">
        <v>0.11160000000000003</v>
      </c>
      <c r="J562" s="142" t="s">
        <v>1882</v>
      </c>
      <c r="K562" s="143">
        <f t="shared" si="35"/>
        <v>-60.433632000000017</v>
      </c>
      <c r="L562" s="144">
        <f t="shared" si="36"/>
        <v>-481.08636799999999</v>
      </c>
      <c r="M562" s="144">
        <f t="shared" si="37"/>
        <v>-541.52</v>
      </c>
      <c r="N562" s="145" t="s">
        <v>1200</v>
      </c>
      <c r="O562" s="125"/>
    </row>
    <row r="563" spans="1:15" ht="15" customHeight="1" x14ac:dyDescent="0.3">
      <c r="A563" s="90" t="s">
        <v>211</v>
      </c>
      <c r="B563" s="90" t="s">
        <v>1201</v>
      </c>
      <c r="C563" s="90" t="s">
        <v>1202</v>
      </c>
      <c r="D563" s="90" t="s">
        <v>1203</v>
      </c>
      <c r="E563" s="90" t="s">
        <v>704</v>
      </c>
      <c r="F563" s="90" t="s">
        <v>1204</v>
      </c>
      <c r="G563" s="89">
        <v>25</v>
      </c>
      <c r="H563" s="141" t="str">
        <f t="shared" si="38"/>
        <v>115151505908</v>
      </c>
      <c r="I563" s="142">
        <v>0.11160000000000003</v>
      </c>
      <c r="J563" s="142" t="s">
        <v>1871</v>
      </c>
      <c r="K563" s="143">
        <f t="shared" si="35"/>
        <v>2.7900000000000009</v>
      </c>
      <c r="L563" s="144">
        <f t="shared" si="36"/>
        <v>22.21</v>
      </c>
      <c r="M563" s="144">
        <f t="shared" si="37"/>
        <v>25</v>
      </c>
      <c r="N563" s="145" t="s">
        <v>1200</v>
      </c>
      <c r="O563" s="125"/>
    </row>
    <row r="564" spans="1:15" ht="15" customHeight="1" x14ac:dyDescent="0.3">
      <c r="A564" s="90" t="s">
        <v>211</v>
      </c>
      <c r="B564" s="90" t="s">
        <v>1205</v>
      </c>
      <c r="C564" s="90" t="s">
        <v>1206</v>
      </c>
      <c r="D564" s="90" t="s">
        <v>1207</v>
      </c>
      <c r="E564" s="90" t="s">
        <v>1208</v>
      </c>
      <c r="F564" s="90" t="s">
        <v>1209</v>
      </c>
      <c r="G564" s="89">
        <v>63</v>
      </c>
      <c r="H564" s="141" t="str">
        <f t="shared" si="38"/>
        <v>155084815908</v>
      </c>
      <c r="I564" s="142">
        <v>0.11270000000000002</v>
      </c>
      <c r="J564" s="142" t="s">
        <v>1885</v>
      </c>
      <c r="K564" s="143">
        <f t="shared" si="35"/>
        <v>7.1001000000000012</v>
      </c>
      <c r="L564" s="144">
        <f t="shared" si="36"/>
        <v>55.899900000000002</v>
      </c>
      <c r="M564" s="144">
        <f t="shared" si="37"/>
        <v>63</v>
      </c>
      <c r="N564" s="145" t="s">
        <v>1200</v>
      </c>
      <c r="O564" s="125"/>
    </row>
    <row r="565" spans="1:15" ht="15" customHeight="1" x14ac:dyDescent="0.3">
      <c r="A565" s="90" t="s">
        <v>211</v>
      </c>
      <c r="B565" s="90" t="s">
        <v>1210</v>
      </c>
      <c r="C565" s="90" t="s">
        <v>1211</v>
      </c>
      <c r="D565" s="90" t="s">
        <v>1207</v>
      </c>
      <c r="E565" s="90" t="s">
        <v>1208</v>
      </c>
      <c r="F565" s="90" t="s">
        <v>1209</v>
      </c>
      <c r="G565" s="89">
        <v>90</v>
      </c>
      <c r="H565" s="141" t="str">
        <f t="shared" si="38"/>
        <v>113704815908</v>
      </c>
      <c r="I565" s="142">
        <v>0.11209999999999998</v>
      </c>
      <c r="J565" s="142" t="s">
        <v>308</v>
      </c>
      <c r="K565" s="143">
        <f t="shared" si="35"/>
        <v>10.088999999999999</v>
      </c>
      <c r="L565" s="144">
        <f t="shared" si="36"/>
        <v>79.911000000000001</v>
      </c>
      <c r="M565" s="144">
        <f t="shared" si="37"/>
        <v>90</v>
      </c>
      <c r="N565" s="145" t="s">
        <v>1200</v>
      </c>
      <c r="O565" s="125"/>
    </row>
    <row r="566" spans="1:15" ht="15" customHeight="1" x14ac:dyDescent="0.3">
      <c r="A566" s="90" t="s">
        <v>211</v>
      </c>
      <c r="B566" s="90" t="s">
        <v>1212</v>
      </c>
      <c r="C566" s="90" t="s">
        <v>1213</v>
      </c>
      <c r="D566" s="90" t="s">
        <v>1214</v>
      </c>
      <c r="E566" s="90" t="s">
        <v>1215</v>
      </c>
      <c r="F566" s="90" t="s">
        <v>1216</v>
      </c>
      <c r="G566" s="89">
        <v>131.28</v>
      </c>
      <c r="H566" s="141" t="str">
        <f t="shared" si="38"/>
        <v>550102972908</v>
      </c>
      <c r="I566" s="142">
        <v>0.11209999999999998</v>
      </c>
      <c r="J566" s="142" t="s">
        <v>308</v>
      </c>
      <c r="K566" s="143">
        <f t="shared" si="35"/>
        <v>14.716487999999996</v>
      </c>
      <c r="L566" s="144">
        <f t="shared" si="36"/>
        <v>116.563512</v>
      </c>
      <c r="M566" s="144">
        <f t="shared" si="37"/>
        <v>131.28</v>
      </c>
      <c r="N566" s="145" t="s">
        <v>1200</v>
      </c>
      <c r="O566" s="125"/>
    </row>
    <row r="567" spans="1:15" ht="15" customHeight="1" x14ac:dyDescent="0.3">
      <c r="A567" s="90" t="s">
        <v>211</v>
      </c>
      <c r="B567" s="90" t="s">
        <v>1217</v>
      </c>
      <c r="C567" s="90" t="s">
        <v>1218</v>
      </c>
      <c r="D567" s="90" t="s">
        <v>1219</v>
      </c>
      <c r="E567" s="90" t="s">
        <v>1220</v>
      </c>
      <c r="F567" s="90" t="s">
        <v>1221</v>
      </c>
      <c r="G567" s="89">
        <v>216.55</v>
      </c>
      <c r="H567" s="141" t="str">
        <f t="shared" si="38"/>
        <v>520401515908</v>
      </c>
      <c r="I567" s="142">
        <v>0.11209999999999998</v>
      </c>
      <c r="J567" s="142" t="s">
        <v>1864</v>
      </c>
      <c r="K567" s="143">
        <f t="shared" si="35"/>
        <v>24.275254999999998</v>
      </c>
      <c r="L567" s="144">
        <f t="shared" si="36"/>
        <v>192.27474500000002</v>
      </c>
      <c r="M567" s="144">
        <f t="shared" si="37"/>
        <v>216.55</v>
      </c>
      <c r="N567" s="145" t="s">
        <v>1200</v>
      </c>
      <c r="O567" s="125"/>
    </row>
    <row r="568" spans="1:15" ht="15" customHeight="1" x14ac:dyDescent="0.3">
      <c r="A568" s="90" t="s">
        <v>211</v>
      </c>
      <c r="B568" s="90" t="s">
        <v>1217</v>
      </c>
      <c r="C568" s="90" t="s">
        <v>1218</v>
      </c>
      <c r="D568" s="90" t="s">
        <v>1203</v>
      </c>
      <c r="E568" s="90" t="s">
        <v>704</v>
      </c>
      <c r="F568" s="90" t="s">
        <v>1204</v>
      </c>
      <c r="G568" s="89">
        <v>228.16</v>
      </c>
      <c r="H568" s="141" t="str">
        <f t="shared" si="38"/>
        <v>520401505908</v>
      </c>
      <c r="I568" s="142">
        <v>0.11209999999999998</v>
      </c>
      <c r="J568" s="142" t="s">
        <v>1864</v>
      </c>
      <c r="K568" s="143">
        <f t="shared" si="35"/>
        <v>25.576735999999993</v>
      </c>
      <c r="L568" s="144">
        <f t="shared" si="36"/>
        <v>202.58326400000001</v>
      </c>
      <c r="M568" s="144">
        <f t="shared" si="37"/>
        <v>228.16</v>
      </c>
      <c r="N568" s="145" t="s">
        <v>1200</v>
      </c>
      <c r="O568" s="125"/>
    </row>
    <row r="569" spans="1:15" ht="15" customHeight="1" x14ac:dyDescent="0.3">
      <c r="A569" s="90" t="s">
        <v>211</v>
      </c>
      <c r="B569" s="90" t="s">
        <v>1205</v>
      </c>
      <c r="C569" s="90" t="s">
        <v>1206</v>
      </c>
      <c r="D569" s="90" t="s">
        <v>1203</v>
      </c>
      <c r="E569" s="90" t="s">
        <v>704</v>
      </c>
      <c r="F569" s="90" t="s">
        <v>1204</v>
      </c>
      <c r="G569" s="89">
        <v>690.38</v>
      </c>
      <c r="H569" s="141" t="str">
        <f t="shared" si="38"/>
        <v>155081505908</v>
      </c>
      <c r="I569" s="142">
        <v>0.11209999999999998</v>
      </c>
      <c r="J569" s="142" t="s">
        <v>1864</v>
      </c>
      <c r="K569" s="143">
        <f t="shared" si="35"/>
        <v>77.391597999999988</v>
      </c>
      <c r="L569" s="144">
        <f t="shared" si="36"/>
        <v>612.98840199999995</v>
      </c>
      <c r="M569" s="144">
        <f t="shared" si="37"/>
        <v>690.37999999999988</v>
      </c>
      <c r="N569" s="145" t="s">
        <v>1200</v>
      </c>
      <c r="O569" s="125"/>
    </row>
    <row r="570" spans="1:15" ht="15" customHeight="1" x14ac:dyDescent="0.3">
      <c r="A570" s="90" t="s">
        <v>211</v>
      </c>
      <c r="B570" s="90" t="s">
        <v>1222</v>
      </c>
      <c r="C570" s="90" t="s">
        <v>1223</v>
      </c>
      <c r="D570" s="90" t="s">
        <v>1203</v>
      </c>
      <c r="E570" s="90" t="s">
        <v>704</v>
      </c>
      <c r="F570" s="90" t="s">
        <v>1204</v>
      </c>
      <c r="G570" s="89">
        <v>731</v>
      </c>
      <c r="H570" s="141" t="str">
        <f t="shared" si="38"/>
        <v>113301505908</v>
      </c>
      <c r="I570" s="142">
        <v>0.11160000000000003</v>
      </c>
      <c r="J570" s="142" t="s">
        <v>1871</v>
      </c>
      <c r="K570" s="143">
        <f t="shared" si="35"/>
        <v>81.579600000000028</v>
      </c>
      <c r="L570" s="144">
        <f t="shared" si="36"/>
        <v>649.42039999999997</v>
      </c>
      <c r="M570" s="144">
        <f t="shared" si="37"/>
        <v>731</v>
      </c>
      <c r="N570" s="145" t="s">
        <v>1200</v>
      </c>
      <c r="O570" s="125"/>
    </row>
    <row r="571" spans="1:15" ht="15" customHeight="1" x14ac:dyDescent="0.3">
      <c r="A571" s="90" t="s">
        <v>211</v>
      </c>
      <c r="B571" s="90" t="s">
        <v>1195</v>
      </c>
      <c r="C571" s="90" t="s">
        <v>1196</v>
      </c>
      <c r="D571" s="90" t="s">
        <v>1203</v>
      </c>
      <c r="E571" s="90" t="s">
        <v>704</v>
      </c>
      <c r="F571" s="90" t="s">
        <v>1204</v>
      </c>
      <c r="G571" s="89">
        <v>1197.4000000000001</v>
      </c>
      <c r="H571" s="141" t="str">
        <f t="shared" si="38"/>
        <v>114201505908</v>
      </c>
      <c r="I571" s="142">
        <v>0.11160000000000003</v>
      </c>
      <c r="J571" s="142" t="s">
        <v>1871</v>
      </c>
      <c r="K571" s="143">
        <f t="shared" si="35"/>
        <v>133.62984000000006</v>
      </c>
      <c r="L571" s="144">
        <f t="shared" si="36"/>
        <v>1063.77016</v>
      </c>
      <c r="M571" s="144">
        <f t="shared" si="37"/>
        <v>1197.4000000000001</v>
      </c>
      <c r="N571" s="145" t="s">
        <v>1200</v>
      </c>
      <c r="O571" s="125"/>
    </row>
    <row r="572" spans="1:15" ht="15" customHeight="1" x14ac:dyDescent="0.3">
      <c r="A572" s="90" t="s">
        <v>211</v>
      </c>
      <c r="B572" s="90" t="s">
        <v>1224</v>
      </c>
      <c r="C572" s="90" t="s">
        <v>1225</v>
      </c>
      <c r="D572" s="90" t="s">
        <v>1203</v>
      </c>
      <c r="E572" s="90" t="s">
        <v>704</v>
      </c>
      <c r="F572" s="90" t="s">
        <v>1204</v>
      </c>
      <c r="G572" s="89">
        <v>2267.89</v>
      </c>
      <c r="H572" s="141" t="str">
        <f t="shared" si="38"/>
        <v>450101505908</v>
      </c>
      <c r="I572" s="142">
        <v>0.11209999999999998</v>
      </c>
      <c r="J572" s="142" t="s">
        <v>1864</v>
      </c>
      <c r="K572" s="143">
        <f t="shared" si="35"/>
        <v>254.23046899999994</v>
      </c>
      <c r="L572" s="144">
        <f t="shared" si="36"/>
        <v>2013.659531</v>
      </c>
      <c r="M572" s="144">
        <f t="shared" si="37"/>
        <v>2267.89</v>
      </c>
      <c r="N572" s="145" t="s">
        <v>1200</v>
      </c>
      <c r="O572" s="125"/>
    </row>
    <row r="573" spans="1:15" ht="15" customHeight="1" x14ac:dyDescent="0.3">
      <c r="A573" s="90" t="s">
        <v>211</v>
      </c>
      <c r="B573" s="90" t="s">
        <v>1178</v>
      </c>
      <c r="C573" s="90" t="s">
        <v>1179</v>
      </c>
      <c r="D573" s="90" t="s">
        <v>1197</v>
      </c>
      <c r="E573" s="90" t="s">
        <v>1198</v>
      </c>
      <c r="F573" s="90" t="s">
        <v>1199</v>
      </c>
      <c r="G573" s="89">
        <v>2672.7799999999997</v>
      </c>
      <c r="H573" s="141" t="str">
        <f t="shared" si="38"/>
        <v>113484660908</v>
      </c>
      <c r="I573" s="142">
        <v>8.3899999999999975E-2</v>
      </c>
      <c r="J573" s="142" t="s">
        <v>1880</v>
      </c>
      <c r="K573" s="143">
        <f t="shared" si="35"/>
        <v>224.24624199999991</v>
      </c>
      <c r="L573" s="144">
        <f t="shared" si="36"/>
        <v>2448.533758</v>
      </c>
      <c r="M573" s="144">
        <f t="shared" si="37"/>
        <v>2672.7799999999997</v>
      </c>
      <c r="N573" s="145" t="s">
        <v>1200</v>
      </c>
      <c r="O573" s="125"/>
    </row>
    <row r="574" spans="1:15" ht="15" customHeight="1" x14ac:dyDescent="0.3">
      <c r="A574" s="90" t="s">
        <v>211</v>
      </c>
      <c r="B574" s="90" t="s">
        <v>1210</v>
      </c>
      <c r="C574" s="90" t="s">
        <v>1211</v>
      </c>
      <c r="D574" s="90" t="s">
        <v>1203</v>
      </c>
      <c r="E574" s="90" t="s">
        <v>704</v>
      </c>
      <c r="F574" s="90" t="s">
        <v>1204</v>
      </c>
      <c r="G574" s="89">
        <v>7560.93</v>
      </c>
      <c r="H574" s="141" t="str">
        <f t="shared" si="38"/>
        <v>113701505908</v>
      </c>
      <c r="I574" s="142">
        <v>0.11209999999999998</v>
      </c>
      <c r="J574" s="142" t="s">
        <v>308</v>
      </c>
      <c r="K574" s="143">
        <f t="shared" si="35"/>
        <v>847.58025299999986</v>
      </c>
      <c r="L574" s="144">
        <f t="shared" si="36"/>
        <v>6713.3497470000002</v>
      </c>
      <c r="M574" s="144">
        <f t="shared" si="37"/>
        <v>7560.93</v>
      </c>
      <c r="N574" s="145" t="s">
        <v>1200</v>
      </c>
      <c r="O574" s="125"/>
    </row>
    <row r="575" spans="1:15" ht="15" customHeight="1" x14ac:dyDescent="0.3">
      <c r="A575" s="90" t="s">
        <v>211</v>
      </c>
      <c r="B575" s="90" t="s">
        <v>1226</v>
      </c>
      <c r="C575" s="90" t="s">
        <v>1227</v>
      </c>
      <c r="D575" s="90" t="s">
        <v>1203</v>
      </c>
      <c r="E575" s="90" t="s">
        <v>704</v>
      </c>
      <c r="F575" s="90" t="s">
        <v>1204</v>
      </c>
      <c r="G575" s="89">
        <v>23824.879999999997</v>
      </c>
      <c r="H575" s="141" t="str">
        <f t="shared" si="38"/>
        <v>114301505908</v>
      </c>
      <c r="I575" s="142">
        <v>0.11160000000000003</v>
      </c>
      <c r="J575" s="142" t="s">
        <v>1871</v>
      </c>
      <c r="K575" s="143">
        <f t="shared" si="35"/>
        <v>2658.8566080000005</v>
      </c>
      <c r="L575" s="144">
        <f t="shared" si="36"/>
        <v>21166.023391999996</v>
      </c>
      <c r="M575" s="144">
        <f t="shared" si="37"/>
        <v>23824.879999999997</v>
      </c>
      <c r="N575" s="145" t="s">
        <v>1200</v>
      </c>
      <c r="O575" s="125"/>
    </row>
    <row r="576" spans="1:15" ht="15" customHeight="1" x14ac:dyDescent="0.3">
      <c r="A576" s="90" t="s">
        <v>211</v>
      </c>
      <c r="B576" s="90" t="s">
        <v>1228</v>
      </c>
      <c r="C576" s="90" t="s">
        <v>1229</v>
      </c>
      <c r="D576" s="90" t="s">
        <v>1230</v>
      </c>
      <c r="E576" s="90" t="s">
        <v>1231</v>
      </c>
      <c r="F576" s="90" t="s">
        <v>1232</v>
      </c>
      <c r="G576" s="89">
        <v>27125.699999999997</v>
      </c>
      <c r="H576" s="141" t="str">
        <f t="shared" si="38"/>
        <v>154915015908</v>
      </c>
      <c r="I576" s="142">
        <v>0.11160000000000003</v>
      </c>
      <c r="J576" s="142" t="s">
        <v>1871</v>
      </c>
      <c r="K576" s="143">
        <f t="shared" si="35"/>
        <v>3027.2281200000007</v>
      </c>
      <c r="L576" s="144">
        <f t="shared" si="36"/>
        <v>24098.471879999997</v>
      </c>
      <c r="M576" s="144">
        <f t="shared" si="37"/>
        <v>27125.699999999997</v>
      </c>
      <c r="N576" s="145" t="s">
        <v>1200</v>
      </c>
      <c r="O576" s="125"/>
    </row>
    <row r="577" spans="1:15" ht="15" customHeight="1" x14ac:dyDescent="0.3">
      <c r="A577" s="90" t="s">
        <v>211</v>
      </c>
      <c r="B577" s="90" t="s">
        <v>1228</v>
      </c>
      <c r="C577" s="90" t="s">
        <v>1229</v>
      </c>
      <c r="D577" s="90" t="s">
        <v>1233</v>
      </c>
      <c r="E577" s="90" t="s">
        <v>1234</v>
      </c>
      <c r="F577" s="90" t="s">
        <v>1235</v>
      </c>
      <c r="G577" s="89">
        <v>36969.230000000003</v>
      </c>
      <c r="H577" s="141" t="str">
        <f t="shared" si="38"/>
        <v>154915020908</v>
      </c>
      <c r="I577" s="142">
        <v>0.11160000000000003</v>
      </c>
      <c r="J577" s="142" t="s">
        <v>1871</v>
      </c>
      <c r="K577" s="143">
        <f t="shared" si="35"/>
        <v>4125.7660680000017</v>
      </c>
      <c r="L577" s="144">
        <f t="shared" si="36"/>
        <v>32843.463931999999</v>
      </c>
      <c r="M577" s="144">
        <f t="shared" si="37"/>
        <v>36969.230000000003</v>
      </c>
      <c r="N577" s="145" t="s">
        <v>1200</v>
      </c>
      <c r="O577" s="125"/>
    </row>
    <row r="578" spans="1:15" ht="15" customHeight="1" x14ac:dyDescent="0.3">
      <c r="A578" s="90" t="s">
        <v>211</v>
      </c>
      <c r="B578" s="90" t="s">
        <v>1236</v>
      </c>
      <c r="C578" s="90" t="s">
        <v>1237</v>
      </c>
      <c r="D578" s="90" t="s">
        <v>1238</v>
      </c>
      <c r="E578" s="90" t="s">
        <v>1239</v>
      </c>
      <c r="F578" s="90" t="s">
        <v>1240</v>
      </c>
      <c r="G578" s="89">
        <v>56036.439999999995</v>
      </c>
      <c r="H578" s="141" t="str">
        <f t="shared" si="38"/>
        <v>123394771908</v>
      </c>
      <c r="I578" s="142">
        <v>1</v>
      </c>
      <c r="J578" s="142" t="s">
        <v>1484</v>
      </c>
      <c r="K578" s="143">
        <f t="shared" si="35"/>
        <v>56036.439999999995</v>
      </c>
      <c r="L578" s="144">
        <f t="shared" si="36"/>
        <v>0</v>
      </c>
      <c r="M578" s="144">
        <f t="shared" si="37"/>
        <v>56036.439999999995</v>
      </c>
      <c r="N578" s="145" t="s">
        <v>1200</v>
      </c>
      <c r="O578" s="125"/>
    </row>
    <row r="579" spans="1:15" ht="15" customHeight="1" x14ac:dyDescent="0.3">
      <c r="A579" s="90" t="s">
        <v>211</v>
      </c>
      <c r="B579" s="90" t="s">
        <v>1195</v>
      </c>
      <c r="C579" s="90" t="s">
        <v>1196</v>
      </c>
      <c r="D579" s="90" t="s">
        <v>1233</v>
      </c>
      <c r="E579" s="90" t="s">
        <v>1234</v>
      </c>
      <c r="F579" s="90" t="s">
        <v>1235</v>
      </c>
      <c r="G579" s="89">
        <v>67950.2</v>
      </c>
      <c r="H579" s="141" t="str">
        <f t="shared" si="38"/>
        <v>114205020908</v>
      </c>
      <c r="I579" s="142">
        <v>0.11160000000000003</v>
      </c>
      <c r="J579" s="142" t="s">
        <v>1871</v>
      </c>
      <c r="K579" s="143">
        <f t="shared" si="35"/>
        <v>7583.2423200000021</v>
      </c>
      <c r="L579" s="144">
        <f t="shared" si="36"/>
        <v>60366.957679999992</v>
      </c>
      <c r="M579" s="144">
        <f t="shared" si="37"/>
        <v>67950.2</v>
      </c>
      <c r="N579" s="145" t="s">
        <v>1200</v>
      </c>
      <c r="O579" s="125"/>
    </row>
    <row r="580" spans="1:15" ht="15" customHeight="1" x14ac:dyDescent="0.3">
      <c r="A580" s="90" t="s">
        <v>211</v>
      </c>
      <c r="B580" s="90" t="s">
        <v>1190</v>
      </c>
      <c r="C580" s="90" t="s">
        <v>1191</v>
      </c>
      <c r="D580" s="90" t="s">
        <v>1233</v>
      </c>
      <c r="E580" s="90" t="s">
        <v>1234</v>
      </c>
      <c r="F580" s="90" t="s">
        <v>1235</v>
      </c>
      <c r="G580" s="89">
        <v>69726.929999999993</v>
      </c>
      <c r="H580" s="141" t="str">
        <f t="shared" si="38"/>
        <v>114105020908</v>
      </c>
      <c r="I580" s="142">
        <v>0.11270000000000002</v>
      </c>
      <c r="J580" s="142" t="s">
        <v>1885</v>
      </c>
      <c r="K580" s="143">
        <f t="shared" si="35"/>
        <v>7858.2250110000004</v>
      </c>
      <c r="L580" s="144">
        <f t="shared" si="36"/>
        <v>61868.704988999991</v>
      </c>
      <c r="M580" s="144">
        <f t="shared" si="37"/>
        <v>69726.929999999993</v>
      </c>
      <c r="N580" s="145" t="s">
        <v>1200</v>
      </c>
      <c r="O580" s="125"/>
    </row>
    <row r="581" spans="1:15" ht="15" customHeight="1" x14ac:dyDescent="0.3">
      <c r="A581" s="90" t="s">
        <v>211</v>
      </c>
      <c r="B581" s="90" t="s">
        <v>1178</v>
      </c>
      <c r="C581" s="90" t="s">
        <v>1179</v>
      </c>
      <c r="D581" s="90" t="s">
        <v>1203</v>
      </c>
      <c r="E581" s="90" t="s">
        <v>704</v>
      </c>
      <c r="F581" s="90" t="s">
        <v>1204</v>
      </c>
      <c r="G581" s="89">
        <v>76890.350000000006</v>
      </c>
      <c r="H581" s="141" t="str">
        <f t="shared" si="38"/>
        <v>113481505908</v>
      </c>
      <c r="I581" s="142">
        <v>8.3899999999999975E-2</v>
      </c>
      <c r="J581" s="142" t="s">
        <v>1880</v>
      </c>
      <c r="K581" s="143">
        <f t="shared" si="35"/>
        <v>6451.1003649999984</v>
      </c>
      <c r="L581" s="144">
        <f t="shared" si="36"/>
        <v>70439.249635000015</v>
      </c>
      <c r="M581" s="144">
        <f t="shared" si="37"/>
        <v>76890.350000000006</v>
      </c>
      <c r="N581" s="145" t="s">
        <v>1200</v>
      </c>
      <c r="O581" s="125"/>
    </row>
    <row r="582" spans="1:15" ht="15" customHeight="1" x14ac:dyDescent="0.3">
      <c r="A582" s="90" t="s">
        <v>211</v>
      </c>
      <c r="B582" s="90" t="s">
        <v>1190</v>
      </c>
      <c r="C582" s="90" t="s">
        <v>1191</v>
      </c>
      <c r="D582" s="90" t="s">
        <v>1230</v>
      </c>
      <c r="E582" s="90" t="s">
        <v>1231</v>
      </c>
      <c r="F582" s="90" t="s">
        <v>1232</v>
      </c>
      <c r="G582" s="89">
        <v>92632.38</v>
      </c>
      <c r="H582" s="141" t="str">
        <f t="shared" si="38"/>
        <v>114105015908</v>
      </c>
      <c r="I582" s="142">
        <v>0.11270000000000002</v>
      </c>
      <c r="J582" s="142" t="s">
        <v>1885</v>
      </c>
      <c r="K582" s="143">
        <f t="shared" si="35"/>
        <v>10439.669226000002</v>
      </c>
      <c r="L582" s="144">
        <f t="shared" si="36"/>
        <v>82192.710774000006</v>
      </c>
      <c r="M582" s="144">
        <f t="shared" si="37"/>
        <v>92632.38</v>
      </c>
      <c r="N582" s="145" t="s">
        <v>1200</v>
      </c>
      <c r="O582" s="125"/>
    </row>
    <row r="583" spans="1:15" ht="15" customHeight="1" x14ac:dyDescent="0.3">
      <c r="A583" s="90" t="s">
        <v>211</v>
      </c>
      <c r="B583" s="90" t="s">
        <v>1195</v>
      </c>
      <c r="C583" s="90" t="s">
        <v>1196</v>
      </c>
      <c r="D583" s="90" t="s">
        <v>1230</v>
      </c>
      <c r="E583" s="90" t="s">
        <v>1231</v>
      </c>
      <c r="F583" s="90" t="s">
        <v>1232</v>
      </c>
      <c r="G583" s="89">
        <v>93837.37999999999</v>
      </c>
      <c r="H583" s="141" t="str">
        <f t="shared" si="38"/>
        <v>114205015908</v>
      </c>
      <c r="I583" s="142">
        <v>0.11160000000000003</v>
      </c>
      <c r="J583" s="142" t="s">
        <v>1871</v>
      </c>
      <c r="K583" s="143">
        <f t="shared" si="35"/>
        <v>10472.251608000002</v>
      </c>
      <c r="L583" s="144">
        <f t="shared" si="36"/>
        <v>83365.128391999984</v>
      </c>
      <c r="M583" s="144">
        <f t="shared" si="37"/>
        <v>93837.37999999999</v>
      </c>
      <c r="N583" s="145" t="s">
        <v>1200</v>
      </c>
      <c r="O583" s="125"/>
    </row>
    <row r="584" spans="1:15" ht="15" customHeight="1" x14ac:dyDescent="0.3">
      <c r="A584" s="90" t="s">
        <v>211</v>
      </c>
      <c r="B584" s="90" t="s">
        <v>1226</v>
      </c>
      <c r="C584" s="90" t="s">
        <v>1227</v>
      </c>
      <c r="D584" s="90" t="s">
        <v>1233</v>
      </c>
      <c r="E584" s="90" t="s">
        <v>1234</v>
      </c>
      <c r="F584" s="90" t="s">
        <v>1235</v>
      </c>
      <c r="G584" s="89">
        <v>95910.960000000021</v>
      </c>
      <c r="H584" s="141" t="str">
        <f t="shared" si="38"/>
        <v>114305020908</v>
      </c>
      <c r="I584" s="142">
        <v>0.11160000000000003</v>
      </c>
      <c r="J584" s="142" t="s">
        <v>1871</v>
      </c>
      <c r="K584" s="143">
        <f t="shared" si="35"/>
        <v>10703.663136000005</v>
      </c>
      <c r="L584" s="144">
        <f t="shared" si="36"/>
        <v>85207.296864000018</v>
      </c>
      <c r="M584" s="144">
        <f t="shared" si="37"/>
        <v>95910.960000000021</v>
      </c>
      <c r="N584" s="145" t="s">
        <v>1200</v>
      </c>
      <c r="O584" s="125"/>
    </row>
    <row r="585" spans="1:15" ht="15" customHeight="1" x14ac:dyDescent="0.3">
      <c r="A585" s="90" t="s">
        <v>211</v>
      </c>
      <c r="B585" s="90" t="s">
        <v>1226</v>
      </c>
      <c r="C585" s="90" t="s">
        <v>1227</v>
      </c>
      <c r="D585" s="90" t="s">
        <v>1230</v>
      </c>
      <c r="E585" s="90" t="s">
        <v>1231</v>
      </c>
      <c r="F585" s="90" t="s">
        <v>1232</v>
      </c>
      <c r="G585" s="89">
        <v>120915.75</v>
      </c>
      <c r="H585" s="141" t="str">
        <f t="shared" si="38"/>
        <v>114305015908</v>
      </c>
      <c r="I585" s="142">
        <v>0.11160000000000003</v>
      </c>
      <c r="J585" s="142" t="s">
        <v>1871</v>
      </c>
      <c r="K585" s="143">
        <f t="shared" si="35"/>
        <v>13494.197700000004</v>
      </c>
      <c r="L585" s="144">
        <f t="shared" si="36"/>
        <v>107421.5523</v>
      </c>
      <c r="M585" s="144">
        <f t="shared" si="37"/>
        <v>120915.75</v>
      </c>
      <c r="N585" s="145" t="s">
        <v>1200</v>
      </c>
      <c r="O585" s="125"/>
    </row>
    <row r="586" spans="1:15" ht="15" customHeight="1" x14ac:dyDescent="0.3">
      <c r="A586" s="90" t="s">
        <v>211</v>
      </c>
      <c r="B586" s="90" t="s">
        <v>1224</v>
      </c>
      <c r="C586" s="90" t="s">
        <v>1225</v>
      </c>
      <c r="D586" s="90" t="s">
        <v>1207</v>
      </c>
      <c r="E586" s="90" t="s">
        <v>1208</v>
      </c>
      <c r="F586" s="90" t="s">
        <v>1209</v>
      </c>
      <c r="G586" s="89">
        <v>192826.87999999998</v>
      </c>
      <c r="H586" s="141" t="str">
        <f t="shared" si="38"/>
        <v>450104815908</v>
      </c>
      <c r="I586" s="142">
        <v>0.11160000000000003</v>
      </c>
      <c r="J586" s="142" t="s">
        <v>1871</v>
      </c>
      <c r="K586" s="143">
        <f t="shared" si="35"/>
        <v>21519.479808000004</v>
      </c>
      <c r="L586" s="144">
        <f t="shared" si="36"/>
        <v>171307.40019199997</v>
      </c>
      <c r="M586" s="144">
        <f t="shared" si="37"/>
        <v>192826.87999999998</v>
      </c>
      <c r="N586" s="145" t="s">
        <v>1200</v>
      </c>
      <c r="O586" s="125"/>
    </row>
    <row r="587" spans="1:15" ht="15" customHeight="1" x14ac:dyDescent="0.3">
      <c r="A587" s="90" t="s">
        <v>211</v>
      </c>
      <c r="B587" s="90" t="s">
        <v>1195</v>
      </c>
      <c r="C587" s="90" t="s">
        <v>1196</v>
      </c>
      <c r="D587" s="90" t="s">
        <v>1238</v>
      </c>
      <c r="E587" s="90" t="s">
        <v>1239</v>
      </c>
      <c r="F587" s="90" t="s">
        <v>1240</v>
      </c>
      <c r="G587" s="89">
        <v>304084.73</v>
      </c>
      <c r="H587" s="141" t="str">
        <f t="shared" si="38"/>
        <v>114204771908</v>
      </c>
      <c r="I587" s="142">
        <v>0.11160000000000003</v>
      </c>
      <c r="J587" s="142" t="s">
        <v>1871</v>
      </c>
      <c r="K587" s="143">
        <f t="shared" si="35"/>
        <v>33935.855868000006</v>
      </c>
      <c r="L587" s="144">
        <f t="shared" si="36"/>
        <v>270148.87413199997</v>
      </c>
      <c r="M587" s="144">
        <f t="shared" si="37"/>
        <v>304084.73</v>
      </c>
      <c r="N587" s="145" t="s">
        <v>1200</v>
      </c>
      <c r="O587" s="125"/>
    </row>
    <row r="588" spans="1:15" ht="15" customHeight="1" x14ac:dyDescent="0.3">
      <c r="A588" s="90" t="s">
        <v>211</v>
      </c>
      <c r="B588" s="90" t="s">
        <v>1241</v>
      </c>
      <c r="C588" s="90" t="s">
        <v>1242</v>
      </c>
      <c r="D588" s="90" t="s">
        <v>1197</v>
      </c>
      <c r="E588" s="90" t="s">
        <v>1198</v>
      </c>
      <c r="F588" s="90" t="s">
        <v>1199</v>
      </c>
      <c r="G588" s="89">
        <v>1056181.27</v>
      </c>
      <c r="H588" s="141" t="str">
        <f t="shared" si="38"/>
        <v>113254660908</v>
      </c>
      <c r="I588" s="142">
        <v>8.3899999999999975E-2</v>
      </c>
      <c r="J588" s="142" t="s">
        <v>1880</v>
      </c>
      <c r="K588" s="143">
        <f t="shared" si="35"/>
        <v>88613.608552999969</v>
      </c>
      <c r="L588" s="144">
        <f t="shared" si="36"/>
        <v>967567.66144699999</v>
      </c>
      <c r="M588" s="144">
        <f t="shared" si="37"/>
        <v>1056181.27</v>
      </c>
      <c r="N588" s="145" t="s">
        <v>1200</v>
      </c>
      <c r="O588" s="125"/>
    </row>
    <row r="589" spans="1:15" ht="15" customHeight="1" x14ac:dyDescent="0.3">
      <c r="A589" s="90" t="s">
        <v>1243</v>
      </c>
      <c r="B589" s="90" t="s">
        <v>717</v>
      </c>
      <c r="C589" s="90" t="s">
        <v>718</v>
      </c>
      <c r="D589" s="90" t="s">
        <v>1244</v>
      </c>
      <c r="E589" s="90" t="s">
        <v>1245</v>
      </c>
      <c r="F589" s="90" t="s">
        <v>1246</v>
      </c>
      <c r="G589" s="89">
        <v>36150</v>
      </c>
      <c r="H589" s="141" t="str">
        <f t="shared" si="38"/>
        <v>115509000909</v>
      </c>
      <c r="I589" s="142">
        <v>0.11160000000000003</v>
      </c>
      <c r="J589" s="142" t="s">
        <v>1871</v>
      </c>
      <c r="K589" s="143">
        <f t="shared" si="35"/>
        <v>4034.3400000000011</v>
      </c>
      <c r="L589" s="144">
        <f t="shared" si="36"/>
        <v>32115.66</v>
      </c>
      <c r="M589" s="144">
        <f t="shared" si="37"/>
        <v>36150</v>
      </c>
      <c r="N589" s="145" t="s">
        <v>1247</v>
      </c>
      <c r="O589" s="125"/>
    </row>
    <row r="590" spans="1:15" ht="15" customHeight="1" x14ac:dyDescent="0.3">
      <c r="A590" s="90" t="s">
        <v>1243</v>
      </c>
      <c r="B590" s="90" t="s">
        <v>717</v>
      </c>
      <c r="C590" s="90" t="s">
        <v>718</v>
      </c>
      <c r="D590" s="90" t="s">
        <v>1248</v>
      </c>
      <c r="E590" s="90" t="s">
        <v>1249</v>
      </c>
      <c r="F590" s="90" t="s">
        <v>1250</v>
      </c>
      <c r="G590" s="89">
        <v>264078.43</v>
      </c>
      <c r="H590" s="141" t="str">
        <f t="shared" si="38"/>
        <v>115503000909</v>
      </c>
      <c r="I590" s="142">
        <v>0.11160000000000003</v>
      </c>
      <c r="J590" s="142" t="s">
        <v>1871</v>
      </c>
      <c r="K590" s="143">
        <f t="shared" si="35"/>
        <v>29471.152788000007</v>
      </c>
      <c r="L590" s="144">
        <f t="shared" si="36"/>
        <v>234607.27721199999</v>
      </c>
      <c r="M590" s="144">
        <f t="shared" si="37"/>
        <v>264078.43</v>
      </c>
      <c r="N590" s="145" t="s">
        <v>1247</v>
      </c>
      <c r="O590" s="125"/>
    </row>
    <row r="591" spans="1:15" ht="15" customHeight="1" x14ac:dyDescent="0.3">
      <c r="A591" s="90" t="s">
        <v>1243</v>
      </c>
      <c r="B591" s="90" t="s">
        <v>717</v>
      </c>
      <c r="C591" s="90" t="s">
        <v>718</v>
      </c>
      <c r="D591" s="90" t="s">
        <v>1251</v>
      </c>
      <c r="E591" s="90" t="s">
        <v>1252</v>
      </c>
      <c r="F591" s="90" t="s">
        <v>1253</v>
      </c>
      <c r="G591" s="89">
        <v>275057.26</v>
      </c>
      <c r="H591" s="141" t="str">
        <f t="shared" si="38"/>
        <v>115501000909</v>
      </c>
      <c r="I591" s="142">
        <v>0.11160000000000003</v>
      </c>
      <c r="J591" s="142" t="s">
        <v>1871</v>
      </c>
      <c r="K591" s="143">
        <f t="shared" si="35"/>
        <v>30696.390216000011</v>
      </c>
      <c r="L591" s="144">
        <f t="shared" si="36"/>
        <v>244360.86978400001</v>
      </c>
      <c r="M591" s="144">
        <f t="shared" si="37"/>
        <v>275057.26</v>
      </c>
      <c r="N591" s="145" t="s">
        <v>1247</v>
      </c>
      <c r="O591" s="125"/>
    </row>
    <row r="592" spans="1:15" ht="15" customHeight="1" x14ac:dyDescent="0.3">
      <c r="A592" s="90" t="s">
        <v>1243</v>
      </c>
      <c r="B592" s="90" t="s">
        <v>717</v>
      </c>
      <c r="C592" s="90" t="s">
        <v>718</v>
      </c>
      <c r="D592" s="90" t="s">
        <v>1254</v>
      </c>
      <c r="E592" s="90" t="s">
        <v>1255</v>
      </c>
      <c r="F592" s="90" t="s">
        <v>1256</v>
      </c>
      <c r="G592" s="89">
        <v>624164.37</v>
      </c>
      <c r="H592" s="141" t="str">
        <f t="shared" si="38"/>
        <v>115500000909</v>
      </c>
      <c r="I592" s="142">
        <v>0.11160000000000003</v>
      </c>
      <c r="J592" s="142" t="s">
        <v>1871</v>
      </c>
      <c r="K592" s="143">
        <f t="shared" si="35"/>
        <v>69656.743692000018</v>
      </c>
      <c r="L592" s="144">
        <f t="shared" si="36"/>
        <v>554507.62630799995</v>
      </c>
      <c r="M592" s="144">
        <f t="shared" si="37"/>
        <v>624164.37</v>
      </c>
      <c r="N592" s="145" t="s">
        <v>1247</v>
      </c>
      <c r="O592" s="125"/>
    </row>
    <row r="593" spans="1:15" ht="15" customHeight="1" x14ac:dyDescent="0.3">
      <c r="A593" s="90" t="s">
        <v>1243</v>
      </c>
      <c r="B593" s="90" t="s">
        <v>717</v>
      </c>
      <c r="C593" s="90" t="s">
        <v>718</v>
      </c>
      <c r="D593" s="90" t="s">
        <v>1257</v>
      </c>
      <c r="E593" s="90" t="s">
        <v>1258</v>
      </c>
      <c r="F593" s="90" t="s">
        <v>1259</v>
      </c>
      <c r="G593" s="89">
        <v>900772.54</v>
      </c>
      <c r="H593" s="141" t="str">
        <f t="shared" si="38"/>
        <v>115508000909</v>
      </c>
      <c r="I593" s="142">
        <v>0.11160000000000003</v>
      </c>
      <c r="J593" s="142" t="s">
        <v>1871</v>
      </c>
      <c r="K593" s="143">
        <f t="shared" si="35"/>
        <v>100526.21546400004</v>
      </c>
      <c r="L593" s="144">
        <f t="shared" si="36"/>
        <v>800246.32453600003</v>
      </c>
      <c r="M593" s="144">
        <f t="shared" si="37"/>
        <v>900772.54</v>
      </c>
      <c r="N593" s="145" t="s">
        <v>1247</v>
      </c>
      <c r="O593" s="125"/>
    </row>
    <row r="594" spans="1:15" ht="15" customHeight="1" x14ac:dyDescent="0.3">
      <c r="A594" s="90" t="s">
        <v>1243</v>
      </c>
      <c r="B594" s="90" t="s">
        <v>717</v>
      </c>
      <c r="C594" s="90" t="s">
        <v>718</v>
      </c>
      <c r="D594" s="90" t="s">
        <v>1260</v>
      </c>
      <c r="E594" s="90" t="s">
        <v>1261</v>
      </c>
      <c r="F594" s="90" t="s">
        <v>1262</v>
      </c>
      <c r="G594" s="89">
        <v>940520</v>
      </c>
      <c r="H594" s="141" t="str">
        <f t="shared" si="38"/>
        <v>115504000909</v>
      </c>
      <c r="I594" s="142">
        <v>0.11160000000000003</v>
      </c>
      <c r="J594" s="142" t="s">
        <v>1871</v>
      </c>
      <c r="K594" s="143">
        <f t="shared" si="35"/>
        <v>104962.03200000004</v>
      </c>
      <c r="L594" s="144">
        <f t="shared" si="36"/>
        <v>835557.96799999999</v>
      </c>
      <c r="M594" s="144">
        <f t="shared" si="37"/>
        <v>940520</v>
      </c>
      <c r="N594" s="145" t="s">
        <v>1247</v>
      </c>
      <c r="O594" s="125"/>
    </row>
    <row r="595" spans="1:15" ht="15" customHeight="1" x14ac:dyDescent="0.3">
      <c r="A595" s="90" t="s">
        <v>214</v>
      </c>
      <c r="B595" s="90" t="s">
        <v>1217</v>
      </c>
      <c r="C595" s="90" t="s">
        <v>1218</v>
      </c>
      <c r="D595" s="90" t="s">
        <v>1263</v>
      </c>
      <c r="E595" s="90" t="s">
        <v>704</v>
      </c>
      <c r="F595" s="90" t="s">
        <v>1264</v>
      </c>
      <c r="G595" s="89">
        <v>9.8800000000000008</v>
      </c>
      <c r="H595" s="141" t="str">
        <f t="shared" si="38"/>
        <v>520401505910</v>
      </c>
      <c r="I595" s="142">
        <v>0.11209999999999998</v>
      </c>
      <c r="J595" s="142" t="s">
        <v>308</v>
      </c>
      <c r="K595" s="143">
        <f t="shared" si="35"/>
        <v>1.1075479999999998</v>
      </c>
      <c r="L595" s="144">
        <f t="shared" si="36"/>
        <v>8.7724520000000012</v>
      </c>
      <c r="M595" s="144">
        <f t="shared" si="37"/>
        <v>9.8800000000000008</v>
      </c>
      <c r="N595" s="145" t="s">
        <v>1265</v>
      </c>
      <c r="O595" s="125"/>
    </row>
    <row r="596" spans="1:15" ht="15" customHeight="1" x14ac:dyDescent="0.3">
      <c r="A596" s="90" t="s">
        <v>214</v>
      </c>
      <c r="B596" s="90" t="s">
        <v>725</v>
      </c>
      <c r="C596" s="90" t="s">
        <v>726</v>
      </c>
      <c r="D596" s="90" t="s">
        <v>1263</v>
      </c>
      <c r="E596" s="90" t="s">
        <v>704</v>
      </c>
      <c r="F596" s="90" t="s">
        <v>1264</v>
      </c>
      <c r="G596" s="89">
        <v>121.69</v>
      </c>
      <c r="H596" s="141" t="str">
        <f t="shared" si="38"/>
        <v>114001505910</v>
      </c>
      <c r="I596" s="142">
        <v>0.10419999999999996</v>
      </c>
      <c r="J596" s="142" t="s">
        <v>1861</v>
      </c>
      <c r="K596" s="143">
        <f t="shared" si="35"/>
        <v>12.680097999999996</v>
      </c>
      <c r="L596" s="144">
        <f t="shared" si="36"/>
        <v>109.009902</v>
      </c>
      <c r="M596" s="144">
        <f t="shared" si="37"/>
        <v>121.69</v>
      </c>
      <c r="N596" s="145" t="s">
        <v>1265</v>
      </c>
      <c r="O596" s="125"/>
    </row>
    <row r="597" spans="1:15" ht="15" customHeight="1" x14ac:dyDescent="0.3">
      <c r="A597" s="90" t="s">
        <v>214</v>
      </c>
      <c r="B597" s="90" t="s">
        <v>900</v>
      </c>
      <c r="C597" s="90" t="s">
        <v>901</v>
      </c>
      <c r="D597" s="90" t="s">
        <v>1263</v>
      </c>
      <c r="E597" s="90" t="s">
        <v>704</v>
      </c>
      <c r="F597" s="90" t="s">
        <v>1264</v>
      </c>
      <c r="G597" s="89">
        <v>127</v>
      </c>
      <c r="H597" s="141" t="str">
        <f t="shared" si="38"/>
        <v>135251505910</v>
      </c>
      <c r="I597" s="142">
        <v>0.11160000000000003</v>
      </c>
      <c r="J597" s="142" t="s">
        <v>1882</v>
      </c>
      <c r="K597" s="143">
        <f t="shared" si="35"/>
        <v>14.173200000000005</v>
      </c>
      <c r="L597" s="144">
        <f t="shared" si="36"/>
        <v>112.82679999999999</v>
      </c>
      <c r="M597" s="144">
        <f t="shared" si="37"/>
        <v>127</v>
      </c>
      <c r="N597" s="145" t="s">
        <v>1265</v>
      </c>
      <c r="O597" s="125"/>
    </row>
    <row r="598" spans="1:15" ht="15" customHeight="1" x14ac:dyDescent="0.3">
      <c r="A598" s="90" t="s">
        <v>214</v>
      </c>
      <c r="B598" s="90" t="s">
        <v>1190</v>
      </c>
      <c r="C598" s="90" t="s">
        <v>1191</v>
      </c>
      <c r="D598" s="90" t="s">
        <v>1263</v>
      </c>
      <c r="E598" s="90" t="s">
        <v>704</v>
      </c>
      <c r="F598" s="90" t="s">
        <v>1264</v>
      </c>
      <c r="G598" s="89">
        <v>247017.15</v>
      </c>
      <c r="H598" s="141" t="str">
        <f t="shared" si="38"/>
        <v>114101505910</v>
      </c>
      <c r="I598" s="142">
        <v>0.11270000000000002</v>
      </c>
      <c r="J598" s="142" t="s">
        <v>1885</v>
      </c>
      <c r="K598" s="143">
        <f t="shared" si="35"/>
        <v>27838.832805000005</v>
      </c>
      <c r="L598" s="144">
        <f t="shared" si="36"/>
        <v>219178.31719499998</v>
      </c>
      <c r="M598" s="144">
        <f t="shared" si="37"/>
        <v>247017.15</v>
      </c>
      <c r="N598" s="145" t="s">
        <v>1265</v>
      </c>
      <c r="O598" s="125"/>
    </row>
    <row r="599" spans="1:15" ht="15" customHeight="1" x14ac:dyDescent="0.3">
      <c r="A599" s="90" t="s">
        <v>217</v>
      </c>
      <c r="B599" s="90" t="s">
        <v>1266</v>
      </c>
      <c r="C599" s="90" t="s">
        <v>1267</v>
      </c>
      <c r="D599" s="90" t="s">
        <v>1268</v>
      </c>
      <c r="E599" s="90" t="s">
        <v>1269</v>
      </c>
      <c r="F599" s="90" t="s">
        <v>1270</v>
      </c>
      <c r="G599" s="89">
        <v>162705.07999999999</v>
      </c>
      <c r="H599" s="141" t="str">
        <f t="shared" si="38"/>
        <v>115404855911</v>
      </c>
      <c r="I599" s="142">
        <v>0.11160000000000003</v>
      </c>
      <c r="J599" s="142" t="s">
        <v>1871</v>
      </c>
      <c r="K599" s="143">
        <f t="shared" si="35"/>
        <v>18157.886928000004</v>
      </c>
      <c r="L599" s="144">
        <f t="shared" si="36"/>
        <v>144547.19307199999</v>
      </c>
      <c r="M599" s="144">
        <f t="shared" si="37"/>
        <v>162705.07999999999</v>
      </c>
      <c r="N599" s="145" t="s">
        <v>1271</v>
      </c>
      <c r="O599" s="125"/>
    </row>
    <row r="600" spans="1:15" ht="15" customHeight="1" x14ac:dyDescent="0.3">
      <c r="A600" s="90" t="s">
        <v>218</v>
      </c>
      <c r="B600" s="90" t="s">
        <v>1201</v>
      </c>
      <c r="C600" s="90" t="s">
        <v>1202</v>
      </c>
      <c r="D600" s="90" t="s">
        <v>1272</v>
      </c>
      <c r="E600" s="90" t="s">
        <v>929</v>
      </c>
      <c r="F600" s="90" t="s">
        <v>1273</v>
      </c>
      <c r="G600" s="89">
        <v>-18450</v>
      </c>
      <c r="H600" s="141" t="str">
        <f t="shared" si="38"/>
        <v>115151315912</v>
      </c>
      <c r="I600" s="142">
        <v>0.11160000000000003</v>
      </c>
      <c r="J600" s="142" t="s">
        <v>1871</v>
      </c>
      <c r="K600" s="143">
        <f t="shared" ref="K600:K663" si="39">G600*I600</f>
        <v>-2059.0200000000004</v>
      </c>
      <c r="L600" s="144">
        <f t="shared" ref="L600:L663" si="40">G600-K600</f>
        <v>-16390.98</v>
      </c>
      <c r="M600" s="144">
        <f t="shared" ref="M600:M663" si="41">K600+L600</f>
        <v>-18450</v>
      </c>
      <c r="N600" s="145" t="s">
        <v>1274</v>
      </c>
      <c r="O600" s="125"/>
    </row>
    <row r="601" spans="1:15" ht="15" customHeight="1" x14ac:dyDescent="0.3">
      <c r="A601" s="90" t="s">
        <v>218</v>
      </c>
      <c r="B601" s="90" t="s">
        <v>1266</v>
      </c>
      <c r="C601" s="90" t="s">
        <v>1267</v>
      </c>
      <c r="D601" s="90" t="s">
        <v>1275</v>
      </c>
      <c r="E601" s="90" t="s">
        <v>1276</v>
      </c>
      <c r="F601" s="90" t="s">
        <v>1277</v>
      </c>
      <c r="G601" s="89">
        <v>-2536.2400000000002</v>
      </c>
      <c r="H601" s="141" t="str">
        <f t="shared" ref="H601:H664" si="42">CONCATENATE(B601,RIGHT(D601,4),A601)</f>
        <v>115404858912</v>
      </c>
      <c r="I601" s="142">
        <v>0.11160000000000003</v>
      </c>
      <c r="J601" s="142" t="s">
        <v>1871</v>
      </c>
      <c r="K601" s="143">
        <f t="shared" si="39"/>
        <v>-283.04438400000009</v>
      </c>
      <c r="L601" s="144">
        <f t="shared" si="40"/>
        <v>-2253.195616</v>
      </c>
      <c r="M601" s="144">
        <f t="shared" si="41"/>
        <v>-2536.2400000000002</v>
      </c>
      <c r="N601" s="145" t="s">
        <v>1274</v>
      </c>
      <c r="O601" s="125"/>
    </row>
    <row r="602" spans="1:15" ht="15" customHeight="1" x14ac:dyDescent="0.3">
      <c r="A602" s="90" t="s">
        <v>218</v>
      </c>
      <c r="B602" s="90" t="s">
        <v>1278</v>
      </c>
      <c r="C602" s="90" t="s">
        <v>1279</v>
      </c>
      <c r="D602" s="90" t="s">
        <v>1280</v>
      </c>
      <c r="E602" s="90" t="s">
        <v>704</v>
      </c>
      <c r="F602" s="90" t="s">
        <v>1281</v>
      </c>
      <c r="G602" s="89">
        <v>6</v>
      </c>
      <c r="H602" s="141" t="str">
        <f t="shared" si="42"/>
        <v>510401505912</v>
      </c>
      <c r="I602" s="142">
        <v>0.11209999999999998</v>
      </c>
      <c r="J602" s="142" t="s">
        <v>1864</v>
      </c>
      <c r="K602" s="143">
        <f t="shared" si="39"/>
        <v>0.67259999999999986</v>
      </c>
      <c r="L602" s="144">
        <f t="shared" si="40"/>
        <v>5.3273999999999999</v>
      </c>
      <c r="M602" s="144">
        <f t="shared" si="41"/>
        <v>6</v>
      </c>
      <c r="N602" s="145" t="s">
        <v>1274</v>
      </c>
      <c r="O602" s="125"/>
    </row>
    <row r="603" spans="1:15" ht="15" customHeight="1" x14ac:dyDescent="0.3">
      <c r="A603" s="90" t="s">
        <v>218</v>
      </c>
      <c r="B603" s="90" t="s">
        <v>717</v>
      </c>
      <c r="C603" s="90" t="s">
        <v>718</v>
      </c>
      <c r="D603" s="90" t="s">
        <v>1282</v>
      </c>
      <c r="E603" s="90" t="s">
        <v>1231</v>
      </c>
      <c r="F603" s="90" t="s">
        <v>1283</v>
      </c>
      <c r="G603" s="89">
        <v>12</v>
      </c>
      <c r="H603" s="141" t="str">
        <f t="shared" si="42"/>
        <v>115505015912</v>
      </c>
      <c r="I603" s="142">
        <v>0.11160000000000003</v>
      </c>
      <c r="J603" s="142" t="s">
        <v>1871</v>
      </c>
      <c r="K603" s="143">
        <f t="shared" si="39"/>
        <v>1.3392000000000004</v>
      </c>
      <c r="L603" s="144">
        <f t="shared" si="40"/>
        <v>10.6608</v>
      </c>
      <c r="M603" s="144">
        <f t="shared" si="41"/>
        <v>12</v>
      </c>
      <c r="N603" s="145" t="s">
        <v>1274</v>
      </c>
      <c r="O603" s="125"/>
    </row>
    <row r="604" spans="1:15" ht="15" customHeight="1" x14ac:dyDescent="0.3">
      <c r="A604" s="90" t="s">
        <v>218</v>
      </c>
      <c r="B604" s="90" t="s">
        <v>1284</v>
      </c>
      <c r="C604" s="90" t="s">
        <v>1285</v>
      </c>
      <c r="D604" s="90" t="s">
        <v>1286</v>
      </c>
      <c r="E604" s="90" t="s">
        <v>1287</v>
      </c>
      <c r="F604" s="90" t="s">
        <v>1288</v>
      </c>
      <c r="G604" s="89">
        <v>14.07</v>
      </c>
      <c r="H604" s="141" t="str">
        <f t="shared" si="42"/>
        <v>460104870912</v>
      </c>
      <c r="I604" s="142">
        <v>0</v>
      </c>
      <c r="J604" s="142" t="s">
        <v>1878</v>
      </c>
      <c r="K604" s="143">
        <f t="shared" si="39"/>
        <v>0</v>
      </c>
      <c r="L604" s="144">
        <f t="shared" si="40"/>
        <v>14.07</v>
      </c>
      <c r="M604" s="144">
        <f t="shared" si="41"/>
        <v>14.07</v>
      </c>
      <c r="N604" s="145" t="s">
        <v>1274</v>
      </c>
      <c r="O604" s="125"/>
    </row>
    <row r="605" spans="1:15" ht="15" customHeight="1" x14ac:dyDescent="0.3">
      <c r="A605" s="90" t="s">
        <v>218</v>
      </c>
      <c r="B605" s="90" t="s">
        <v>1212</v>
      </c>
      <c r="C605" s="90" t="s">
        <v>1213</v>
      </c>
      <c r="D605" s="90" t="s">
        <v>1280</v>
      </c>
      <c r="E605" s="90" t="s">
        <v>704</v>
      </c>
      <c r="F605" s="90" t="s">
        <v>1281</v>
      </c>
      <c r="G605" s="89">
        <v>17.420000000000002</v>
      </c>
      <c r="H605" s="141" t="str">
        <f t="shared" si="42"/>
        <v>550101505912</v>
      </c>
      <c r="I605" s="142">
        <v>0.11209999999999998</v>
      </c>
      <c r="J605" s="142" t="s">
        <v>308</v>
      </c>
      <c r="K605" s="143">
        <f t="shared" si="39"/>
        <v>1.9527819999999998</v>
      </c>
      <c r="L605" s="144">
        <f t="shared" si="40"/>
        <v>15.467218000000003</v>
      </c>
      <c r="M605" s="144">
        <f t="shared" si="41"/>
        <v>17.420000000000002</v>
      </c>
      <c r="N605" s="145" t="s">
        <v>1274</v>
      </c>
      <c r="O605" s="125"/>
    </row>
    <row r="606" spans="1:15" ht="15" customHeight="1" x14ac:dyDescent="0.3">
      <c r="A606" s="90" t="s">
        <v>218</v>
      </c>
      <c r="B606" s="90" t="s">
        <v>1266</v>
      </c>
      <c r="C606" s="90" t="s">
        <v>1267</v>
      </c>
      <c r="D606" s="90" t="s">
        <v>1280</v>
      </c>
      <c r="E606" s="90" t="s">
        <v>704</v>
      </c>
      <c r="F606" s="90" t="s">
        <v>1281</v>
      </c>
      <c r="G606" s="89">
        <v>23.53</v>
      </c>
      <c r="H606" s="141" t="str">
        <f t="shared" si="42"/>
        <v>115401505912</v>
      </c>
      <c r="I606" s="142">
        <v>0.11160000000000003</v>
      </c>
      <c r="J606" s="142" t="s">
        <v>1871</v>
      </c>
      <c r="K606" s="143">
        <f t="shared" si="39"/>
        <v>2.6259480000000011</v>
      </c>
      <c r="L606" s="144">
        <f t="shared" si="40"/>
        <v>20.904052</v>
      </c>
      <c r="M606" s="144">
        <f t="shared" si="41"/>
        <v>23.53</v>
      </c>
      <c r="N606" s="145" t="s">
        <v>1274</v>
      </c>
      <c r="O606" s="125"/>
    </row>
    <row r="607" spans="1:15" ht="15" customHeight="1" x14ac:dyDescent="0.3">
      <c r="A607" s="90" t="s">
        <v>218</v>
      </c>
      <c r="B607" s="90" t="s">
        <v>1289</v>
      </c>
      <c r="C607" s="90" t="s">
        <v>1290</v>
      </c>
      <c r="D607" s="90" t="s">
        <v>1280</v>
      </c>
      <c r="E607" s="90" t="s">
        <v>704</v>
      </c>
      <c r="F607" s="90" t="s">
        <v>1281</v>
      </c>
      <c r="G607" s="89">
        <v>116.2</v>
      </c>
      <c r="H607" s="141" t="str">
        <f t="shared" si="42"/>
        <v>420141505912</v>
      </c>
      <c r="I607" s="142">
        <v>0.11209999999999998</v>
      </c>
      <c r="J607" s="142" t="s">
        <v>1864</v>
      </c>
      <c r="K607" s="143">
        <f t="shared" si="39"/>
        <v>13.026019999999997</v>
      </c>
      <c r="L607" s="144">
        <f t="shared" si="40"/>
        <v>103.17398</v>
      </c>
      <c r="M607" s="144">
        <f t="shared" si="41"/>
        <v>116.2</v>
      </c>
      <c r="N607" s="145" t="s">
        <v>1274</v>
      </c>
      <c r="O607" s="125"/>
    </row>
    <row r="608" spans="1:15" ht="15" customHeight="1" x14ac:dyDescent="0.3">
      <c r="A608" s="90" t="s">
        <v>218</v>
      </c>
      <c r="B608" s="90" t="s">
        <v>1291</v>
      </c>
      <c r="C608" s="90" t="s">
        <v>1292</v>
      </c>
      <c r="D608" s="90" t="s">
        <v>1280</v>
      </c>
      <c r="E608" s="90" t="s">
        <v>704</v>
      </c>
      <c r="F608" s="90" t="s">
        <v>1281</v>
      </c>
      <c r="G608" s="89">
        <v>189.58000000000004</v>
      </c>
      <c r="H608" s="141" t="str">
        <f t="shared" si="42"/>
        <v>520201505912</v>
      </c>
      <c r="I608" s="142">
        <v>0.11209999999999998</v>
      </c>
      <c r="J608" s="142" t="s">
        <v>1864</v>
      </c>
      <c r="K608" s="143">
        <f t="shared" si="39"/>
        <v>21.251918</v>
      </c>
      <c r="L608" s="144">
        <f t="shared" si="40"/>
        <v>168.32808200000005</v>
      </c>
      <c r="M608" s="144">
        <f t="shared" si="41"/>
        <v>189.58000000000004</v>
      </c>
      <c r="N608" s="145" t="s">
        <v>1274</v>
      </c>
      <c r="O608" s="125"/>
    </row>
    <row r="609" spans="1:15" ht="15" customHeight="1" x14ac:dyDescent="0.3">
      <c r="A609" s="90" t="s">
        <v>218</v>
      </c>
      <c r="B609" s="90" t="s">
        <v>964</v>
      </c>
      <c r="C609" s="90" t="s">
        <v>965</v>
      </c>
      <c r="D609" s="90" t="s">
        <v>1282</v>
      </c>
      <c r="E609" s="90" t="s">
        <v>1231</v>
      </c>
      <c r="F609" s="90" t="s">
        <v>1283</v>
      </c>
      <c r="G609" s="89">
        <v>191.68</v>
      </c>
      <c r="H609" s="141" t="str">
        <f t="shared" si="42"/>
        <v>155015015912</v>
      </c>
      <c r="I609" s="142">
        <v>0.11209999999999998</v>
      </c>
      <c r="J609" s="142" t="s">
        <v>308</v>
      </c>
      <c r="K609" s="143">
        <f t="shared" si="39"/>
        <v>21.487327999999998</v>
      </c>
      <c r="L609" s="144">
        <f t="shared" si="40"/>
        <v>170.19267200000002</v>
      </c>
      <c r="M609" s="144">
        <f t="shared" si="41"/>
        <v>191.68</v>
      </c>
      <c r="N609" s="145" t="s">
        <v>1274</v>
      </c>
      <c r="O609" s="125"/>
    </row>
    <row r="610" spans="1:15" ht="15" customHeight="1" x14ac:dyDescent="0.3">
      <c r="A610" s="90" t="s">
        <v>218</v>
      </c>
      <c r="B610" s="90" t="s">
        <v>1190</v>
      </c>
      <c r="C610" s="90" t="s">
        <v>1191</v>
      </c>
      <c r="D610" s="90" t="s">
        <v>1293</v>
      </c>
      <c r="E610" s="90" t="s">
        <v>1294</v>
      </c>
      <c r="F610" s="90" t="s">
        <v>1295</v>
      </c>
      <c r="G610" s="89">
        <v>203.86</v>
      </c>
      <c r="H610" s="141" t="str">
        <f t="shared" si="42"/>
        <v>114104835912</v>
      </c>
      <c r="I610" s="142">
        <v>0.11270000000000002</v>
      </c>
      <c r="J610" s="142" t="s">
        <v>1885</v>
      </c>
      <c r="K610" s="143">
        <f t="shared" si="39"/>
        <v>22.975022000000006</v>
      </c>
      <c r="L610" s="144">
        <f t="shared" si="40"/>
        <v>180.88497800000002</v>
      </c>
      <c r="M610" s="144">
        <f t="shared" si="41"/>
        <v>203.86</v>
      </c>
      <c r="N610" s="145" t="s">
        <v>1274</v>
      </c>
      <c r="O610" s="125"/>
    </row>
    <row r="611" spans="1:15" ht="15" customHeight="1" x14ac:dyDescent="0.3">
      <c r="A611" s="90" t="s">
        <v>218</v>
      </c>
      <c r="B611" s="90" t="s">
        <v>1201</v>
      </c>
      <c r="C611" s="90" t="s">
        <v>1202</v>
      </c>
      <c r="D611" s="90" t="s">
        <v>1296</v>
      </c>
      <c r="E611" s="90" t="s">
        <v>1297</v>
      </c>
      <c r="F611" s="90" t="s">
        <v>1298</v>
      </c>
      <c r="G611" s="89">
        <v>212.6</v>
      </c>
      <c r="H611" s="141" t="str">
        <f t="shared" si="42"/>
        <v>115154940912</v>
      </c>
      <c r="I611" s="142">
        <v>0.11160000000000003</v>
      </c>
      <c r="J611" s="142" t="s">
        <v>1871</v>
      </c>
      <c r="K611" s="143">
        <f t="shared" si="39"/>
        <v>23.726160000000007</v>
      </c>
      <c r="L611" s="144">
        <f t="shared" si="40"/>
        <v>188.87383999999997</v>
      </c>
      <c r="M611" s="144">
        <f t="shared" si="41"/>
        <v>212.59999999999997</v>
      </c>
      <c r="N611" s="145" t="s">
        <v>1274</v>
      </c>
      <c r="O611" s="125"/>
    </row>
    <row r="612" spans="1:15" ht="15" customHeight="1" x14ac:dyDescent="0.3">
      <c r="A612" s="90" t="s">
        <v>218</v>
      </c>
      <c r="B612" s="90" t="s">
        <v>1195</v>
      </c>
      <c r="C612" s="90" t="s">
        <v>1196</v>
      </c>
      <c r="D612" s="90" t="s">
        <v>1280</v>
      </c>
      <c r="E612" s="90" t="s">
        <v>704</v>
      </c>
      <c r="F612" s="90" t="s">
        <v>1281</v>
      </c>
      <c r="G612" s="89">
        <v>225.42</v>
      </c>
      <c r="H612" s="141" t="str">
        <f t="shared" si="42"/>
        <v>114201505912</v>
      </c>
      <c r="I612" s="142">
        <v>0.11160000000000003</v>
      </c>
      <c r="J612" s="142" t="s">
        <v>1871</v>
      </c>
      <c r="K612" s="143">
        <f t="shared" si="39"/>
        <v>25.156872000000007</v>
      </c>
      <c r="L612" s="144">
        <f t="shared" si="40"/>
        <v>200.26312799999999</v>
      </c>
      <c r="M612" s="144">
        <f t="shared" si="41"/>
        <v>225.42000000000002</v>
      </c>
      <c r="N612" s="145" t="s">
        <v>1274</v>
      </c>
      <c r="O612" s="125"/>
    </row>
    <row r="613" spans="1:15" ht="15" customHeight="1" x14ac:dyDescent="0.3">
      <c r="A613" s="90" t="s">
        <v>218</v>
      </c>
      <c r="B613" s="90" t="s">
        <v>688</v>
      </c>
      <c r="C613" s="90" t="s">
        <v>689</v>
      </c>
      <c r="D613" s="90" t="s">
        <v>1272</v>
      </c>
      <c r="E613" s="90" t="s">
        <v>929</v>
      </c>
      <c r="F613" s="90" t="s">
        <v>1273</v>
      </c>
      <c r="G613" s="89">
        <v>257.60000000000002</v>
      </c>
      <c r="H613" s="141" t="str">
        <f t="shared" si="42"/>
        <v>111001315912</v>
      </c>
      <c r="I613" s="142">
        <v>8.3600000000000008E-2</v>
      </c>
      <c r="J613" s="142" t="s">
        <v>1865</v>
      </c>
      <c r="K613" s="143">
        <f t="shared" si="39"/>
        <v>21.535360000000004</v>
      </c>
      <c r="L613" s="144">
        <f t="shared" si="40"/>
        <v>236.06464000000003</v>
      </c>
      <c r="M613" s="144">
        <f t="shared" si="41"/>
        <v>257.60000000000002</v>
      </c>
      <c r="N613" s="145" t="s">
        <v>1274</v>
      </c>
      <c r="O613" s="125"/>
    </row>
    <row r="614" spans="1:15" ht="15" customHeight="1" x14ac:dyDescent="0.3">
      <c r="A614" s="90" t="s">
        <v>218</v>
      </c>
      <c r="B614" s="90" t="s">
        <v>686</v>
      </c>
      <c r="C614" s="90" t="s">
        <v>687</v>
      </c>
      <c r="D614" s="90" t="s">
        <v>1299</v>
      </c>
      <c r="E614" s="90" t="s">
        <v>1234</v>
      </c>
      <c r="F614" s="90" t="s">
        <v>1300</v>
      </c>
      <c r="G614" s="89">
        <v>466.67</v>
      </c>
      <c r="H614" s="141" t="str">
        <f t="shared" si="42"/>
        <v>131005020912</v>
      </c>
      <c r="I614" s="142">
        <v>0.11209999999999998</v>
      </c>
      <c r="J614" s="142" t="s">
        <v>1864</v>
      </c>
      <c r="K614" s="143">
        <f t="shared" si="39"/>
        <v>52.313706999999994</v>
      </c>
      <c r="L614" s="144">
        <f t="shared" si="40"/>
        <v>414.35629300000005</v>
      </c>
      <c r="M614" s="144">
        <f t="shared" si="41"/>
        <v>466.67000000000007</v>
      </c>
      <c r="N614" s="145" t="s">
        <v>1274</v>
      </c>
      <c r="O614" s="125"/>
    </row>
    <row r="615" spans="1:15" ht="15" customHeight="1" x14ac:dyDescent="0.3">
      <c r="A615" s="90" t="s">
        <v>218</v>
      </c>
      <c r="B615" s="90" t="s">
        <v>1222</v>
      </c>
      <c r="C615" s="90" t="s">
        <v>1223</v>
      </c>
      <c r="D615" s="90" t="s">
        <v>1296</v>
      </c>
      <c r="E615" s="90" t="s">
        <v>1297</v>
      </c>
      <c r="F615" s="90" t="s">
        <v>1298</v>
      </c>
      <c r="G615" s="89">
        <v>784</v>
      </c>
      <c r="H615" s="141" t="str">
        <f t="shared" si="42"/>
        <v>113304940912</v>
      </c>
      <c r="I615" s="142">
        <v>0.11160000000000003</v>
      </c>
      <c r="J615" s="142" t="s">
        <v>1882</v>
      </c>
      <c r="K615" s="143">
        <f t="shared" si="39"/>
        <v>87.494400000000027</v>
      </c>
      <c r="L615" s="144">
        <f t="shared" si="40"/>
        <v>696.50559999999996</v>
      </c>
      <c r="M615" s="144">
        <f t="shared" si="41"/>
        <v>784</v>
      </c>
      <c r="N615" s="145" t="s">
        <v>1274</v>
      </c>
      <c r="O615" s="125"/>
    </row>
    <row r="616" spans="1:15" ht="15" customHeight="1" x14ac:dyDescent="0.3">
      <c r="A616" s="90" t="s">
        <v>218</v>
      </c>
      <c r="B616" s="90" t="s">
        <v>1266</v>
      </c>
      <c r="C616" s="90" t="s">
        <v>1267</v>
      </c>
      <c r="D616" s="90" t="s">
        <v>1293</v>
      </c>
      <c r="E616" s="90" t="s">
        <v>1294</v>
      </c>
      <c r="F616" s="90" t="s">
        <v>1295</v>
      </c>
      <c r="G616" s="89">
        <v>833.1</v>
      </c>
      <c r="H616" s="141" t="str">
        <f t="shared" si="42"/>
        <v>115404835912</v>
      </c>
      <c r="I616" s="142">
        <v>0.11160000000000003</v>
      </c>
      <c r="J616" s="142" t="s">
        <v>1871</v>
      </c>
      <c r="K616" s="143">
        <f t="shared" si="39"/>
        <v>92.973960000000034</v>
      </c>
      <c r="L616" s="144">
        <f t="shared" si="40"/>
        <v>740.12603999999999</v>
      </c>
      <c r="M616" s="144">
        <f t="shared" si="41"/>
        <v>833.1</v>
      </c>
      <c r="N616" s="145" t="s">
        <v>1274</v>
      </c>
      <c r="O616" s="125"/>
    </row>
    <row r="617" spans="1:15" ht="15" customHeight="1" x14ac:dyDescent="0.3">
      <c r="A617" s="90" t="s">
        <v>218</v>
      </c>
      <c r="B617" s="90" t="s">
        <v>1190</v>
      </c>
      <c r="C617" s="90" t="s">
        <v>1191</v>
      </c>
      <c r="D617" s="90" t="s">
        <v>1282</v>
      </c>
      <c r="E617" s="90" t="s">
        <v>1231</v>
      </c>
      <c r="F617" s="90" t="s">
        <v>1283</v>
      </c>
      <c r="G617" s="89">
        <v>835.99</v>
      </c>
      <c r="H617" s="141" t="str">
        <f t="shared" si="42"/>
        <v>114105015912</v>
      </c>
      <c r="I617" s="142">
        <v>0.11270000000000002</v>
      </c>
      <c r="J617" s="142" t="s">
        <v>1885</v>
      </c>
      <c r="K617" s="143">
        <f t="shared" si="39"/>
        <v>94.216073000000023</v>
      </c>
      <c r="L617" s="144">
        <f t="shared" si="40"/>
        <v>741.77392699999996</v>
      </c>
      <c r="M617" s="144">
        <f t="shared" si="41"/>
        <v>835.99</v>
      </c>
      <c r="N617" s="145" t="s">
        <v>1274</v>
      </c>
      <c r="O617" s="125"/>
    </row>
    <row r="618" spans="1:15" ht="15" customHeight="1" x14ac:dyDescent="0.3">
      <c r="A618" s="90" t="s">
        <v>218</v>
      </c>
      <c r="B618" s="90" t="s">
        <v>1301</v>
      </c>
      <c r="C618" s="90" t="s">
        <v>1302</v>
      </c>
      <c r="D618" s="90" t="s">
        <v>1303</v>
      </c>
      <c r="E618" s="90" t="s">
        <v>769</v>
      </c>
      <c r="F618" s="90" t="s">
        <v>1304</v>
      </c>
      <c r="G618" s="89">
        <v>1573.62</v>
      </c>
      <c r="H618" s="141" t="str">
        <f t="shared" si="42"/>
        <v>340001670912</v>
      </c>
      <c r="I618" s="142">
        <v>0.11208</v>
      </c>
      <c r="J618" s="142" t="s">
        <v>1862</v>
      </c>
      <c r="K618" s="143">
        <f t="shared" si="39"/>
        <v>176.3713296</v>
      </c>
      <c r="L618" s="144">
        <f t="shared" si="40"/>
        <v>1397.2486703999998</v>
      </c>
      <c r="M618" s="144">
        <f t="shared" si="41"/>
        <v>1573.62</v>
      </c>
      <c r="N618" s="145" t="s">
        <v>1274</v>
      </c>
      <c r="O618" s="125"/>
    </row>
    <row r="619" spans="1:15" ht="15" customHeight="1" x14ac:dyDescent="0.3">
      <c r="A619" s="90" t="s">
        <v>218</v>
      </c>
      <c r="B619" s="90" t="s">
        <v>945</v>
      </c>
      <c r="C619" s="90" t="s">
        <v>946</v>
      </c>
      <c r="D619" s="90" t="s">
        <v>1280</v>
      </c>
      <c r="E619" s="90" t="s">
        <v>704</v>
      </c>
      <c r="F619" s="90" t="s">
        <v>1281</v>
      </c>
      <c r="G619" s="89">
        <v>2205.12</v>
      </c>
      <c r="H619" s="141" t="str">
        <f t="shared" si="42"/>
        <v>520101505912</v>
      </c>
      <c r="I619" s="142">
        <v>0.11209999999999998</v>
      </c>
      <c r="J619" s="142" t="s">
        <v>1864</v>
      </c>
      <c r="K619" s="143">
        <f t="shared" si="39"/>
        <v>247.19395199999994</v>
      </c>
      <c r="L619" s="144">
        <f t="shared" si="40"/>
        <v>1957.926048</v>
      </c>
      <c r="M619" s="144">
        <f t="shared" si="41"/>
        <v>2205.12</v>
      </c>
      <c r="N619" s="145" t="s">
        <v>1274</v>
      </c>
      <c r="O619" s="125"/>
    </row>
    <row r="620" spans="1:15" ht="15" customHeight="1" x14ac:dyDescent="0.3">
      <c r="A620" s="90" t="s">
        <v>218</v>
      </c>
      <c r="B620" s="90" t="s">
        <v>1222</v>
      </c>
      <c r="C620" s="90" t="s">
        <v>1223</v>
      </c>
      <c r="D620" s="90" t="s">
        <v>1305</v>
      </c>
      <c r="E620" s="90" t="s">
        <v>1306</v>
      </c>
      <c r="F620" s="90" t="s">
        <v>1307</v>
      </c>
      <c r="G620" s="89">
        <v>3511.65</v>
      </c>
      <c r="H620" s="141" t="str">
        <f t="shared" si="42"/>
        <v>113305025912</v>
      </c>
      <c r="I620" s="142">
        <v>0.11270000000000002</v>
      </c>
      <c r="J620" s="142" t="s">
        <v>1889</v>
      </c>
      <c r="K620" s="143">
        <f t="shared" si="39"/>
        <v>395.76295500000009</v>
      </c>
      <c r="L620" s="144">
        <f t="shared" si="40"/>
        <v>3115.8870449999999</v>
      </c>
      <c r="M620" s="144">
        <f t="shared" si="41"/>
        <v>3511.65</v>
      </c>
      <c r="N620" s="145" t="s">
        <v>1274</v>
      </c>
      <c r="O620" s="125"/>
    </row>
    <row r="621" spans="1:15" ht="15" customHeight="1" x14ac:dyDescent="0.3">
      <c r="A621" s="90" t="s">
        <v>218</v>
      </c>
      <c r="B621" s="90" t="s">
        <v>1226</v>
      </c>
      <c r="C621" s="90" t="s">
        <v>1227</v>
      </c>
      <c r="D621" s="90" t="s">
        <v>1299</v>
      </c>
      <c r="E621" s="90" t="s">
        <v>1234</v>
      </c>
      <c r="F621" s="90" t="s">
        <v>1300</v>
      </c>
      <c r="G621" s="89">
        <v>5489.88</v>
      </c>
      <c r="H621" s="141" t="str">
        <f t="shared" si="42"/>
        <v>114305020912</v>
      </c>
      <c r="I621" s="142">
        <v>0.11160000000000003</v>
      </c>
      <c r="J621" s="142" t="s">
        <v>1871</v>
      </c>
      <c r="K621" s="143">
        <f t="shared" si="39"/>
        <v>612.67060800000024</v>
      </c>
      <c r="L621" s="144">
        <f t="shared" si="40"/>
        <v>4877.2093919999998</v>
      </c>
      <c r="M621" s="144">
        <f t="shared" si="41"/>
        <v>5489.88</v>
      </c>
      <c r="N621" s="145" t="s">
        <v>1274</v>
      </c>
      <c r="O621" s="125"/>
    </row>
    <row r="622" spans="1:15" ht="15" customHeight="1" x14ac:dyDescent="0.3">
      <c r="A622" s="90" t="s">
        <v>218</v>
      </c>
      <c r="B622" s="90" t="s">
        <v>1266</v>
      </c>
      <c r="C622" s="90" t="s">
        <v>1267</v>
      </c>
      <c r="D622" s="90" t="s">
        <v>1286</v>
      </c>
      <c r="E622" s="90" t="s">
        <v>1287</v>
      </c>
      <c r="F622" s="90" t="s">
        <v>1288</v>
      </c>
      <c r="G622" s="89">
        <v>9509.2100000000009</v>
      </c>
      <c r="H622" s="141" t="str">
        <f t="shared" si="42"/>
        <v>115404870912</v>
      </c>
      <c r="I622" s="142">
        <v>0</v>
      </c>
      <c r="J622" s="142" t="s">
        <v>1863</v>
      </c>
      <c r="K622" s="143">
        <f t="shared" si="39"/>
        <v>0</v>
      </c>
      <c r="L622" s="144">
        <f t="shared" si="40"/>
        <v>9509.2100000000009</v>
      </c>
      <c r="M622" s="144">
        <f t="shared" si="41"/>
        <v>9509.2100000000009</v>
      </c>
      <c r="N622" s="145" t="s">
        <v>1274</v>
      </c>
      <c r="O622" s="125"/>
    </row>
    <row r="623" spans="1:15" ht="15" customHeight="1" x14ac:dyDescent="0.3">
      <c r="A623" s="90" t="s">
        <v>218</v>
      </c>
      <c r="B623" s="90" t="s">
        <v>1266</v>
      </c>
      <c r="C623" s="90" t="s">
        <v>1267</v>
      </c>
      <c r="D623" s="90" t="s">
        <v>1308</v>
      </c>
      <c r="E623" s="90" t="s">
        <v>1309</v>
      </c>
      <c r="F623" s="90" t="s">
        <v>1310</v>
      </c>
      <c r="G623" s="89">
        <v>11789.84</v>
      </c>
      <c r="H623" s="141" t="str">
        <f t="shared" si="42"/>
        <v>115404865912</v>
      </c>
      <c r="I623" s="142">
        <v>0.11270000000000002</v>
      </c>
      <c r="J623" s="142" t="s">
        <v>1885</v>
      </c>
      <c r="K623" s="143">
        <f t="shared" si="39"/>
        <v>1328.7149680000002</v>
      </c>
      <c r="L623" s="144">
        <f t="shared" si="40"/>
        <v>10461.125032</v>
      </c>
      <c r="M623" s="144">
        <f t="shared" si="41"/>
        <v>11789.84</v>
      </c>
      <c r="N623" s="145" t="s">
        <v>1274</v>
      </c>
      <c r="O623" s="125"/>
    </row>
    <row r="624" spans="1:15" ht="15" customHeight="1" x14ac:dyDescent="0.3">
      <c r="A624" s="90" t="s">
        <v>218</v>
      </c>
      <c r="B624" s="90" t="s">
        <v>1190</v>
      </c>
      <c r="C624" s="90" t="s">
        <v>1191</v>
      </c>
      <c r="D624" s="90" t="s">
        <v>1280</v>
      </c>
      <c r="E624" s="90" t="s">
        <v>704</v>
      </c>
      <c r="F624" s="90" t="s">
        <v>1281</v>
      </c>
      <c r="G624" s="89">
        <v>17786.7</v>
      </c>
      <c r="H624" s="141" t="str">
        <f t="shared" si="42"/>
        <v>114101505912</v>
      </c>
      <c r="I624" s="142">
        <v>0.11270000000000002</v>
      </c>
      <c r="J624" s="142" t="s">
        <v>1885</v>
      </c>
      <c r="K624" s="143">
        <f t="shared" si="39"/>
        <v>2004.5610900000004</v>
      </c>
      <c r="L624" s="144">
        <f t="shared" si="40"/>
        <v>15782.13891</v>
      </c>
      <c r="M624" s="144">
        <f t="shared" si="41"/>
        <v>17786.7</v>
      </c>
      <c r="N624" s="145" t="s">
        <v>1274</v>
      </c>
      <c r="O624" s="125"/>
    </row>
    <row r="625" spans="1:15" ht="15" customHeight="1" x14ac:dyDescent="0.3">
      <c r="A625" s="90" t="s">
        <v>218</v>
      </c>
      <c r="B625" s="90" t="s">
        <v>1266</v>
      </c>
      <c r="C625" s="90" t="s">
        <v>1267</v>
      </c>
      <c r="D625" s="90" t="s">
        <v>1311</v>
      </c>
      <c r="E625" s="90" t="s">
        <v>1312</v>
      </c>
      <c r="F625" s="90" t="s">
        <v>1313</v>
      </c>
      <c r="G625" s="89">
        <v>26352.74</v>
      </c>
      <c r="H625" s="141" t="str">
        <f t="shared" si="42"/>
        <v>115401215912</v>
      </c>
      <c r="I625" s="142">
        <v>0.11270000000000002</v>
      </c>
      <c r="J625" s="142" t="s">
        <v>1885</v>
      </c>
      <c r="K625" s="143">
        <f t="shared" si="39"/>
        <v>2969.9537980000009</v>
      </c>
      <c r="L625" s="144">
        <f t="shared" si="40"/>
        <v>23382.786201999999</v>
      </c>
      <c r="M625" s="144">
        <f t="shared" si="41"/>
        <v>26352.74</v>
      </c>
      <c r="N625" s="145" t="s">
        <v>1274</v>
      </c>
      <c r="O625" s="125"/>
    </row>
    <row r="626" spans="1:15" ht="15" customHeight="1" x14ac:dyDescent="0.3">
      <c r="A626" s="90" t="s">
        <v>218</v>
      </c>
      <c r="B626" s="90" t="s">
        <v>1228</v>
      </c>
      <c r="C626" s="90" t="s">
        <v>1229</v>
      </c>
      <c r="D626" s="90" t="s">
        <v>1282</v>
      </c>
      <c r="E626" s="90" t="s">
        <v>1231</v>
      </c>
      <c r="F626" s="90" t="s">
        <v>1283</v>
      </c>
      <c r="G626" s="89">
        <v>36969.230000000003</v>
      </c>
      <c r="H626" s="141" t="str">
        <f t="shared" si="42"/>
        <v>154915015912</v>
      </c>
      <c r="I626" s="142">
        <v>0.11160000000000003</v>
      </c>
      <c r="J626" s="142" t="s">
        <v>1871</v>
      </c>
      <c r="K626" s="143">
        <f t="shared" si="39"/>
        <v>4125.7660680000017</v>
      </c>
      <c r="L626" s="144">
        <f t="shared" si="40"/>
        <v>32843.463931999999</v>
      </c>
      <c r="M626" s="144">
        <f t="shared" si="41"/>
        <v>36969.230000000003</v>
      </c>
      <c r="N626" s="145" t="s">
        <v>1274</v>
      </c>
      <c r="O626" s="125"/>
    </row>
    <row r="627" spans="1:15" ht="15" customHeight="1" x14ac:dyDescent="0.3">
      <c r="A627" s="90" t="s">
        <v>218</v>
      </c>
      <c r="B627" s="90" t="s">
        <v>1228</v>
      </c>
      <c r="C627" s="90" t="s">
        <v>1229</v>
      </c>
      <c r="D627" s="90" t="s">
        <v>1299</v>
      </c>
      <c r="E627" s="90" t="s">
        <v>1234</v>
      </c>
      <c r="F627" s="90" t="s">
        <v>1300</v>
      </c>
      <c r="G627" s="89">
        <v>36969.230000000003</v>
      </c>
      <c r="H627" s="141" t="str">
        <f t="shared" si="42"/>
        <v>154915020912</v>
      </c>
      <c r="I627" s="142">
        <v>0.11160000000000003</v>
      </c>
      <c r="J627" s="142" t="s">
        <v>1871</v>
      </c>
      <c r="K627" s="143">
        <f t="shared" si="39"/>
        <v>4125.7660680000017</v>
      </c>
      <c r="L627" s="144">
        <f t="shared" si="40"/>
        <v>32843.463931999999</v>
      </c>
      <c r="M627" s="144">
        <f t="shared" si="41"/>
        <v>36969.230000000003</v>
      </c>
      <c r="N627" s="145" t="s">
        <v>1274</v>
      </c>
      <c r="O627" s="125"/>
    </row>
    <row r="628" spans="1:15" ht="15" customHeight="1" x14ac:dyDescent="0.3">
      <c r="A628" s="90" t="s">
        <v>218</v>
      </c>
      <c r="B628" s="90" t="s">
        <v>1241</v>
      </c>
      <c r="C628" s="90" t="s">
        <v>1242</v>
      </c>
      <c r="D628" s="90" t="s">
        <v>1280</v>
      </c>
      <c r="E628" s="90" t="s">
        <v>704</v>
      </c>
      <c r="F628" s="90" t="s">
        <v>1281</v>
      </c>
      <c r="G628" s="89">
        <v>74000</v>
      </c>
      <c r="H628" s="141" t="str">
        <f t="shared" si="42"/>
        <v>113251505912</v>
      </c>
      <c r="I628" s="142">
        <v>8.3899999999999975E-2</v>
      </c>
      <c r="J628" s="142" t="s">
        <v>1880</v>
      </c>
      <c r="K628" s="143">
        <f t="shared" si="39"/>
        <v>6208.5999999999985</v>
      </c>
      <c r="L628" s="144">
        <f t="shared" si="40"/>
        <v>67791.399999999994</v>
      </c>
      <c r="M628" s="144">
        <f t="shared" si="41"/>
        <v>74000</v>
      </c>
      <c r="N628" s="145" t="s">
        <v>1274</v>
      </c>
      <c r="O628" s="125"/>
    </row>
    <row r="629" spans="1:15" ht="15" customHeight="1" x14ac:dyDescent="0.3">
      <c r="A629" s="90" t="s">
        <v>218</v>
      </c>
      <c r="B629" s="90" t="s">
        <v>1222</v>
      </c>
      <c r="C629" s="90" t="s">
        <v>1223</v>
      </c>
      <c r="D629" s="90" t="s">
        <v>1282</v>
      </c>
      <c r="E629" s="90" t="s">
        <v>1231</v>
      </c>
      <c r="F629" s="90" t="s">
        <v>1283</v>
      </c>
      <c r="G629" s="89">
        <v>100391.85999999999</v>
      </c>
      <c r="H629" s="141" t="str">
        <f t="shared" si="42"/>
        <v>113305015912</v>
      </c>
      <c r="I629" s="142">
        <v>0.11160000000000003</v>
      </c>
      <c r="J629" s="142" t="s">
        <v>1871</v>
      </c>
      <c r="K629" s="143">
        <f t="shared" si="39"/>
        <v>11203.731576000002</v>
      </c>
      <c r="L629" s="144">
        <f t="shared" si="40"/>
        <v>89188.12842399998</v>
      </c>
      <c r="M629" s="144">
        <f t="shared" si="41"/>
        <v>100391.85999999999</v>
      </c>
      <c r="N629" s="145" t="s">
        <v>1274</v>
      </c>
      <c r="O629" s="125"/>
    </row>
    <row r="630" spans="1:15" ht="15" customHeight="1" x14ac:dyDescent="0.3">
      <c r="A630" s="90" t="s">
        <v>218</v>
      </c>
      <c r="B630" s="90" t="s">
        <v>1201</v>
      </c>
      <c r="C630" s="90" t="s">
        <v>1202</v>
      </c>
      <c r="D630" s="90" t="s">
        <v>1280</v>
      </c>
      <c r="E630" s="90" t="s">
        <v>704</v>
      </c>
      <c r="F630" s="90" t="s">
        <v>1281</v>
      </c>
      <c r="G630" s="89">
        <v>127293.73</v>
      </c>
      <c r="H630" s="141" t="str">
        <f t="shared" si="42"/>
        <v>115151505912</v>
      </c>
      <c r="I630" s="142">
        <v>0.11160000000000003</v>
      </c>
      <c r="J630" s="142" t="s">
        <v>1871</v>
      </c>
      <c r="K630" s="143">
        <f t="shared" si="39"/>
        <v>14205.980268000003</v>
      </c>
      <c r="L630" s="144">
        <f t="shared" si="40"/>
        <v>113087.749732</v>
      </c>
      <c r="M630" s="144">
        <f t="shared" si="41"/>
        <v>127293.73</v>
      </c>
      <c r="N630" s="145" t="s">
        <v>1274</v>
      </c>
      <c r="O630" s="125"/>
    </row>
    <row r="631" spans="1:15" ht="15" customHeight="1" x14ac:dyDescent="0.3">
      <c r="A631" s="90" t="s">
        <v>218</v>
      </c>
      <c r="B631" s="90" t="s">
        <v>1266</v>
      </c>
      <c r="C631" s="90" t="s">
        <v>1267</v>
      </c>
      <c r="D631" s="90" t="s">
        <v>1296</v>
      </c>
      <c r="E631" s="90" t="s">
        <v>1297</v>
      </c>
      <c r="F631" s="90" t="s">
        <v>1298</v>
      </c>
      <c r="G631" s="89">
        <v>136694.40000000002</v>
      </c>
      <c r="H631" s="141" t="str">
        <f t="shared" si="42"/>
        <v>115404940912</v>
      </c>
      <c r="I631" s="142">
        <v>0.11160000000000003</v>
      </c>
      <c r="J631" s="142" t="s">
        <v>1871</v>
      </c>
      <c r="K631" s="143">
        <f t="shared" si="39"/>
        <v>15255.095040000007</v>
      </c>
      <c r="L631" s="144">
        <f t="shared" si="40"/>
        <v>121439.30496000001</v>
      </c>
      <c r="M631" s="144">
        <f t="shared" si="41"/>
        <v>136694.40000000002</v>
      </c>
      <c r="N631" s="145" t="s">
        <v>1274</v>
      </c>
      <c r="O631" s="125"/>
    </row>
    <row r="632" spans="1:15" ht="15" customHeight="1" x14ac:dyDescent="0.3">
      <c r="A632" s="90" t="s">
        <v>218</v>
      </c>
      <c r="B632" s="90" t="s">
        <v>1222</v>
      </c>
      <c r="C632" s="90" t="s">
        <v>1223</v>
      </c>
      <c r="D632" s="90" t="s">
        <v>1280</v>
      </c>
      <c r="E632" s="90" t="s">
        <v>704</v>
      </c>
      <c r="F632" s="90" t="s">
        <v>1281</v>
      </c>
      <c r="G632" s="89">
        <v>146947.25</v>
      </c>
      <c r="H632" s="141" t="str">
        <f t="shared" si="42"/>
        <v>113301505912</v>
      </c>
      <c r="I632" s="142">
        <v>0.11160000000000003</v>
      </c>
      <c r="J632" s="142" t="s">
        <v>1871</v>
      </c>
      <c r="K632" s="143">
        <f t="shared" si="39"/>
        <v>16399.313100000003</v>
      </c>
      <c r="L632" s="144">
        <f t="shared" si="40"/>
        <v>130547.9369</v>
      </c>
      <c r="M632" s="144">
        <f t="shared" si="41"/>
        <v>146947.25</v>
      </c>
      <c r="N632" s="145" t="s">
        <v>1274</v>
      </c>
      <c r="O632" s="125"/>
    </row>
    <row r="633" spans="1:15" ht="15" customHeight="1" x14ac:dyDescent="0.3">
      <c r="A633" s="90" t="s">
        <v>218</v>
      </c>
      <c r="B633" s="90" t="s">
        <v>1266</v>
      </c>
      <c r="C633" s="90" t="s">
        <v>1267</v>
      </c>
      <c r="D633" s="90" t="s">
        <v>1314</v>
      </c>
      <c r="E633" s="90" t="s">
        <v>1315</v>
      </c>
      <c r="F633" s="90" t="s">
        <v>1316</v>
      </c>
      <c r="G633" s="146">
        <v>248859.89</v>
      </c>
      <c r="H633" s="141" t="str">
        <f t="shared" si="42"/>
        <v>115404765912</v>
      </c>
      <c r="I633" s="142">
        <v>0.11160000000000003</v>
      </c>
      <c r="J633" s="142" t="s">
        <v>1871</v>
      </c>
      <c r="K633" s="143">
        <f t="shared" si="39"/>
        <v>27772.763724000011</v>
      </c>
      <c r="L633" s="144">
        <f t="shared" si="40"/>
        <v>221087.126276</v>
      </c>
      <c r="M633" s="144">
        <f t="shared" si="41"/>
        <v>248859.89</v>
      </c>
      <c r="N633" s="147" t="s">
        <v>1274</v>
      </c>
      <c r="O633" s="148"/>
    </row>
    <row r="634" spans="1:15" ht="15" customHeight="1" x14ac:dyDescent="0.3">
      <c r="A634" s="90" t="s">
        <v>218</v>
      </c>
      <c r="B634" s="90" t="s">
        <v>1266</v>
      </c>
      <c r="C634" s="90" t="s">
        <v>1267</v>
      </c>
      <c r="D634" s="90" t="s">
        <v>1272</v>
      </c>
      <c r="E634" s="90" t="s">
        <v>929</v>
      </c>
      <c r="F634" s="90" t="s">
        <v>1273</v>
      </c>
      <c r="G634" s="89">
        <v>279118.42</v>
      </c>
      <c r="H634" s="141" t="str">
        <f t="shared" si="42"/>
        <v>115401315912</v>
      </c>
      <c r="I634" s="142">
        <v>0.11160000000000003</v>
      </c>
      <c r="J634" s="142" t="s">
        <v>1871</v>
      </c>
      <c r="K634" s="143">
        <f t="shared" si="39"/>
        <v>31149.615672000007</v>
      </c>
      <c r="L634" s="144">
        <f t="shared" si="40"/>
        <v>247968.80432799997</v>
      </c>
      <c r="M634" s="144">
        <f t="shared" si="41"/>
        <v>279118.42</v>
      </c>
      <c r="N634" s="145" t="s">
        <v>1274</v>
      </c>
      <c r="O634" s="125"/>
    </row>
    <row r="635" spans="1:15" ht="15" customHeight="1" x14ac:dyDescent="0.3">
      <c r="A635" s="90" t="s">
        <v>218</v>
      </c>
      <c r="B635" s="90" t="s">
        <v>1201</v>
      </c>
      <c r="C635" s="90" t="s">
        <v>1202</v>
      </c>
      <c r="D635" s="90" t="s">
        <v>1299</v>
      </c>
      <c r="E635" s="90" t="s">
        <v>1234</v>
      </c>
      <c r="F635" s="90" t="s">
        <v>1300</v>
      </c>
      <c r="G635" s="89">
        <v>386091.14</v>
      </c>
      <c r="H635" s="141" t="str">
        <f t="shared" si="42"/>
        <v>115155020912</v>
      </c>
      <c r="I635" s="142">
        <v>0.11160000000000003</v>
      </c>
      <c r="J635" s="142" t="s">
        <v>1871</v>
      </c>
      <c r="K635" s="143">
        <f t="shared" si="39"/>
        <v>43087.771224000011</v>
      </c>
      <c r="L635" s="144">
        <f t="shared" si="40"/>
        <v>343003.36877599999</v>
      </c>
      <c r="M635" s="144">
        <f t="shared" si="41"/>
        <v>386091.14</v>
      </c>
      <c r="N635" s="145" t="s">
        <v>1274</v>
      </c>
      <c r="O635" s="125"/>
    </row>
    <row r="636" spans="1:15" ht="15" customHeight="1" x14ac:dyDescent="0.3">
      <c r="A636" s="90" t="s">
        <v>218</v>
      </c>
      <c r="B636" s="90" t="s">
        <v>1201</v>
      </c>
      <c r="C636" s="90" t="s">
        <v>1202</v>
      </c>
      <c r="D636" s="90" t="s">
        <v>1282</v>
      </c>
      <c r="E636" s="90" t="s">
        <v>1231</v>
      </c>
      <c r="F636" s="90" t="s">
        <v>1283</v>
      </c>
      <c r="G636" s="89">
        <v>823055.58000000007</v>
      </c>
      <c r="H636" s="141" t="str">
        <f t="shared" si="42"/>
        <v>115155015912</v>
      </c>
      <c r="I636" s="142">
        <v>0.11160000000000003</v>
      </c>
      <c r="J636" s="142" t="s">
        <v>1871</v>
      </c>
      <c r="K636" s="143">
        <f t="shared" si="39"/>
        <v>91853.002728000036</v>
      </c>
      <c r="L636" s="144">
        <f t="shared" si="40"/>
        <v>731202.57727200002</v>
      </c>
      <c r="M636" s="144">
        <f t="shared" si="41"/>
        <v>823055.58000000007</v>
      </c>
      <c r="N636" s="145" t="s">
        <v>1274</v>
      </c>
      <c r="O636" s="125"/>
    </row>
    <row r="637" spans="1:15" ht="15" customHeight="1" x14ac:dyDescent="0.3">
      <c r="A637" s="90" t="s">
        <v>218</v>
      </c>
      <c r="B637" s="90" t="s">
        <v>1222</v>
      </c>
      <c r="C637" s="90" t="s">
        <v>1223</v>
      </c>
      <c r="D637" s="90" t="s">
        <v>1299</v>
      </c>
      <c r="E637" s="90" t="s">
        <v>1234</v>
      </c>
      <c r="F637" s="90" t="s">
        <v>1300</v>
      </c>
      <c r="G637" s="89">
        <v>1217837.3600000001</v>
      </c>
      <c r="H637" s="141" t="str">
        <f t="shared" si="42"/>
        <v>113305020912</v>
      </c>
      <c r="I637" s="142">
        <v>0.11160000000000003</v>
      </c>
      <c r="J637" s="142" t="s">
        <v>1871</v>
      </c>
      <c r="K637" s="143">
        <f t="shared" si="39"/>
        <v>135910.64937600004</v>
      </c>
      <c r="L637" s="144">
        <f t="shared" si="40"/>
        <v>1081926.7106240001</v>
      </c>
      <c r="M637" s="144">
        <f t="shared" si="41"/>
        <v>1217837.3600000001</v>
      </c>
      <c r="N637" s="145" t="s">
        <v>1274</v>
      </c>
      <c r="O637" s="125"/>
    </row>
    <row r="638" spans="1:15" ht="15" customHeight="1" x14ac:dyDescent="0.3">
      <c r="A638" s="90" t="s">
        <v>220</v>
      </c>
      <c r="B638" s="90" t="s">
        <v>717</v>
      </c>
      <c r="C638" s="90" t="s">
        <v>718</v>
      </c>
      <c r="D638" s="90" t="s">
        <v>1317</v>
      </c>
      <c r="E638" s="90" t="s">
        <v>1252</v>
      </c>
      <c r="F638" s="90" t="s">
        <v>1318</v>
      </c>
      <c r="G638" s="89">
        <v>33</v>
      </c>
      <c r="H638" s="141" t="str">
        <f t="shared" si="42"/>
        <v>115501000913</v>
      </c>
      <c r="I638" s="142">
        <v>0.11270000000000002</v>
      </c>
      <c r="J638" s="142" t="s">
        <v>1885</v>
      </c>
      <c r="K638" s="143">
        <f t="shared" si="39"/>
        <v>3.719100000000001</v>
      </c>
      <c r="L638" s="144">
        <f t="shared" si="40"/>
        <v>29.280899999999999</v>
      </c>
      <c r="M638" s="144">
        <f t="shared" si="41"/>
        <v>33</v>
      </c>
      <c r="N638" s="145" t="s">
        <v>1319</v>
      </c>
      <c r="O638" s="125"/>
    </row>
    <row r="639" spans="1:15" ht="15" customHeight="1" x14ac:dyDescent="0.3">
      <c r="A639" s="90" t="s">
        <v>220</v>
      </c>
      <c r="B639" s="90" t="s">
        <v>717</v>
      </c>
      <c r="C639" s="90" t="s">
        <v>718</v>
      </c>
      <c r="D639" s="90" t="s">
        <v>1320</v>
      </c>
      <c r="E639" s="90" t="s">
        <v>1258</v>
      </c>
      <c r="F639" s="90" t="s">
        <v>1321</v>
      </c>
      <c r="G639" s="89">
        <v>695.75</v>
      </c>
      <c r="H639" s="141" t="str">
        <f t="shared" si="42"/>
        <v>115508000913</v>
      </c>
      <c r="I639" s="142">
        <v>0.11160000000000003</v>
      </c>
      <c r="J639" s="142" t="s">
        <v>1871</v>
      </c>
      <c r="K639" s="143">
        <f t="shared" si="39"/>
        <v>77.645700000000019</v>
      </c>
      <c r="L639" s="144">
        <f t="shared" si="40"/>
        <v>618.10429999999997</v>
      </c>
      <c r="M639" s="144">
        <f t="shared" si="41"/>
        <v>695.75</v>
      </c>
      <c r="N639" s="145" t="s">
        <v>1319</v>
      </c>
      <c r="O639" s="125"/>
    </row>
    <row r="640" spans="1:15" ht="15" customHeight="1" x14ac:dyDescent="0.3">
      <c r="A640" s="90" t="s">
        <v>220</v>
      </c>
      <c r="B640" s="90" t="s">
        <v>717</v>
      </c>
      <c r="C640" s="90" t="s">
        <v>718</v>
      </c>
      <c r="D640" s="90" t="s">
        <v>1322</v>
      </c>
      <c r="E640" s="90" t="s">
        <v>1255</v>
      </c>
      <c r="F640" s="90" t="s">
        <v>1323</v>
      </c>
      <c r="G640" s="89">
        <v>86646.56</v>
      </c>
      <c r="H640" s="141" t="str">
        <f t="shared" si="42"/>
        <v>115500000913</v>
      </c>
      <c r="I640" s="142">
        <v>0.11160000000000003</v>
      </c>
      <c r="J640" s="142" t="s">
        <v>1871</v>
      </c>
      <c r="K640" s="143">
        <f t="shared" si="39"/>
        <v>9669.7560960000028</v>
      </c>
      <c r="L640" s="144">
        <f t="shared" si="40"/>
        <v>76976.803904</v>
      </c>
      <c r="M640" s="144">
        <f t="shared" si="41"/>
        <v>86646.56</v>
      </c>
      <c r="N640" s="145" t="s">
        <v>1319</v>
      </c>
      <c r="O640" s="125"/>
    </row>
    <row r="641" spans="1:15" ht="15" customHeight="1" x14ac:dyDescent="0.3">
      <c r="A641" s="90" t="s">
        <v>220</v>
      </c>
      <c r="B641" s="90" t="s">
        <v>717</v>
      </c>
      <c r="C641" s="90" t="s">
        <v>718</v>
      </c>
      <c r="D641" s="90" t="s">
        <v>1324</v>
      </c>
      <c r="E641" s="90" t="s">
        <v>1325</v>
      </c>
      <c r="F641" s="90" t="s">
        <v>1326</v>
      </c>
      <c r="G641" s="89">
        <v>364698.05000000005</v>
      </c>
      <c r="H641" s="141" t="str">
        <f t="shared" si="42"/>
        <v>115506000913</v>
      </c>
      <c r="I641" s="142">
        <v>0.11160000000000003</v>
      </c>
      <c r="J641" s="142" t="s">
        <v>1871</v>
      </c>
      <c r="K641" s="143">
        <f t="shared" si="39"/>
        <v>40700.302380000016</v>
      </c>
      <c r="L641" s="144">
        <f t="shared" si="40"/>
        <v>323997.74762000004</v>
      </c>
      <c r="M641" s="144">
        <f t="shared" si="41"/>
        <v>364698.05000000005</v>
      </c>
      <c r="N641" s="145" t="s">
        <v>1319</v>
      </c>
      <c r="O641" s="125"/>
    </row>
    <row r="642" spans="1:15" ht="15" customHeight="1" x14ac:dyDescent="0.3">
      <c r="A642" s="90" t="s">
        <v>225</v>
      </c>
      <c r="B642" s="90" t="s">
        <v>1327</v>
      </c>
      <c r="C642" s="90" t="s">
        <v>1328</v>
      </c>
      <c r="D642" s="90" t="s">
        <v>1329</v>
      </c>
      <c r="E642" s="90" t="s">
        <v>704</v>
      </c>
      <c r="F642" s="90" t="s">
        <v>1330</v>
      </c>
      <c r="G642" s="89">
        <v>-88375</v>
      </c>
      <c r="H642" s="141" t="str">
        <f t="shared" si="42"/>
        <v>160001505921</v>
      </c>
      <c r="I642" s="142">
        <v>0.11209999999999998</v>
      </c>
      <c r="J642" s="142" t="s">
        <v>308</v>
      </c>
      <c r="K642" s="143">
        <f t="shared" si="39"/>
        <v>-9906.8374999999978</v>
      </c>
      <c r="L642" s="144">
        <f t="shared" si="40"/>
        <v>-78468.162500000006</v>
      </c>
      <c r="M642" s="144">
        <f t="shared" si="41"/>
        <v>-88375</v>
      </c>
      <c r="N642" s="145" t="s">
        <v>1331</v>
      </c>
      <c r="O642" s="125"/>
    </row>
    <row r="643" spans="1:15" ht="15" customHeight="1" x14ac:dyDescent="0.3">
      <c r="A643" s="90" t="s">
        <v>225</v>
      </c>
      <c r="B643" s="90" t="s">
        <v>1332</v>
      </c>
      <c r="C643" s="90" t="s">
        <v>1333</v>
      </c>
      <c r="D643" s="90" t="s">
        <v>1329</v>
      </c>
      <c r="E643" s="90" t="s">
        <v>704</v>
      </c>
      <c r="F643" s="90" t="s">
        <v>1330</v>
      </c>
      <c r="G643" s="89">
        <v>-79946.990000000005</v>
      </c>
      <c r="H643" s="141" t="str">
        <f t="shared" si="42"/>
        <v>840891505921</v>
      </c>
      <c r="I643" s="142">
        <v>0.11209999999999998</v>
      </c>
      <c r="J643" s="142" t="s">
        <v>1864</v>
      </c>
      <c r="K643" s="143">
        <f t="shared" si="39"/>
        <v>-8962.0575789999984</v>
      </c>
      <c r="L643" s="144">
        <f t="shared" si="40"/>
        <v>-70984.932421000005</v>
      </c>
      <c r="M643" s="144">
        <f t="shared" si="41"/>
        <v>-79946.990000000005</v>
      </c>
      <c r="N643" s="145" t="s">
        <v>1331</v>
      </c>
      <c r="O643" s="125"/>
    </row>
    <row r="644" spans="1:15" ht="15" customHeight="1" x14ac:dyDescent="0.3">
      <c r="A644" s="90" t="s">
        <v>225</v>
      </c>
      <c r="B644" s="90" t="s">
        <v>1334</v>
      </c>
      <c r="C644" s="90" t="s">
        <v>1335</v>
      </c>
      <c r="D644" s="90" t="s">
        <v>1329</v>
      </c>
      <c r="E644" s="90" t="s">
        <v>704</v>
      </c>
      <c r="F644" s="90" t="s">
        <v>1330</v>
      </c>
      <c r="G644" s="89">
        <v>-16240.000000000004</v>
      </c>
      <c r="H644" s="141" t="str">
        <f t="shared" si="42"/>
        <v>780001505921</v>
      </c>
      <c r="I644" s="142">
        <v>0.11209999999999998</v>
      </c>
      <c r="J644" s="142" t="s">
        <v>308</v>
      </c>
      <c r="K644" s="143">
        <f t="shared" si="39"/>
        <v>-1820.5040000000001</v>
      </c>
      <c r="L644" s="144">
        <f t="shared" si="40"/>
        <v>-14419.496000000003</v>
      </c>
      <c r="M644" s="144">
        <f t="shared" si="41"/>
        <v>-16240.000000000004</v>
      </c>
      <c r="N644" s="145" t="s">
        <v>1331</v>
      </c>
      <c r="O644" s="125"/>
    </row>
    <row r="645" spans="1:15" ht="15" customHeight="1" x14ac:dyDescent="0.3">
      <c r="A645" s="90" t="s">
        <v>225</v>
      </c>
      <c r="B645" s="90" t="s">
        <v>688</v>
      </c>
      <c r="C645" s="90" t="s">
        <v>689</v>
      </c>
      <c r="D645" s="90" t="s">
        <v>1336</v>
      </c>
      <c r="E645" s="90" t="s">
        <v>1337</v>
      </c>
      <c r="F645" s="90" t="s">
        <v>1338</v>
      </c>
      <c r="G645" s="89">
        <v>-4174.17</v>
      </c>
      <c r="H645" s="141" t="str">
        <f t="shared" si="42"/>
        <v>111001590921</v>
      </c>
      <c r="I645" s="142">
        <v>8.3600000000000008E-2</v>
      </c>
      <c r="J645" s="142" t="s">
        <v>1865</v>
      </c>
      <c r="K645" s="143">
        <f t="shared" si="39"/>
        <v>-348.96061200000003</v>
      </c>
      <c r="L645" s="144">
        <f t="shared" si="40"/>
        <v>-3825.2093880000002</v>
      </c>
      <c r="M645" s="144">
        <f t="shared" si="41"/>
        <v>-4174.17</v>
      </c>
      <c r="N645" s="145" t="s">
        <v>1331</v>
      </c>
      <c r="O645" s="125"/>
    </row>
    <row r="646" spans="1:15" ht="15" customHeight="1" x14ac:dyDescent="0.3">
      <c r="A646" s="90" t="s">
        <v>225</v>
      </c>
      <c r="B646" s="90" t="s">
        <v>1029</v>
      </c>
      <c r="C646" s="90" t="s">
        <v>1030</v>
      </c>
      <c r="D646" s="90" t="s">
        <v>1339</v>
      </c>
      <c r="E646" s="90" t="s">
        <v>1340</v>
      </c>
      <c r="F646" s="90" t="s">
        <v>1341</v>
      </c>
      <c r="G646" s="89">
        <v>-4138.29</v>
      </c>
      <c r="H646" s="141" t="str">
        <f t="shared" si="42"/>
        <v>410502492921</v>
      </c>
      <c r="I646" s="142">
        <v>0.11209999999999998</v>
      </c>
      <c r="J646" s="142" t="s">
        <v>1864</v>
      </c>
      <c r="K646" s="143">
        <f t="shared" si="39"/>
        <v>-463.90230899999989</v>
      </c>
      <c r="L646" s="144">
        <f t="shared" si="40"/>
        <v>-3674.3876909999999</v>
      </c>
      <c r="M646" s="144">
        <f t="shared" si="41"/>
        <v>-4138.29</v>
      </c>
      <c r="N646" s="145" t="s">
        <v>1331</v>
      </c>
      <c r="O646" s="125"/>
    </row>
    <row r="647" spans="1:15" ht="15" customHeight="1" x14ac:dyDescent="0.3">
      <c r="A647" s="90" t="s">
        <v>225</v>
      </c>
      <c r="B647" s="90" t="s">
        <v>1284</v>
      </c>
      <c r="C647" s="90" t="s">
        <v>1285</v>
      </c>
      <c r="D647" s="90" t="s">
        <v>1342</v>
      </c>
      <c r="E647" s="90" t="s">
        <v>1343</v>
      </c>
      <c r="F647" s="90" t="s">
        <v>1344</v>
      </c>
      <c r="G647" s="89">
        <v>-3863.5</v>
      </c>
      <c r="H647" s="141" t="str">
        <f t="shared" si="42"/>
        <v>460102930921</v>
      </c>
      <c r="I647" s="142">
        <v>0.11209999999999998</v>
      </c>
      <c r="J647" s="142" t="s">
        <v>1864</v>
      </c>
      <c r="K647" s="143">
        <f t="shared" si="39"/>
        <v>-433.09834999999993</v>
      </c>
      <c r="L647" s="144">
        <f t="shared" si="40"/>
        <v>-3430.4016500000002</v>
      </c>
      <c r="M647" s="144">
        <f t="shared" si="41"/>
        <v>-3863.5</v>
      </c>
      <c r="N647" s="145" t="s">
        <v>1331</v>
      </c>
      <c r="O647" s="125"/>
    </row>
    <row r="648" spans="1:15" ht="15" customHeight="1" x14ac:dyDescent="0.3">
      <c r="A648" s="90" t="s">
        <v>225</v>
      </c>
      <c r="B648" s="90" t="s">
        <v>939</v>
      </c>
      <c r="C648" s="90" t="s">
        <v>940</v>
      </c>
      <c r="D648" s="90" t="s">
        <v>1345</v>
      </c>
      <c r="E648" s="90" t="s">
        <v>1346</v>
      </c>
      <c r="F648" s="90" t="s">
        <v>1347</v>
      </c>
      <c r="G648" s="89">
        <v>-2553.8999999999987</v>
      </c>
      <c r="H648" s="141" t="str">
        <f t="shared" si="42"/>
        <v>410204715921</v>
      </c>
      <c r="I648" s="142">
        <v>0.11209999999999998</v>
      </c>
      <c r="J648" s="142" t="s">
        <v>1864</v>
      </c>
      <c r="K648" s="143">
        <f t="shared" si="39"/>
        <v>-286.29218999999978</v>
      </c>
      <c r="L648" s="144">
        <f t="shared" si="40"/>
        <v>-2267.6078099999991</v>
      </c>
      <c r="M648" s="144">
        <f t="shared" si="41"/>
        <v>-2553.8999999999987</v>
      </c>
      <c r="N648" s="145" t="s">
        <v>1331</v>
      </c>
      <c r="O648" s="125"/>
    </row>
    <row r="649" spans="1:15" ht="15" customHeight="1" x14ac:dyDescent="0.3">
      <c r="A649" s="90" t="s">
        <v>225</v>
      </c>
      <c r="B649" s="90" t="s">
        <v>895</v>
      </c>
      <c r="C649" s="90" t="s">
        <v>896</v>
      </c>
      <c r="D649" s="90" t="s">
        <v>1329</v>
      </c>
      <c r="E649" s="90" t="s">
        <v>704</v>
      </c>
      <c r="F649" s="90" t="s">
        <v>1330</v>
      </c>
      <c r="G649" s="89">
        <v>-2233.11</v>
      </c>
      <c r="H649" s="141" t="str">
        <f t="shared" si="42"/>
        <v>135201505921</v>
      </c>
      <c r="I649" s="142">
        <v>0.11160000000000003</v>
      </c>
      <c r="J649" s="142" t="s">
        <v>1871</v>
      </c>
      <c r="K649" s="143">
        <f t="shared" si="39"/>
        <v>-249.2150760000001</v>
      </c>
      <c r="L649" s="144">
        <f t="shared" si="40"/>
        <v>-1983.8949239999999</v>
      </c>
      <c r="M649" s="144">
        <f t="shared" si="41"/>
        <v>-2233.11</v>
      </c>
      <c r="N649" s="145" t="s">
        <v>1331</v>
      </c>
      <c r="O649" s="125"/>
    </row>
    <row r="650" spans="1:15" ht="15" customHeight="1" x14ac:dyDescent="0.3">
      <c r="A650" s="90" t="s">
        <v>225</v>
      </c>
      <c r="B650" s="90" t="s">
        <v>1348</v>
      </c>
      <c r="C650" s="90" t="s">
        <v>1349</v>
      </c>
      <c r="D650" s="90" t="s">
        <v>1329</v>
      </c>
      <c r="E650" s="90" t="s">
        <v>704</v>
      </c>
      <c r="F650" s="90" t="s">
        <v>1330</v>
      </c>
      <c r="G650" s="89">
        <v>-1429.79</v>
      </c>
      <c r="H650" s="141" t="str">
        <f t="shared" si="42"/>
        <v>720001505921</v>
      </c>
      <c r="I650" s="142">
        <v>0.11209999999999998</v>
      </c>
      <c r="J650" s="142" t="s">
        <v>1864</v>
      </c>
      <c r="K650" s="143">
        <f t="shared" si="39"/>
        <v>-160.27945899999997</v>
      </c>
      <c r="L650" s="144">
        <f t="shared" si="40"/>
        <v>-1269.5105410000001</v>
      </c>
      <c r="M650" s="144">
        <f t="shared" si="41"/>
        <v>-1429.79</v>
      </c>
      <c r="N650" s="145" t="s">
        <v>1331</v>
      </c>
      <c r="O650" s="125"/>
    </row>
    <row r="651" spans="1:15" ht="15" customHeight="1" x14ac:dyDescent="0.3">
      <c r="A651" s="90" t="s">
        <v>225</v>
      </c>
      <c r="B651" s="90" t="s">
        <v>1350</v>
      </c>
      <c r="C651" s="90" t="s">
        <v>1351</v>
      </c>
      <c r="D651" s="90" t="s">
        <v>1352</v>
      </c>
      <c r="E651" s="90" t="s">
        <v>1353</v>
      </c>
      <c r="F651" s="90" t="s">
        <v>1354</v>
      </c>
      <c r="G651" s="89">
        <v>-520</v>
      </c>
      <c r="H651" s="141" t="str">
        <f t="shared" si="42"/>
        <v>540605346921</v>
      </c>
      <c r="I651" s="142">
        <v>0.11209999999999998</v>
      </c>
      <c r="J651" s="142" t="s">
        <v>1864</v>
      </c>
      <c r="K651" s="143">
        <f t="shared" si="39"/>
        <v>-58.291999999999987</v>
      </c>
      <c r="L651" s="144">
        <f t="shared" si="40"/>
        <v>-461.70800000000003</v>
      </c>
      <c r="M651" s="144">
        <f t="shared" si="41"/>
        <v>-520</v>
      </c>
      <c r="N651" s="145" t="s">
        <v>1331</v>
      </c>
      <c r="O651" s="125"/>
    </row>
    <row r="652" spans="1:15" ht="15" customHeight="1" x14ac:dyDescent="0.3">
      <c r="A652" s="90" t="s">
        <v>225</v>
      </c>
      <c r="B652" s="90" t="s">
        <v>1355</v>
      </c>
      <c r="C652" s="90" t="s">
        <v>1356</v>
      </c>
      <c r="D652" s="90" t="s">
        <v>1357</v>
      </c>
      <c r="E652" s="90" t="s">
        <v>1358</v>
      </c>
      <c r="F652" s="90" t="s">
        <v>1359</v>
      </c>
      <c r="G652" s="89">
        <v>0</v>
      </c>
      <c r="H652" s="141" t="str">
        <f t="shared" si="42"/>
        <v>420104760921</v>
      </c>
      <c r="I652" s="142">
        <v>0.11209999999999998</v>
      </c>
      <c r="J652" s="142" t="s">
        <v>1864</v>
      </c>
      <c r="K652" s="143">
        <f t="shared" si="39"/>
        <v>0</v>
      </c>
      <c r="L652" s="144">
        <f t="shared" si="40"/>
        <v>0</v>
      </c>
      <c r="M652" s="144">
        <f t="shared" si="41"/>
        <v>0</v>
      </c>
      <c r="N652" s="145" t="s">
        <v>1331</v>
      </c>
      <c r="O652" s="125"/>
    </row>
    <row r="653" spans="1:15" ht="15" customHeight="1" x14ac:dyDescent="0.3">
      <c r="A653" s="90" t="s">
        <v>225</v>
      </c>
      <c r="B653" s="90" t="s">
        <v>1350</v>
      </c>
      <c r="C653" s="90" t="s">
        <v>1351</v>
      </c>
      <c r="D653" s="90" t="s">
        <v>1360</v>
      </c>
      <c r="E653" s="90" t="s">
        <v>1361</v>
      </c>
      <c r="F653" s="90" t="s">
        <v>1362</v>
      </c>
      <c r="G653" s="89">
        <v>0</v>
      </c>
      <c r="H653" s="141" t="str">
        <f t="shared" si="42"/>
        <v>540605280921</v>
      </c>
      <c r="I653" s="142">
        <v>0.11209999999999998</v>
      </c>
      <c r="J653" s="142" t="s">
        <v>1884</v>
      </c>
      <c r="K653" s="143">
        <f t="shared" si="39"/>
        <v>0</v>
      </c>
      <c r="L653" s="144">
        <f t="shared" si="40"/>
        <v>0</v>
      </c>
      <c r="M653" s="144">
        <f t="shared" si="41"/>
        <v>0</v>
      </c>
      <c r="N653" s="145" t="s">
        <v>1331</v>
      </c>
      <c r="O653" s="125"/>
    </row>
    <row r="654" spans="1:15" ht="15" customHeight="1" x14ac:dyDescent="0.3">
      <c r="A654" s="90" t="s">
        <v>225</v>
      </c>
      <c r="B654" s="90" t="s">
        <v>1350</v>
      </c>
      <c r="C654" s="90" t="s">
        <v>1351</v>
      </c>
      <c r="D654" s="90" t="s">
        <v>1363</v>
      </c>
      <c r="E654" s="90" t="s">
        <v>1364</v>
      </c>
      <c r="F654" s="90" t="s">
        <v>1365</v>
      </c>
      <c r="G654" s="89">
        <v>0</v>
      </c>
      <c r="H654" s="141" t="str">
        <f t="shared" si="42"/>
        <v>540605295921</v>
      </c>
      <c r="I654" s="142">
        <v>0.11209999999999998</v>
      </c>
      <c r="J654" s="142" t="s">
        <v>1864</v>
      </c>
      <c r="K654" s="143">
        <f t="shared" si="39"/>
        <v>0</v>
      </c>
      <c r="L654" s="144">
        <f t="shared" si="40"/>
        <v>0</v>
      </c>
      <c r="M654" s="144">
        <f t="shared" si="41"/>
        <v>0</v>
      </c>
      <c r="N654" s="145" t="s">
        <v>1331</v>
      </c>
      <c r="O654" s="125"/>
    </row>
    <row r="655" spans="1:15" ht="15" customHeight="1" x14ac:dyDescent="0.3">
      <c r="A655" s="90" t="s">
        <v>225</v>
      </c>
      <c r="B655" s="90" t="s">
        <v>1366</v>
      </c>
      <c r="C655" s="90" t="s">
        <v>1367</v>
      </c>
      <c r="D655" s="90" t="s">
        <v>1368</v>
      </c>
      <c r="E655" s="90" t="s">
        <v>1369</v>
      </c>
      <c r="F655" s="90" t="s">
        <v>1370</v>
      </c>
      <c r="G655" s="89">
        <v>2.2737367544323206E-12</v>
      </c>
      <c r="H655" s="141" t="str">
        <f t="shared" si="42"/>
        <v>540805290921</v>
      </c>
      <c r="I655" s="142">
        <v>9.8799999999999999E-2</v>
      </c>
      <c r="J655" s="142" t="s">
        <v>1890</v>
      </c>
      <c r="K655" s="143">
        <f t="shared" si="39"/>
        <v>2.2464519133791327E-13</v>
      </c>
      <c r="L655" s="144">
        <f t="shared" si="40"/>
        <v>2.0490915630944074E-12</v>
      </c>
      <c r="M655" s="144">
        <f t="shared" si="41"/>
        <v>2.2737367544323206E-12</v>
      </c>
      <c r="N655" s="145" t="s">
        <v>1331</v>
      </c>
      <c r="O655" s="125"/>
    </row>
    <row r="656" spans="1:15" ht="15" customHeight="1" x14ac:dyDescent="0.3">
      <c r="A656" s="90" t="s">
        <v>225</v>
      </c>
      <c r="B656" s="90" t="s">
        <v>639</v>
      </c>
      <c r="C656" s="90" t="s">
        <v>640</v>
      </c>
      <c r="D656" s="90" t="s">
        <v>1371</v>
      </c>
      <c r="E656" s="90" t="s">
        <v>1372</v>
      </c>
      <c r="F656" s="90" t="s">
        <v>1373</v>
      </c>
      <c r="G656" s="89">
        <v>9.44</v>
      </c>
      <c r="H656" s="141" t="str">
        <f t="shared" si="42"/>
        <v>161001570921</v>
      </c>
      <c r="I656" s="142">
        <v>0.11160000000000003</v>
      </c>
      <c r="J656" s="142" t="s">
        <v>1882</v>
      </c>
      <c r="K656" s="143">
        <f t="shared" si="39"/>
        <v>1.0535040000000002</v>
      </c>
      <c r="L656" s="144">
        <f t="shared" si="40"/>
        <v>8.3864959999999993</v>
      </c>
      <c r="M656" s="144">
        <f t="shared" si="41"/>
        <v>9.44</v>
      </c>
      <c r="N656" s="145" t="s">
        <v>1331</v>
      </c>
      <c r="O656" s="125"/>
    </row>
    <row r="657" spans="1:15" ht="15" customHeight="1" x14ac:dyDescent="0.3">
      <c r="A657" s="90" t="s">
        <v>225</v>
      </c>
      <c r="B657" s="90" t="s">
        <v>686</v>
      </c>
      <c r="C657" s="90" t="s">
        <v>687</v>
      </c>
      <c r="D657" s="90" t="s">
        <v>1374</v>
      </c>
      <c r="E657" s="90" t="s">
        <v>1375</v>
      </c>
      <c r="F657" s="90" t="s">
        <v>1376</v>
      </c>
      <c r="G657" s="89">
        <v>19.899999999999999</v>
      </c>
      <c r="H657" s="141" t="str">
        <f t="shared" si="42"/>
        <v>131004705921</v>
      </c>
      <c r="I657" s="142">
        <v>0.11209999999999998</v>
      </c>
      <c r="J657" s="142" t="s">
        <v>1864</v>
      </c>
      <c r="K657" s="143">
        <f t="shared" si="39"/>
        <v>2.2307899999999994</v>
      </c>
      <c r="L657" s="144">
        <f t="shared" si="40"/>
        <v>17.66921</v>
      </c>
      <c r="M657" s="144">
        <f t="shared" si="41"/>
        <v>19.899999999999999</v>
      </c>
      <c r="N657" s="145" t="s">
        <v>1331</v>
      </c>
      <c r="O657" s="125"/>
    </row>
    <row r="658" spans="1:15" ht="15" customHeight="1" x14ac:dyDescent="0.3">
      <c r="A658" s="90" t="s">
        <v>225</v>
      </c>
      <c r="B658" s="90" t="s">
        <v>1029</v>
      </c>
      <c r="C658" s="90" t="s">
        <v>1030</v>
      </c>
      <c r="D658" s="90" t="s">
        <v>1374</v>
      </c>
      <c r="E658" s="90" t="s">
        <v>1375</v>
      </c>
      <c r="F658" s="90" t="s">
        <v>1376</v>
      </c>
      <c r="G658" s="89">
        <v>45</v>
      </c>
      <c r="H658" s="141" t="str">
        <f t="shared" si="42"/>
        <v>410504705921</v>
      </c>
      <c r="I658" s="142">
        <v>0.11209999999999998</v>
      </c>
      <c r="J658" s="142" t="s">
        <v>1864</v>
      </c>
      <c r="K658" s="143">
        <f t="shared" si="39"/>
        <v>5.0444999999999993</v>
      </c>
      <c r="L658" s="144">
        <f t="shared" si="40"/>
        <v>39.955500000000001</v>
      </c>
      <c r="M658" s="144">
        <f t="shared" si="41"/>
        <v>45</v>
      </c>
      <c r="N658" s="145" t="s">
        <v>1331</v>
      </c>
      <c r="O658" s="125"/>
    </row>
    <row r="659" spans="1:15" ht="15" customHeight="1" x14ac:dyDescent="0.3">
      <c r="A659" s="90" t="s">
        <v>225</v>
      </c>
      <c r="B659" s="90" t="s">
        <v>1377</v>
      </c>
      <c r="C659" s="90" t="s">
        <v>1378</v>
      </c>
      <c r="D659" s="90" t="s">
        <v>1329</v>
      </c>
      <c r="E659" s="90" t="s">
        <v>704</v>
      </c>
      <c r="F659" s="90" t="s">
        <v>1330</v>
      </c>
      <c r="G659" s="89">
        <v>45.2</v>
      </c>
      <c r="H659" s="141" t="str">
        <f t="shared" si="42"/>
        <v>601131505921</v>
      </c>
      <c r="I659" s="142">
        <v>0.11208</v>
      </c>
      <c r="J659" s="142" t="s">
        <v>1862</v>
      </c>
      <c r="K659" s="143">
        <f t="shared" si="39"/>
        <v>5.0660160000000003</v>
      </c>
      <c r="L659" s="144">
        <f t="shared" si="40"/>
        <v>40.133984000000005</v>
      </c>
      <c r="M659" s="144">
        <f t="shared" si="41"/>
        <v>45.2</v>
      </c>
      <c r="N659" s="145" t="s">
        <v>1331</v>
      </c>
      <c r="O659" s="125"/>
    </row>
    <row r="660" spans="1:15" ht="15" customHeight="1" x14ac:dyDescent="0.3">
      <c r="A660" s="90" t="s">
        <v>225</v>
      </c>
      <c r="B660" s="90" t="s">
        <v>690</v>
      </c>
      <c r="C660" s="90" t="s">
        <v>691</v>
      </c>
      <c r="D660" s="90" t="s">
        <v>1329</v>
      </c>
      <c r="E660" s="90" t="s">
        <v>704</v>
      </c>
      <c r="F660" s="90" t="s">
        <v>1330</v>
      </c>
      <c r="G660" s="89">
        <v>58.78</v>
      </c>
      <c r="H660" s="141" t="str">
        <f t="shared" si="42"/>
        <v>141001505921</v>
      </c>
      <c r="I660" s="142">
        <v>1.1399999999999966E-2</v>
      </c>
      <c r="J660" s="142" t="s">
        <v>281</v>
      </c>
      <c r="K660" s="143">
        <f t="shared" si="39"/>
        <v>0.67009199999999802</v>
      </c>
      <c r="L660" s="144">
        <f t="shared" si="40"/>
        <v>58.109908000000004</v>
      </c>
      <c r="M660" s="144">
        <f t="shared" si="41"/>
        <v>58.78</v>
      </c>
      <c r="N660" s="145" t="s">
        <v>1331</v>
      </c>
      <c r="O660" s="125"/>
    </row>
    <row r="661" spans="1:15" ht="15" customHeight="1" x14ac:dyDescent="0.3">
      <c r="A661" s="90" t="s">
        <v>225</v>
      </c>
      <c r="B661" s="90" t="s">
        <v>1226</v>
      </c>
      <c r="C661" s="90" t="s">
        <v>1227</v>
      </c>
      <c r="D661" s="90" t="s">
        <v>1329</v>
      </c>
      <c r="E661" s="90" t="s">
        <v>704</v>
      </c>
      <c r="F661" s="90" t="s">
        <v>1330</v>
      </c>
      <c r="G661" s="89">
        <v>60.47</v>
      </c>
      <c r="H661" s="141" t="str">
        <f t="shared" si="42"/>
        <v>114301505921</v>
      </c>
      <c r="I661" s="142">
        <v>0.11160000000000003</v>
      </c>
      <c r="J661" s="142" t="s">
        <v>1871</v>
      </c>
      <c r="K661" s="143">
        <f t="shared" si="39"/>
        <v>6.7484520000000021</v>
      </c>
      <c r="L661" s="144">
        <f t="shared" si="40"/>
        <v>53.721547999999999</v>
      </c>
      <c r="M661" s="144">
        <f t="shared" si="41"/>
        <v>60.47</v>
      </c>
      <c r="N661" s="145" t="s">
        <v>1331</v>
      </c>
      <c r="O661" s="125"/>
    </row>
    <row r="662" spans="1:15" ht="15" customHeight="1" x14ac:dyDescent="0.3">
      <c r="A662" s="90" t="s">
        <v>225</v>
      </c>
      <c r="B662" s="90" t="s">
        <v>1190</v>
      </c>
      <c r="C662" s="90" t="s">
        <v>1191</v>
      </c>
      <c r="D662" s="90" t="s">
        <v>1329</v>
      </c>
      <c r="E662" s="90" t="s">
        <v>704</v>
      </c>
      <c r="F662" s="90" t="s">
        <v>1330</v>
      </c>
      <c r="G662" s="89">
        <v>61.21</v>
      </c>
      <c r="H662" s="141" t="str">
        <f t="shared" si="42"/>
        <v>114101505921</v>
      </c>
      <c r="I662" s="142">
        <v>0.11270000000000002</v>
      </c>
      <c r="J662" s="142" t="s">
        <v>1885</v>
      </c>
      <c r="K662" s="143">
        <f t="shared" si="39"/>
        <v>6.8983670000000012</v>
      </c>
      <c r="L662" s="144">
        <f t="shared" si="40"/>
        <v>54.311633</v>
      </c>
      <c r="M662" s="144">
        <f t="shared" si="41"/>
        <v>61.21</v>
      </c>
      <c r="N662" s="145" t="s">
        <v>1331</v>
      </c>
      <c r="O662" s="125"/>
    </row>
    <row r="663" spans="1:15" ht="15" customHeight="1" x14ac:dyDescent="0.3">
      <c r="A663" s="90" t="s">
        <v>225</v>
      </c>
      <c r="B663" s="90" t="s">
        <v>1379</v>
      </c>
      <c r="C663" s="90" t="s">
        <v>1380</v>
      </c>
      <c r="D663" s="90" t="s">
        <v>1329</v>
      </c>
      <c r="E663" s="90" t="s">
        <v>704</v>
      </c>
      <c r="F663" s="90" t="s">
        <v>1330</v>
      </c>
      <c r="G663" s="89">
        <v>61.75</v>
      </c>
      <c r="H663" s="141" t="str">
        <f t="shared" si="42"/>
        <v>857101505921</v>
      </c>
      <c r="I663" s="142">
        <v>0.11209999999999998</v>
      </c>
      <c r="J663" s="142" t="s">
        <v>1884</v>
      </c>
      <c r="K663" s="143">
        <f t="shared" si="39"/>
        <v>6.9221749999999984</v>
      </c>
      <c r="L663" s="144">
        <f t="shared" si="40"/>
        <v>54.827825000000004</v>
      </c>
      <c r="M663" s="144">
        <f t="shared" si="41"/>
        <v>61.75</v>
      </c>
      <c r="N663" s="145" t="s">
        <v>1331</v>
      </c>
      <c r="O663" s="125"/>
    </row>
    <row r="664" spans="1:15" ht="15" customHeight="1" x14ac:dyDescent="0.3">
      <c r="A664" s="90" t="s">
        <v>225</v>
      </c>
      <c r="B664" s="90" t="s">
        <v>1217</v>
      </c>
      <c r="C664" s="90" t="s">
        <v>1218</v>
      </c>
      <c r="D664" s="90" t="s">
        <v>1381</v>
      </c>
      <c r="E664" s="90" t="s">
        <v>1382</v>
      </c>
      <c r="F664" s="90" t="s">
        <v>1383</v>
      </c>
      <c r="G664" s="89">
        <v>73.89</v>
      </c>
      <c r="H664" s="141" t="str">
        <f t="shared" si="42"/>
        <v>520401506921</v>
      </c>
      <c r="I664" s="142">
        <v>0.11209999999999998</v>
      </c>
      <c r="J664" s="142" t="s">
        <v>308</v>
      </c>
      <c r="K664" s="143">
        <f t="shared" ref="K664:K727" si="43">G664*I664</f>
        <v>8.2830689999999976</v>
      </c>
      <c r="L664" s="144">
        <f t="shared" ref="L664:L727" si="44">G664-K664</f>
        <v>65.606931000000003</v>
      </c>
      <c r="M664" s="144">
        <f t="shared" ref="M664:M727" si="45">K664+L664</f>
        <v>73.89</v>
      </c>
      <c r="N664" s="145" t="s">
        <v>1331</v>
      </c>
      <c r="O664" s="125"/>
    </row>
    <row r="665" spans="1:15" ht="15" customHeight="1" x14ac:dyDescent="0.3">
      <c r="A665" s="90" t="s">
        <v>225</v>
      </c>
      <c r="B665" s="90" t="s">
        <v>904</v>
      </c>
      <c r="C665" s="90" t="s">
        <v>905</v>
      </c>
      <c r="D665" s="90" t="s">
        <v>1336</v>
      </c>
      <c r="E665" s="90" t="s">
        <v>1337</v>
      </c>
      <c r="F665" s="90" t="s">
        <v>1338</v>
      </c>
      <c r="G665" s="89">
        <v>84.91</v>
      </c>
      <c r="H665" s="141" t="str">
        <f t="shared" ref="H665:H728" si="46">CONCATENATE(B665,RIGHT(D665,4),A665)</f>
        <v>155101590921</v>
      </c>
      <c r="I665" s="142">
        <v>0.11160000000000003</v>
      </c>
      <c r="J665" s="142" t="s">
        <v>1882</v>
      </c>
      <c r="K665" s="143">
        <f t="shared" si="43"/>
        <v>9.4759560000000018</v>
      </c>
      <c r="L665" s="144">
        <f t="shared" si="44"/>
        <v>75.434044</v>
      </c>
      <c r="M665" s="144">
        <f t="shared" si="45"/>
        <v>84.91</v>
      </c>
      <c r="N665" s="145" t="s">
        <v>1331</v>
      </c>
      <c r="O665" s="125"/>
    </row>
    <row r="666" spans="1:15" ht="15" customHeight="1" x14ac:dyDescent="0.3">
      <c r="A666" s="90" t="s">
        <v>225</v>
      </c>
      <c r="B666" s="90" t="s">
        <v>1384</v>
      </c>
      <c r="C666" s="90" t="s">
        <v>1385</v>
      </c>
      <c r="D666" s="90" t="s">
        <v>1386</v>
      </c>
      <c r="E666" s="90" t="s">
        <v>1231</v>
      </c>
      <c r="F666" s="90" t="s">
        <v>1387</v>
      </c>
      <c r="G666" s="89">
        <v>88.6</v>
      </c>
      <c r="H666" s="141" t="str">
        <f t="shared" si="46"/>
        <v>747005015921</v>
      </c>
      <c r="I666" s="142">
        <v>0.11209999999999998</v>
      </c>
      <c r="J666" s="142" t="s">
        <v>1884</v>
      </c>
      <c r="K666" s="143">
        <f t="shared" si="43"/>
        <v>9.9320599999999981</v>
      </c>
      <c r="L666" s="144">
        <f t="shared" si="44"/>
        <v>78.667940000000002</v>
      </c>
      <c r="M666" s="144">
        <f t="shared" si="45"/>
        <v>88.6</v>
      </c>
      <c r="N666" s="145" t="s">
        <v>1331</v>
      </c>
      <c r="O666" s="125"/>
    </row>
    <row r="667" spans="1:15" ht="15" customHeight="1" x14ac:dyDescent="0.3">
      <c r="A667" s="90" t="s">
        <v>225</v>
      </c>
      <c r="B667" s="90" t="s">
        <v>690</v>
      </c>
      <c r="C667" s="90" t="s">
        <v>691</v>
      </c>
      <c r="D667" s="90" t="s">
        <v>1336</v>
      </c>
      <c r="E667" s="90" t="s">
        <v>1337</v>
      </c>
      <c r="F667" s="90" t="s">
        <v>1338</v>
      </c>
      <c r="G667" s="89">
        <v>98.28</v>
      </c>
      <c r="H667" s="141" t="str">
        <f t="shared" si="46"/>
        <v>141001590921</v>
      </c>
      <c r="I667" s="142">
        <v>1.1399999999999966E-2</v>
      </c>
      <c r="J667" s="142" t="s">
        <v>1879</v>
      </c>
      <c r="K667" s="143">
        <f t="shared" si="43"/>
        <v>1.1203919999999967</v>
      </c>
      <c r="L667" s="144">
        <f t="shared" si="44"/>
        <v>97.159608000000006</v>
      </c>
      <c r="M667" s="144">
        <f t="shared" si="45"/>
        <v>98.28</v>
      </c>
      <c r="N667" s="145" t="s">
        <v>1331</v>
      </c>
      <c r="O667" s="125"/>
    </row>
    <row r="668" spans="1:15" ht="15" customHeight="1" x14ac:dyDescent="0.3">
      <c r="A668" s="90" t="s">
        <v>225</v>
      </c>
      <c r="B668" s="90" t="s">
        <v>633</v>
      </c>
      <c r="C668" s="90" t="s">
        <v>634</v>
      </c>
      <c r="D668" s="90" t="s">
        <v>1336</v>
      </c>
      <c r="E668" s="90" t="s">
        <v>1337</v>
      </c>
      <c r="F668" s="90" t="s">
        <v>1338</v>
      </c>
      <c r="G668" s="89">
        <v>99</v>
      </c>
      <c r="H668" s="141" t="str">
        <f t="shared" si="46"/>
        <v>112001590921</v>
      </c>
      <c r="I668" s="142">
        <v>0.10419999999999996</v>
      </c>
      <c r="J668" s="142" t="s">
        <v>1861</v>
      </c>
      <c r="K668" s="143">
        <f t="shared" si="43"/>
        <v>10.315799999999996</v>
      </c>
      <c r="L668" s="144">
        <f t="shared" si="44"/>
        <v>88.684200000000004</v>
      </c>
      <c r="M668" s="144">
        <f t="shared" si="45"/>
        <v>99</v>
      </c>
      <c r="N668" s="145" t="s">
        <v>1331</v>
      </c>
      <c r="O668" s="125"/>
    </row>
    <row r="669" spans="1:15" ht="15" customHeight="1" x14ac:dyDescent="0.3">
      <c r="A669" s="90" t="s">
        <v>225</v>
      </c>
      <c r="B669" s="90" t="s">
        <v>686</v>
      </c>
      <c r="C669" s="90" t="s">
        <v>687</v>
      </c>
      <c r="D669" s="90" t="s">
        <v>1357</v>
      </c>
      <c r="E669" s="90" t="s">
        <v>1358</v>
      </c>
      <c r="F669" s="90" t="s">
        <v>1359</v>
      </c>
      <c r="G669" s="89">
        <v>104.85</v>
      </c>
      <c r="H669" s="141" t="str">
        <f t="shared" si="46"/>
        <v>131004760921</v>
      </c>
      <c r="I669" s="142">
        <v>0.11209999999999998</v>
      </c>
      <c r="J669" s="142" t="s">
        <v>1864</v>
      </c>
      <c r="K669" s="143">
        <f t="shared" si="43"/>
        <v>11.753684999999997</v>
      </c>
      <c r="L669" s="144">
        <f t="shared" si="44"/>
        <v>93.096315000000004</v>
      </c>
      <c r="M669" s="144">
        <f t="shared" si="45"/>
        <v>104.85</v>
      </c>
      <c r="N669" s="145" t="s">
        <v>1331</v>
      </c>
      <c r="O669" s="125"/>
    </row>
    <row r="670" spans="1:15" ht="15" customHeight="1" x14ac:dyDescent="0.3">
      <c r="A670" s="90" t="s">
        <v>225</v>
      </c>
      <c r="B670" s="90" t="s">
        <v>684</v>
      </c>
      <c r="C670" s="90" t="s">
        <v>685</v>
      </c>
      <c r="D670" s="90" t="s">
        <v>1329</v>
      </c>
      <c r="E670" s="90" t="s">
        <v>704</v>
      </c>
      <c r="F670" s="90" t="s">
        <v>1330</v>
      </c>
      <c r="G670" s="89">
        <v>136.57999999999998</v>
      </c>
      <c r="H670" s="141" t="str">
        <f t="shared" si="46"/>
        <v>151001505921</v>
      </c>
      <c r="I670" s="142">
        <v>0</v>
      </c>
      <c r="J670" s="142" t="s">
        <v>1863</v>
      </c>
      <c r="K670" s="143">
        <f t="shared" si="43"/>
        <v>0</v>
      </c>
      <c r="L670" s="144">
        <f t="shared" si="44"/>
        <v>136.57999999999998</v>
      </c>
      <c r="M670" s="144">
        <f t="shared" si="45"/>
        <v>136.57999999999998</v>
      </c>
      <c r="N670" s="145" t="s">
        <v>1331</v>
      </c>
      <c r="O670" s="125"/>
    </row>
    <row r="671" spans="1:15" ht="15" customHeight="1" x14ac:dyDescent="0.3">
      <c r="A671" s="90" t="s">
        <v>225</v>
      </c>
      <c r="B671" s="90" t="s">
        <v>676</v>
      </c>
      <c r="C671" s="90" t="s">
        <v>677</v>
      </c>
      <c r="D671" s="90" t="s">
        <v>1336</v>
      </c>
      <c r="E671" s="90" t="s">
        <v>1337</v>
      </c>
      <c r="F671" s="90" t="s">
        <v>1338</v>
      </c>
      <c r="G671" s="89">
        <v>143.99</v>
      </c>
      <c r="H671" s="141" t="str">
        <f t="shared" si="46"/>
        <v>154101590921</v>
      </c>
      <c r="I671" s="142">
        <v>0.11208</v>
      </c>
      <c r="J671" s="142" t="s">
        <v>1862</v>
      </c>
      <c r="K671" s="143">
        <f t="shared" si="43"/>
        <v>16.138399200000002</v>
      </c>
      <c r="L671" s="144">
        <f t="shared" si="44"/>
        <v>127.8516008</v>
      </c>
      <c r="M671" s="144">
        <f t="shared" si="45"/>
        <v>143.99</v>
      </c>
      <c r="N671" s="145" t="s">
        <v>1331</v>
      </c>
      <c r="O671" s="125"/>
    </row>
    <row r="672" spans="1:15" ht="15" customHeight="1" x14ac:dyDescent="0.3">
      <c r="A672" s="90" t="s">
        <v>225</v>
      </c>
      <c r="B672" s="90" t="s">
        <v>1388</v>
      </c>
      <c r="C672" s="90" t="s">
        <v>1389</v>
      </c>
      <c r="D672" s="90" t="s">
        <v>1329</v>
      </c>
      <c r="E672" s="90" t="s">
        <v>704</v>
      </c>
      <c r="F672" s="90" t="s">
        <v>1330</v>
      </c>
      <c r="G672" s="89">
        <v>145</v>
      </c>
      <c r="H672" s="141" t="str">
        <f t="shared" si="46"/>
        <v>161751505921</v>
      </c>
      <c r="I672" s="142">
        <v>0.10419999999999996</v>
      </c>
      <c r="J672" s="142" t="s">
        <v>1861</v>
      </c>
      <c r="K672" s="143">
        <f t="shared" si="43"/>
        <v>15.108999999999995</v>
      </c>
      <c r="L672" s="144">
        <f t="shared" si="44"/>
        <v>129.89100000000002</v>
      </c>
      <c r="M672" s="144">
        <f t="shared" si="45"/>
        <v>145</v>
      </c>
      <c r="N672" s="145" t="s">
        <v>1331</v>
      </c>
      <c r="O672" s="125"/>
    </row>
    <row r="673" spans="1:15" ht="15" customHeight="1" x14ac:dyDescent="0.3">
      <c r="A673" s="90" t="s">
        <v>225</v>
      </c>
      <c r="B673" s="90" t="s">
        <v>893</v>
      </c>
      <c r="C673" s="90" t="s">
        <v>894</v>
      </c>
      <c r="D673" s="90" t="s">
        <v>1390</v>
      </c>
      <c r="E673" s="90" t="s">
        <v>1163</v>
      </c>
      <c r="F673" s="90" t="s">
        <v>1391</v>
      </c>
      <c r="G673" s="146">
        <v>161.34</v>
      </c>
      <c r="H673" s="141" t="str">
        <f t="shared" si="46"/>
        <v>134004280921</v>
      </c>
      <c r="I673" s="142">
        <v>0.11160000000000003</v>
      </c>
      <c r="J673" s="142" t="s">
        <v>1871</v>
      </c>
      <c r="K673" s="143">
        <f t="shared" si="43"/>
        <v>18.005544000000004</v>
      </c>
      <c r="L673" s="144">
        <f t="shared" si="44"/>
        <v>143.33445599999999</v>
      </c>
      <c r="M673" s="144">
        <f t="shared" si="45"/>
        <v>161.34</v>
      </c>
      <c r="N673" s="147" t="s">
        <v>1331</v>
      </c>
      <c r="O673" s="148"/>
    </row>
    <row r="674" spans="1:15" ht="15" customHeight="1" x14ac:dyDescent="0.3">
      <c r="A674" s="90" t="s">
        <v>225</v>
      </c>
      <c r="B674" s="90" t="s">
        <v>1392</v>
      </c>
      <c r="C674" s="90" t="s">
        <v>1393</v>
      </c>
      <c r="D674" s="90" t="s">
        <v>1394</v>
      </c>
      <c r="E674" s="90" t="s">
        <v>1395</v>
      </c>
      <c r="F674" s="90" t="s">
        <v>1396</v>
      </c>
      <c r="G674" s="89">
        <v>165.64</v>
      </c>
      <c r="H674" s="141" t="str">
        <f t="shared" si="46"/>
        <v>420201500921</v>
      </c>
      <c r="I674" s="142">
        <v>0.11209999999999998</v>
      </c>
      <c r="J674" s="142" t="s">
        <v>308</v>
      </c>
      <c r="K674" s="143">
        <f t="shared" si="43"/>
        <v>18.568243999999996</v>
      </c>
      <c r="L674" s="144">
        <f t="shared" si="44"/>
        <v>147.07175599999999</v>
      </c>
      <c r="M674" s="144">
        <f t="shared" si="45"/>
        <v>165.64</v>
      </c>
      <c r="N674" s="145" t="s">
        <v>1331</v>
      </c>
      <c r="O674" s="125"/>
    </row>
    <row r="675" spans="1:15" ht="15" customHeight="1" x14ac:dyDescent="0.3">
      <c r="A675" s="90" t="s">
        <v>225</v>
      </c>
      <c r="B675" s="90" t="s">
        <v>790</v>
      </c>
      <c r="C675" s="90" t="s">
        <v>791</v>
      </c>
      <c r="D675" s="90" t="s">
        <v>1397</v>
      </c>
      <c r="E675" s="90" t="s">
        <v>1398</v>
      </c>
      <c r="F675" s="90" t="s">
        <v>1399</v>
      </c>
      <c r="G675" s="89">
        <v>175</v>
      </c>
      <c r="H675" s="141" t="str">
        <f t="shared" si="46"/>
        <v>510101593921</v>
      </c>
      <c r="I675" s="142">
        <v>0.11208</v>
      </c>
      <c r="J675" s="142" t="s">
        <v>1862</v>
      </c>
      <c r="K675" s="143">
        <f t="shared" si="43"/>
        <v>19.614000000000001</v>
      </c>
      <c r="L675" s="144">
        <f t="shared" si="44"/>
        <v>155.386</v>
      </c>
      <c r="M675" s="144">
        <f t="shared" si="45"/>
        <v>175</v>
      </c>
      <c r="N675" s="145" t="s">
        <v>1331</v>
      </c>
      <c r="O675" s="125"/>
    </row>
    <row r="676" spans="1:15" ht="15" customHeight="1" x14ac:dyDescent="0.3">
      <c r="A676" s="90" t="s">
        <v>225</v>
      </c>
      <c r="B676" s="90" t="s">
        <v>676</v>
      </c>
      <c r="C676" s="90" t="s">
        <v>677</v>
      </c>
      <c r="D676" s="90" t="s">
        <v>1329</v>
      </c>
      <c r="E676" s="90" t="s">
        <v>704</v>
      </c>
      <c r="F676" s="90" t="s">
        <v>1330</v>
      </c>
      <c r="G676" s="89">
        <v>190</v>
      </c>
      <c r="H676" s="141" t="str">
        <f t="shared" si="46"/>
        <v>154101505921</v>
      </c>
      <c r="I676" s="142">
        <v>0.11208</v>
      </c>
      <c r="J676" s="142" t="s">
        <v>1862</v>
      </c>
      <c r="K676" s="143">
        <f t="shared" si="43"/>
        <v>21.295200000000001</v>
      </c>
      <c r="L676" s="144">
        <f t="shared" si="44"/>
        <v>168.70480000000001</v>
      </c>
      <c r="M676" s="144">
        <f t="shared" si="45"/>
        <v>190</v>
      </c>
      <c r="N676" s="145" t="s">
        <v>1331</v>
      </c>
      <c r="O676" s="125"/>
    </row>
    <row r="677" spans="1:15" ht="15" customHeight="1" x14ac:dyDescent="0.3">
      <c r="A677" s="90" t="s">
        <v>225</v>
      </c>
      <c r="B677" s="90" t="s">
        <v>814</v>
      </c>
      <c r="C677" s="90" t="s">
        <v>815</v>
      </c>
      <c r="D677" s="90" t="s">
        <v>1329</v>
      </c>
      <c r="E677" s="90" t="s">
        <v>704</v>
      </c>
      <c r="F677" s="90" t="s">
        <v>1330</v>
      </c>
      <c r="G677" s="89">
        <v>199.77</v>
      </c>
      <c r="H677" s="141" t="str">
        <f t="shared" si="46"/>
        <v>123591505921</v>
      </c>
      <c r="I677" s="142">
        <v>1</v>
      </c>
      <c r="J677" s="142" t="s">
        <v>1873</v>
      </c>
      <c r="K677" s="143">
        <f t="shared" si="43"/>
        <v>199.77</v>
      </c>
      <c r="L677" s="144">
        <f t="shared" si="44"/>
        <v>0</v>
      </c>
      <c r="M677" s="144">
        <f t="shared" si="45"/>
        <v>199.77</v>
      </c>
      <c r="N677" s="145" t="s">
        <v>1331</v>
      </c>
      <c r="O677" s="125"/>
    </row>
    <row r="678" spans="1:15" ht="15" customHeight="1" x14ac:dyDescent="0.3">
      <c r="A678" s="90" t="s">
        <v>225</v>
      </c>
      <c r="B678" s="90" t="s">
        <v>1076</v>
      </c>
      <c r="C678" s="90" t="s">
        <v>1077</v>
      </c>
      <c r="D678" s="90" t="s">
        <v>1329</v>
      </c>
      <c r="E678" s="90" t="s">
        <v>704</v>
      </c>
      <c r="F678" s="90" t="s">
        <v>1330</v>
      </c>
      <c r="G678" s="89">
        <v>199.77</v>
      </c>
      <c r="H678" s="141" t="str">
        <f t="shared" si="46"/>
        <v>120121505921</v>
      </c>
      <c r="I678" s="142">
        <v>0.11209999999999998</v>
      </c>
      <c r="J678" s="142" t="s">
        <v>1864</v>
      </c>
      <c r="K678" s="143">
        <f t="shared" si="43"/>
        <v>22.394216999999998</v>
      </c>
      <c r="L678" s="144">
        <f t="shared" si="44"/>
        <v>177.37578300000001</v>
      </c>
      <c r="M678" s="144">
        <f t="shared" si="45"/>
        <v>199.77</v>
      </c>
      <c r="N678" s="145" t="s">
        <v>1331</v>
      </c>
      <c r="O678" s="125"/>
    </row>
    <row r="679" spans="1:15" ht="15" customHeight="1" x14ac:dyDescent="0.3">
      <c r="A679" s="90" t="s">
        <v>225</v>
      </c>
      <c r="B679" s="90" t="s">
        <v>945</v>
      </c>
      <c r="C679" s="90" t="s">
        <v>946</v>
      </c>
      <c r="D679" s="90" t="s">
        <v>1400</v>
      </c>
      <c r="E679" s="90" t="s">
        <v>1401</v>
      </c>
      <c r="F679" s="90" t="s">
        <v>1402</v>
      </c>
      <c r="G679" s="89">
        <v>263.77999999999997</v>
      </c>
      <c r="H679" s="141" t="str">
        <f t="shared" si="46"/>
        <v>520104935921</v>
      </c>
      <c r="I679" s="142">
        <v>0.11209999999999998</v>
      </c>
      <c r="J679" s="142" t="s">
        <v>1864</v>
      </c>
      <c r="K679" s="143">
        <f t="shared" si="43"/>
        <v>29.56973799999999</v>
      </c>
      <c r="L679" s="144">
        <f t="shared" si="44"/>
        <v>234.21026199999997</v>
      </c>
      <c r="M679" s="144">
        <f t="shared" si="45"/>
        <v>263.77999999999997</v>
      </c>
      <c r="N679" s="145" t="s">
        <v>1331</v>
      </c>
      <c r="O679" s="125"/>
    </row>
    <row r="680" spans="1:15" ht="15" customHeight="1" x14ac:dyDescent="0.3">
      <c r="A680" s="90" t="s">
        <v>225</v>
      </c>
      <c r="B680" s="90" t="s">
        <v>1350</v>
      </c>
      <c r="C680" s="90" t="s">
        <v>1351</v>
      </c>
      <c r="D680" s="90" t="s">
        <v>1403</v>
      </c>
      <c r="E680" s="90" t="s">
        <v>1404</v>
      </c>
      <c r="F680" s="90" t="s">
        <v>1405</v>
      </c>
      <c r="G680" s="89">
        <v>356</v>
      </c>
      <c r="H680" s="141" t="str">
        <f t="shared" si="46"/>
        <v>540602950921</v>
      </c>
      <c r="I680" s="142">
        <v>0</v>
      </c>
      <c r="J680" s="142" t="s">
        <v>1878</v>
      </c>
      <c r="K680" s="143">
        <f t="shared" si="43"/>
        <v>0</v>
      </c>
      <c r="L680" s="144">
        <f t="shared" si="44"/>
        <v>356</v>
      </c>
      <c r="M680" s="144">
        <f t="shared" si="45"/>
        <v>356</v>
      </c>
      <c r="N680" s="145" t="s">
        <v>1331</v>
      </c>
      <c r="O680" s="125"/>
    </row>
    <row r="681" spans="1:15" ht="15" customHeight="1" x14ac:dyDescent="0.3">
      <c r="A681" s="90" t="s">
        <v>225</v>
      </c>
      <c r="B681" s="90" t="s">
        <v>1284</v>
      </c>
      <c r="C681" s="90" t="s">
        <v>1285</v>
      </c>
      <c r="D681" s="90" t="s">
        <v>1406</v>
      </c>
      <c r="E681" s="90" t="s">
        <v>1407</v>
      </c>
      <c r="F681" s="90" t="s">
        <v>1408</v>
      </c>
      <c r="G681" s="89">
        <v>377.00000000000182</v>
      </c>
      <c r="H681" s="141" t="str">
        <f t="shared" si="46"/>
        <v>460104320921</v>
      </c>
      <c r="I681" s="142">
        <v>0.11209999999999998</v>
      </c>
      <c r="J681" s="142" t="s">
        <v>1864</v>
      </c>
      <c r="K681" s="143">
        <f t="shared" si="43"/>
        <v>42.261700000000197</v>
      </c>
      <c r="L681" s="144">
        <f t="shared" si="44"/>
        <v>334.73830000000163</v>
      </c>
      <c r="M681" s="144">
        <f t="shared" si="45"/>
        <v>377.00000000000182</v>
      </c>
      <c r="N681" s="145" t="s">
        <v>1331</v>
      </c>
      <c r="O681" s="125"/>
    </row>
    <row r="682" spans="1:15" ht="15" customHeight="1" x14ac:dyDescent="0.3">
      <c r="A682" s="90" t="s">
        <v>225</v>
      </c>
      <c r="B682" s="90" t="s">
        <v>900</v>
      </c>
      <c r="C682" s="90" t="s">
        <v>901</v>
      </c>
      <c r="D682" s="90" t="s">
        <v>1386</v>
      </c>
      <c r="E682" s="90" t="s">
        <v>1231</v>
      </c>
      <c r="F682" s="90" t="s">
        <v>1387</v>
      </c>
      <c r="G682" s="89">
        <v>400</v>
      </c>
      <c r="H682" s="141" t="str">
        <f t="shared" si="46"/>
        <v>135255015921</v>
      </c>
      <c r="I682" s="142">
        <v>0.11160000000000003</v>
      </c>
      <c r="J682" s="142" t="s">
        <v>1882</v>
      </c>
      <c r="K682" s="143">
        <f t="shared" si="43"/>
        <v>44.640000000000015</v>
      </c>
      <c r="L682" s="144">
        <f t="shared" si="44"/>
        <v>355.36</v>
      </c>
      <c r="M682" s="144">
        <f t="shared" si="45"/>
        <v>400</v>
      </c>
      <c r="N682" s="145" t="s">
        <v>1331</v>
      </c>
      <c r="O682" s="125"/>
    </row>
    <row r="683" spans="1:15" ht="15" customHeight="1" x14ac:dyDescent="0.3">
      <c r="A683" s="90" t="s">
        <v>225</v>
      </c>
      <c r="B683" s="90" t="s">
        <v>639</v>
      </c>
      <c r="C683" s="90" t="s">
        <v>640</v>
      </c>
      <c r="D683" s="90" t="s">
        <v>1374</v>
      </c>
      <c r="E683" s="90" t="s">
        <v>1375</v>
      </c>
      <c r="F683" s="90" t="s">
        <v>1376</v>
      </c>
      <c r="G683" s="89">
        <v>400</v>
      </c>
      <c r="H683" s="141" t="str">
        <f t="shared" si="46"/>
        <v>161004705921</v>
      </c>
      <c r="I683" s="142">
        <v>0.11209999999999998</v>
      </c>
      <c r="J683" s="142" t="s">
        <v>1864</v>
      </c>
      <c r="K683" s="143">
        <f t="shared" si="43"/>
        <v>44.839999999999989</v>
      </c>
      <c r="L683" s="144">
        <f t="shared" si="44"/>
        <v>355.16</v>
      </c>
      <c r="M683" s="144">
        <f t="shared" si="45"/>
        <v>400</v>
      </c>
      <c r="N683" s="145" t="s">
        <v>1331</v>
      </c>
      <c r="O683" s="125"/>
    </row>
    <row r="684" spans="1:15" ht="15" customHeight="1" x14ac:dyDescent="0.3">
      <c r="A684" s="90" t="s">
        <v>225</v>
      </c>
      <c r="B684" s="90" t="s">
        <v>758</v>
      </c>
      <c r="C684" s="90" t="s">
        <v>759</v>
      </c>
      <c r="D684" s="90" t="s">
        <v>1329</v>
      </c>
      <c r="E684" s="90" t="s">
        <v>704</v>
      </c>
      <c r="F684" s="90" t="s">
        <v>1330</v>
      </c>
      <c r="G684" s="89">
        <v>400</v>
      </c>
      <c r="H684" s="141" t="str">
        <f t="shared" si="46"/>
        <v>155051505921</v>
      </c>
      <c r="I684" s="142">
        <v>0.11209999999999998</v>
      </c>
      <c r="J684" s="142" t="s">
        <v>1864</v>
      </c>
      <c r="K684" s="143">
        <f t="shared" si="43"/>
        <v>44.839999999999989</v>
      </c>
      <c r="L684" s="144">
        <f t="shared" si="44"/>
        <v>355.16</v>
      </c>
      <c r="M684" s="144">
        <f t="shared" si="45"/>
        <v>400</v>
      </c>
      <c r="N684" s="145" t="s">
        <v>1331</v>
      </c>
      <c r="O684" s="125"/>
    </row>
    <row r="685" spans="1:15" ht="15" customHeight="1" x14ac:dyDescent="0.3">
      <c r="A685" s="90" t="s">
        <v>225</v>
      </c>
      <c r="B685" s="90" t="s">
        <v>800</v>
      </c>
      <c r="C685" s="90" t="s">
        <v>801</v>
      </c>
      <c r="D685" s="90" t="s">
        <v>1329</v>
      </c>
      <c r="E685" s="90" t="s">
        <v>704</v>
      </c>
      <c r="F685" s="90" t="s">
        <v>1330</v>
      </c>
      <c r="G685" s="89">
        <v>410.03</v>
      </c>
      <c r="H685" s="141" t="str">
        <f t="shared" si="46"/>
        <v>120131505921</v>
      </c>
      <c r="I685" s="142">
        <v>0.11160000000000003</v>
      </c>
      <c r="J685" s="142" t="s">
        <v>1871</v>
      </c>
      <c r="K685" s="143">
        <f t="shared" si="43"/>
        <v>45.75934800000001</v>
      </c>
      <c r="L685" s="144">
        <f t="shared" si="44"/>
        <v>364.27065199999998</v>
      </c>
      <c r="M685" s="144">
        <f t="shared" si="45"/>
        <v>410.03</v>
      </c>
      <c r="N685" s="145" t="s">
        <v>1331</v>
      </c>
      <c r="O685" s="125"/>
    </row>
    <row r="686" spans="1:15" ht="15" customHeight="1" x14ac:dyDescent="0.3">
      <c r="A686" s="90" t="s">
        <v>225</v>
      </c>
      <c r="B686" s="90" t="s">
        <v>1201</v>
      </c>
      <c r="C686" s="90" t="s">
        <v>1202</v>
      </c>
      <c r="D686" s="90" t="s">
        <v>1400</v>
      </c>
      <c r="E686" s="90" t="s">
        <v>1401</v>
      </c>
      <c r="F686" s="90" t="s">
        <v>1402</v>
      </c>
      <c r="G686" s="89">
        <v>450</v>
      </c>
      <c r="H686" s="141" t="str">
        <f t="shared" si="46"/>
        <v>115154935921</v>
      </c>
      <c r="I686" s="142">
        <v>0.11160000000000003</v>
      </c>
      <c r="J686" s="142" t="s">
        <v>1872</v>
      </c>
      <c r="K686" s="143">
        <f t="shared" si="43"/>
        <v>50.220000000000013</v>
      </c>
      <c r="L686" s="144">
        <f t="shared" si="44"/>
        <v>399.78</v>
      </c>
      <c r="M686" s="144">
        <f t="shared" si="45"/>
        <v>450</v>
      </c>
      <c r="N686" s="145" t="s">
        <v>1331</v>
      </c>
      <c r="O686" s="125"/>
    </row>
    <row r="687" spans="1:15" ht="15" customHeight="1" x14ac:dyDescent="0.3">
      <c r="A687" s="90" t="s">
        <v>225</v>
      </c>
      <c r="B687" s="90" t="s">
        <v>739</v>
      </c>
      <c r="C687" s="90" t="s">
        <v>740</v>
      </c>
      <c r="D687" s="90" t="s">
        <v>1329</v>
      </c>
      <c r="E687" s="90" t="s">
        <v>704</v>
      </c>
      <c r="F687" s="90" t="s">
        <v>1330</v>
      </c>
      <c r="G687" s="89">
        <v>458.7</v>
      </c>
      <c r="H687" s="141" t="str">
        <f t="shared" si="46"/>
        <v>155061505921</v>
      </c>
      <c r="I687" s="142">
        <v>0</v>
      </c>
      <c r="J687" s="142" t="s">
        <v>1863</v>
      </c>
      <c r="K687" s="143">
        <f t="shared" si="43"/>
        <v>0</v>
      </c>
      <c r="L687" s="144">
        <f t="shared" si="44"/>
        <v>458.7</v>
      </c>
      <c r="M687" s="144">
        <f t="shared" si="45"/>
        <v>458.7</v>
      </c>
      <c r="N687" s="145" t="s">
        <v>1331</v>
      </c>
      <c r="O687" s="125"/>
    </row>
    <row r="688" spans="1:15" ht="15" customHeight="1" x14ac:dyDescent="0.3">
      <c r="A688" s="90" t="s">
        <v>225</v>
      </c>
      <c r="B688" s="90" t="s">
        <v>1409</v>
      </c>
      <c r="C688" s="90" t="s">
        <v>1410</v>
      </c>
      <c r="D688" s="90" t="s">
        <v>1411</v>
      </c>
      <c r="E688" s="90" t="s">
        <v>1412</v>
      </c>
      <c r="F688" s="90" t="s">
        <v>1413</v>
      </c>
      <c r="G688" s="89">
        <v>459</v>
      </c>
      <c r="H688" s="141" t="str">
        <f t="shared" si="46"/>
        <v>540405270921</v>
      </c>
      <c r="I688" s="142">
        <v>0.11208</v>
      </c>
      <c r="J688" s="142" t="s">
        <v>1862</v>
      </c>
      <c r="K688" s="143">
        <f t="shared" si="43"/>
        <v>51.444719999999997</v>
      </c>
      <c r="L688" s="144">
        <f t="shared" si="44"/>
        <v>407.55527999999998</v>
      </c>
      <c r="M688" s="144">
        <f t="shared" si="45"/>
        <v>459</v>
      </c>
      <c r="N688" s="145" t="s">
        <v>1331</v>
      </c>
      <c r="O688" s="125"/>
    </row>
    <row r="689" spans="1:15" ht="15" customHeight="1" x14ac:dyDescent="0.3">
      <c r="A689" s="90" t="s">
        <v>225</v>
      </c>
      <c r="B689" s="90" t="s">
        <v>1143</v>
      </c>
      <c r="C689" s="90" t="s">
        <v>1144</v>
      </c>
      <c r="D689" s="90" t="s">
        <v>1411</v>
      </c>
      <c r="E689" s="90" t="s">
        <v>1412</v>
      </c>
      <c r="F689" s="90" t="s">
        <v>1413</v>
      </c>
      <c r="G689" s="89">
        <v>459</v>
      </c>
      <c r="H689" s="141" t="str">
        <f t="shared" si="46"/>
        <v>540305270921</v>
      </c>
      <c r="I689" s="142">
        <v>0.11209999999999998</v>
      </c>
      <c r="J689" s="142" t="s">
        <v>1864</v>
      </c>
      <c r="K689" s="143">
        <f t="shared" si="43"/>
        <v>51.45389999999999</v>
      </c>
      <c r="L689" s="144">
        <f t="shared" si="44"/>
        <v>407.54610000000002</v>
      </c>
      <c r="M689" s="144">
        <f t="shared" si="45"/>
        <v>459</v>
      </c>
      <c r="N689" s="145" t="s">
        <v>1331</v>
      </c>
      <c r="O689" s="125"/>
    </row>
    <row r="690" spans="1:15" ht="15" customHeight="1" x14ac:dyDescent="0.3">
      <c r="A690" s="90" t="s">
        <v>225</v>
      </c>
      <c r="B690" s="90" t="s">
        <v>790</v>
      </c>
      <c r="C690" s="90" t="s">
        <v>791</v>
      </c>
      <c r="D690" s="90" t="s">
        <v>1414</v>
      </c>
      <c r="E690" s="90" t="s">
        <v>1415</v>
      </c>
      <c r="F690" s="90" t="s">
        <v>1416</v>
      </c>
      <c r="G690" s="89">
        <v>464.63</v>
      </c>
      <c r="H690" s="141" t="str">
        <f t="shared" si="46"/>
        <v>510101592921</v>
      </c>
      <c r="I690" s="142">
        <v>0.11208</v>
      </c>
      <c r="J690" s="142" t="s">
        <v>1862</v>
      </c>
      <c r="K690" s="143">
        <f t="shared" si="43"/>
        <v>52.075730399999998</v>
      </c>
      <c r="L690" s="144">
        <f t="shared" si="44"/>
        <v>412.5542696</v>
      </c>
      <c r="M690" s="144">
        <f t="shared" si="45"/>
        <v>464.63</v>
      </c>
      <c r="N690" s="145" t="s">
        <v>1331</v>
      </c>
      <c r="O690" s="125"/>
    </row>
    <row r="691" spans="1:15" ht="15" customHeight="1" x14ac:dyDescent="0.3">
      <c r="A691" s="90" t="s">
        <v>225</v>
      </c>
      <c r="B691" s="90" t="s">
        <v>1222</v>
      </c>
      <c r="C691" s="90" t="s">
        <v>1223</v>
      </c>
      <c r="D691" s="90" t="s">
        <v>1417</v>
      </c>
      <c r="E691" s="90" t="s">
        <v>1234</v>
      </c>
      <c r="F691" s="90" t="s">
        <v>1418</v>
      </c>
      <c r="G691" s="89">
        <v>500</v>
      </c>
      <c r="H691" s="141" t="str">
        <f t="shared" si="46"/>
        <v>113305020921</v>
      </c>
      <c r="I691" s="142">
        <v>0.11160000000000003</v>
      </c>
      <c r="J691" s="142" t="s">
        <v>1882</v>
      </c>
      <c r="K691" s="143">
        <f t="shared" si="43"/>
        <v>55.800000000000018</v>
      </c>
      <c r="L691" s="144">
        <f t="shared" si="44"/>
        <v>444.2</v>
      </c>
      <c r="M691" s="144">
        <f t="shared" si="45"/>
        <v>500</v>
      </c>
      <c r="N691" s="145" t="s">
        <v>1331</v>
      </c>
      <c r="O691" s="125"/>
    </row>
    <row r="692" spans="1:15" ht="15" customHeight="1" x14ac:dyDescent="0.3">
      <c r="A692" s="90" t="s">
        <v>225</v>
      </c>
      <c r="B692" s="90" t="s">
        <v>1222</v>
      </c>
      <c r="C692" s="90" t="s">
        <v>1223</v>
      </c>
      <c r="D692" s="90" t="s">
        <v>1329</v>
      </c>
      <c r="E692" s="90" t="s">
        <v>704</v>
      </c>
      <c r="F692" s="90" t="s">
        <v>1330</v>
      </c>
      <c r="G692" s="89">
        <v>509.34999999999997</v>
      </c>
      <c r="H692" s="141" t="str">
        <f t="shared" si="46"/>
        <v>113301505921</v>
      </c>
      <c r="I692" s="142">
        <v>0.11160000000000003</v>
      </c>
      <c r="J692" s="142" t="s">
        <v>1871</v>
      </c>
      <c r="K692" s="143">
        <f t="shared" si="43"/>
        <v>56.843460000000015</v>
      </c>
      <c r="L692" s="144">
        <f t="shared" si="44"/>
        <v>452.50653999999997</v>
      </c>
      <c r="M692" s="144">
        <f t="shared" si="45"/>
        <v>509.34999999999997</v>
      </c>
      <c r="N692" s="145" t="s">
        <v>1331</v>
      </c>
      <c r="O692" s="125"/>
    </row>
    <row r="693" spans="1:15" ht="15" customHeight="1" x14ac:dyDescent="0.3">
      <c r="A693" s="90" t="s">
        <v>225</v>
      </c>
      <c r="B693" s="90" t="s">
        <v>1419</v>
      </c>
      <c r="C693" s="90" t="s">
        <v>1420</v>
      </c>
      <c r="D693" s="90" t="s">
        <v>1421</v>
      </c>
      <c r="E693" s="90" t="s">
        <v>1422</v>
      </c>
      <c r="F693" s="90" t="s">
        <v>1423</v>
      </c>
      <c r="G693" s="89">
        <v>540</v>
      </c>
      <c r="H693" s="141" t="str">
        <f t="shared" si="46"/>
        <v>540105320921</v>
      </c>
      <c r="I693" s="142">
        <v>0.11209999999999998</v>
      </c>
      <c r="J693" s="142" t="s">
        <v>1864</v>
      </c>
      <c r="K693" s="143">
        <f t="shared" si="43"/>
        <v>60.533999999999985</v>
      </c>
      <c r="L693" s="144">
        <f t="shared" si="44"/>
        <v>479.46600000000001</v>
      </c>
      <c r="M693" s="144">
        <f t="shared" si="45"/>
        <v>540</v>
      </c>
      <c r="N693" s="145" t="s">
        <v>1331</v>
      </c>
      <c r="O693" s="125"/>
    </row>
    <row r="694" spans="1:15" ht="15" customHeight="1" x14ac:dyDescent="0.3">
      <c r="A694" s="90" t="s">
        <v>225</v>
      </c>
      <c r="B694" s="90" t="s">
        <v>1419</v>
      </c>
      <c r="C694" s="90" t="s">
        <v>1420</v>
      </c>
      <c r="D694" s="90" t="s">
        <v>1368</v>
      </c>
      <c r="E694" s="90" t="s">
        <v>1369</v>
      </c>
      <c r="F694" s="90" t="s">
        <v>1370</v>
      </c>
      <c r="G694" s="89">
        <v>579</v>
      </c>
      <c r="H694" s="141" t="str">
        <f t="shared" si="46"/>
        <v>540105290921</v>
      </c>
      <c r="I694" s="142">
        <v>0.11209999999999998</v>
      </c>
      <c r="J694" s="142" t="s">
        <v>1864</v>
      </c>
      <c r="K694" s="143">
        <f t="shared" si="43"/>
        <v>64.905899999999988</v>
      </c>
      <c r="L694" s="144">
        <f t="shared" si="44"/>
        <v>514.09410000000003</v>
      </c>
      <c r="M694" s="144">
        <f t="shared" si="45"/>
        <v>579</v>
      </c>
      <c r="N694" s="145" t="s">
        <v>1331</v>
      </c>
      <c r="O694" s="125"/>
    </row>
    <row r="695" spans="1:15" ht="15" customHeight="1" x14ac:dyDescent="0.3">
      <c r="A695" s="90" t="s">
        <v>225</v>
      </c>
      <c r="B695" s="90" t="s">
        <v>1127</v>
      </c>
      <c r="C695" s="90" t="s">
        <v>1128</v>
      </c>
      <c r="D695" s="90" t="s">
        <v>1424</v>
      </c>
      <c r="E695" s="90" t="s">
        <v>1425</v>
      </c>
      <c r="F695" s="90" t="s">
        <v>1426</v>
      </c>
      <c r="G695" s="89">
        <v>621.03000000000009</v>
      </c>
      <c r="H695" s="141" t="str">
        <f t="shared" si="46"/>
        <v>118002588921</v>
      </c>
      <c r="I695" s="142">
        <v>0</v>
      </c>
      <c r="J695" s="142" t="s">
        <v>1867</v>
      </c>
      <c r="K695" s="143">
        <f t="shared" si="43"/>
        <v>0</v>
      </c>
      <c r="L695" s="144">
        <f t="shared" si="44"/>
        <v>621.03000000000009</v>
      </c>
      <c r="M695" s="144">
        <f t="shared" si="45"/>
        <v>621.03000000000009</v>
      </c>
      <c r="N695" s="145" t="s">
        <v>1331</v>
      </c>
      <c r="O695" s="125"/>
    </row>
    <row r="696" spans="1:15" ht="15" customHeight="1" x14ac:dyDescent="0.3">
      <c r="A696" s="90" t="s">
        <v>225</v>
      </c>
      <c r="B696" s="90" t="s">
        <v>1427</v>
      </c>
      <c r="C696" s="90" t="s">
        <v>1428</v>
      </c>
      <c r="D696" s="90" t="s">
        <v>1329</v>
      </c>
      <c r="E696" s="90" t="s">
        <v>704</v>
      </c>
      <c r="F696" s="90" t="s">
        <v>1330</v>
      </c>
      <c r="G696" s="89">
        <v>642.85</v>
      </c>
      <c r="H696" s="141" t="str">
        <f t="shared" si="46"/>
        <v>748001505921</v>
      </c>
      <c r="I696" s="142">
        <v>0.11209999999999998</v>
      </c>
      <c r="J696" s="142" t="s">
        <v>1864</v>
      </c>
      <c r="K696" s="143">
        <f t="shared" si="43"/>
        <v>72.063484999999986</v>
      </c>
      <c r="L696" s="144">
        <f t="shared" si="44"/>
        <v>570.78651500000001</v>
      </c>
      <c r="M696" s="144">
        <f t="shared" si="45"/>
        <v>642.85</v>
      </c>
      <c r="N696" s="145" t="s">
        <v>1331</v>
      </c>
      <c r="O696" s="125"/>
    </row>
    <row r="697" spans="1:15" ht="15" customHeight="1" x14ac:dyDescent="0.3">
      <c r="A697" s="90" t="s">
        <v>225</v>
      </c>
      <c r="B697" s="90" t="s">
        <v>649</v>
      </c>
      <c r="C697" s="90" t="s">
        <v>650</v>
      </c>
      <c r="D697" s="90" t="s">
        <v>1329</v>
      </c>
      <c r="E697" s="90" t="s">
        <v>704</v>
      </c>
      <c r="F697" s="90" t="s">
        <v>1330</v>
      </c>
      <c r="G697" s="89">
        <v>699.32</v>
      </c>
      <c r="H697" s="141" t="str">
        <f t="shared" si="46"/>
        <v>116001505921</v>
      </c>
      <c r="I697" s="142">
        <v>0.10419999999999996</v>
      </c>
      <c r="J697" s="142" t="s">
        <v>1861</v>
      </c>
      <c r="K697" s="143">
        <f t="shared" si="43"/>
        <v>72.869143999999977</v>
      </c>
      <c r="L697" s="144">
        <f t="shared" si="44"/>
        <v>626.45085600000004</v>
      </c>
      <c r="M697" s="144">
        <f t="shared" si="45"/>
        <v>699.32</v>
      </c>
      <c r="N697" s="145" t="s">
        <v>1331</v>
      </c>
      <c r="O697" s="125"/>
    </row>
    <row r="698" spans="1:15" ht="15" customHeight="1" x14ac:dyDescent="0.3">
      <c r="A698" s="90" t="s">
        <v>225</v>
      </c>
      <c r="B698" s="90" t="s">
        <v>1409</v>
      </c>
      <c r="C698" s="90" t="s">
        <v>1410</v>
      </c>
      <c r="D698" s="90" t="s">
        <v>1429</v>
      </c>
      <c r="E698" s="90" t="s">
        <v>1430</v>
      </c>
      <c r="F698" s="90" t="s">
        <v>1431</v>
      </c>
      <c r="G698" s="89">
        <v>709.5</v>
      </c>
      <c r="H698" s="141" t="str">
        <f t="shared" si="46"/>
        <v>540405286921</v>
      </c>
      <c r="I698" s="142">
        <v>0.11208</v>
      </c>
      <c r="J698" s="142" t="s">
        <v>1862</v>
      </c>
      <c r="K698" s="143">
        <f t="shared" si="43"/>
        <v>79.520759999999996</v>
      </c>
      <c r="L698" s="144">
        <f t="shared" si="44"/>
        <v>629.97924</v>
      </c>
      <c r="M698" s="144">
        <f t="shared" si="45"/>
        <v>709.5</v>
      </c>
      <c r="N698" s="145" t="s">
        <v>1331</v>
      </c>
      <c r="O698" s="125"/>
    </row>
    <row r="699" spans="1:15" ht="15" customHeight="1" x14ac:dyDescent="0.3">
      <c r="A699" s="90" t="s">
        <v>225</v>
      </c>
      <c r="B699" s="90" t="s">
        <v>1201</v>
      </c>
      <c r="C699" s="90" t="s">
        <v>1202</v>
      </c>
      <c r="D699" s="90" t="s">
        <v>1329</v>
      </c>
      <c r="E699" s="90" t="s">
        <v>704</v>
      </c>
      <c r="F699" s="90" t="s">
        <v>1330</v>
      </c>
      <c r="G699" s="89">
        <v>819.45</v>
      </c>
      <c r="H699" s="141" t="str">
        <f t="shared" si="46"/>
        <v>115151505921</v>
      </c>
      <c r="I699" s="142">
        <v>0.11160000000000003</v>
      </c>
      <c r="J699" s="142" t="s">
        <v>1871</v>
      </c>
      <c r="K699" s="143">
        <f t="shared" si="43"/>
        <v>91.450620000000029</v>
      </c>
      <c r="L699" s="144">
        <f t="shared" si="44"/>
        <v>727.99937999999997</v>
      </c>
      <c r="M699" s="144">
        <f t="shared" si="45"/>
        <v>819.45</v>
      </c>
      <c r="N699" s="145" t="s">
        <v>1331</v>
      </c>
      <c r="O699" s="125"/>
    </row>
    <row r="700" spans="1:15" ht="15" customHeight="1" x14ac:dyDescent="0.3">
      <c r="A700" s="90" t="s">
        <v>225</v>
      </c>
      <c r="B700" s="90" t="s">
        <v>639</v>
      </c>
      <c r="C700" s="90" t="s">
        <v>640</v>
      </c>
      <c r="D700" s="90" t="s">
        <v>1329</v>
      </c>
      <c r="E700" s="90" t="s">
        <v>704</v>
      </c>
      <c r="F700" s="90" t="s">
        <v>1330</v>
      </c>
      <c r="G700" s="89">
        <v>864.96</v>
      </c>
      <c r="H700" s="141" t="str">
        <f t="shared" si="46"/>
        <v>161001505921</v>
      </c>
      <c r="I700" s="142">
        <v>0.11209999999999998</v>
      </c>
      <c r="J700" s="142" t="s">
        <v>1864</v>
      </c>
      <c r="K700" s="143">
        <f t="shared" si="43"/>
        <v>96.962015999999991</v>
      </c>
      <c r="L700" s="144">
        <f t="shared" si="44"/>
        <v>767.99798400000009</v>
      </c>
      <c r="M700" s="144">
        <f t="shared" si="45"/>
        <v>864.96</v>
      </c>
      <c r="N700" s="145" t="s">
        <v>1331</v>
      </c>
      <c r="O700" s="125"/>
    </row>
    <row r="701" spans="1:15" ht="15" customHeight="1" x14ac:dyDescent="0.3">
      <c r="A701" s="90" t="s">
        <v>225</v>
      </c>
      <c r="B701" s="90" t="s">
        <v>763</v>
      </c>
      <c r="C701" s="90" t="s">
        <v>764</v>
      </c>
      <c r="D701" s="90" t="s">
        <v>1329</v>
      </c>
      <c r="E701" s="90" t="s">
        <v>704</v>
      </c>
      <c r="F701" s="90" t="s">
        <v>1330</v>
      </c>
      <c r="G701" s="89">
        <v>900</v>
      </c>
      <c r="H701" s="141" t="str">
        <f t="shared" si="46"/>
        <v>155201505921</v>
      </c>
      <c r="I701" s="142">
        <v>0.11209999999999998</v>
      </c>
      <c r="J701" s="142" t="s">
        <v>1864</v>
      </c>
      <c r="K701" s="143">
        <f t="shared" si="43"/>
        <v>100.88999999999999</v>
      </c>
      <c r="L701" s="144">
        <f t="shared" si="44"/>
        <v>799.11</v>
      </c>
      <c r="M701" s="144">
        <f t="shared" si="45"/>
        <v>900</v>
      </c>
      <c r="N701" s="145" t="s">
        <v>1331</v>
      </c>
      <c r="O701" s="125"/>
    </row>
    <row r="702" spans="1:15" ht="15" customHeight="1" x14ac:dyDescent="0.3">
      <c r="A702" s="90" t="s">
        <v>225</v>
      </c>
      <c r="B702" s="90" t="s">
        <v>1432</v>
      </c>
      <c r="C702" s="90" t="s">
        <v>1433</v>
      </c>
      <c r="D702" s="90" t="s">
        <v>1434</v>
      </c>
      <c r="E702" s="90" t="s">
        <v>1435</v>
      </c>
      <c r="F702" s="90" t="s">
        <v>1436</v>
      </c>
      <c r="G702" s="89">
        <v>903</v>
      </c>
      <c r="H702" s="141" t="str">
        <f t="shared" si="46"/>
        <v>540705312921</v>
      </c>
      <c r="I702" s="142">
        <v>0.11209999999999998</v>
      </c>
      <c r="J702" s="142" t="s">
        <v>1864</v>
      </c>
      <c r="K702" s="143">
        <f t="shared" si="43"/>
        <v>101.22629999999998</v>
      </c>
      <c r="L702" s="144">
        <f t="shared" si="44"/>
        <v>801.77369999999996</v>
      </c>
      <c r="M702" s="144">
        <f t="shared" si="45"/>
        <v>903</v>
      </c>
      <c r="N702" s="145" t="s">
        <v>1331</v>
      </c>
      <c r="O702" s="125"/>
    </row>
    <row r="703" spans="1:15" ht="15" customHeight="1" x14ac:dyDescent="0.3">
      <c r="A703" s="90" t="s">
        <v>225</v>
      </c>
      <c r="B703" s="90" t="s">
        <v>684</v>
      </c>
      <c r="C703" s="90" t="s">
        <v>685</v>
      </c>
      <c r="D703" s="90" t="s">
        <v>1437</v>
      </c>
      <c r="E703" s="90" t="s">
        <v>1438</v>
      </c>
      <c r="F703" s="90" t="s">
        <v>1439</v>
      </c>
      <c r="G703" s="89">
        <v>908</v>
      </c>
      <c r="H703" s="141" t="str">
        <f t="shared" si="46"/>
        <v>151002463921</v>
      </c>
      <c r="I703" s="142">
        <v>0</v>
      </c>
      <c r="J703" s="142" t="s">
        <v>1863</v>
      </c>
      <c r="K703" s="143">
        <f t="shared" si="43"/>
        <v>0</v>
      </c>
      <c r="L703" s="144">
        <f t="shared" si="44"/>
        <v>908</v>
      </c>
      <c r="M703" s="144">
        <f t="shared" si="45"/>
        <v>908</v>
      </c>
      <c r="N703" s="145" t="s">
        <v>1331</v>
      </c>
      <c r="O703" s="125"/>
    </row>
    <row r="704" spans="1:15" ht="15" customHeight="1" x14ac:dyDescent="0.3">
      <c r="A704" s="90" t="s">
        <v>225</v>
      </c>
      <c r="B704" s="90" t="s">
        <v>790</v>
      </c>
      <c r="C704" s="90" t="s">
        <v>791</v>
      </c>
      <c r="D704" s="90" t="s">
        <v>1329</v>
      </c>
      <c r="E704" s="90" t="s">
        <v>704</v>
      </c>
      <c r="F704" s="90" t="s">
        <v>1330</v>
      </c>
      <c r="G704" s="89">
        <v>909.47</v>
      </c>
      <c r="H704" s="141" t="str">
        <f t="shared" si="46"/>
        <v>510101505921</v>
      </c>
      <c r="I704" s="142">
        <v>0.11208</v>
      </c>
      <c r="J704" s="142" t="s">
        <v>1862</v>
      </c>
      <c r="K704" s="143">
        <f t="shared" si="43"/>
        <v>101.93339760000001</v>
      </c>
      <c r="L704" s="144">
        <f t="shared" si="44"/>
        <v>807.53660239999999</v>
      </c>
      <c r="M704" s="144">
        <f t="shared" si="45"/>
        <v>909.47</v>
      </c>
      <c r="N704" s="145" t="s">
        <v>1331</v>
      </c>
      <c r="O704" s="125"/>
    </row>
    <row r="705" spans="1:15" ht="15" customHeight="1" x14ac:dyDescent="0.3">
      <c r="A705" s="90" t="s">
        <v>225</v>
      </c>
      <c r="B705" s="90" t="s">
        <v>1350</v>
      </c>
      <c r="C705" s="90" t="s">
        <v>1351</v>
      </c>
      <c r="D705" s="90" t="s">
        <v>1421</v>
      </c>
      <c r="E705" s="90" t="s">
        <v>1422</v>
      </c>
      <c r="F705" s="90" t="s">
        <v>1423</v>
      </c>
      <c r="G705" s="89">
        <v>960</v>
      </c>
      <c r="H705" s="141" t="str">
        <f t="shared" si="46"/>
        <v>540605320921</v>
      </c>
      <c r="I705" s="142">
        <v>0.11209999999999998</v>
      </c>
      <c r="J705" s="142" t="s">
        <v>1864</v>
      </c>
      <c r="K705" s="143">
        <f t="shared" si="43"/>
        <v>107.61599999999999</v>
      </c>
      <c r="L705" s="144">
        <f t="shared" si="44"/>
        <v>852.38400000000001</v>
      </c>
      <c r="M705" s="144">
        <f t="shared" si="45"/>
        <v>960</v>
      </c>
      <c r="N705" s="145" t="s">
        <v>1331</v>
      </c>
      <c r="O705" s="125"/>
    </row>
    <row r="706" spans="1:15" ht="15" customHeight="1" x14ac:dyDescent="0.3">
      <c r="A706" s="90" t="s">
        <v>225</v>
      </c>
      <c r="B706" s="90" t="s">
        <v>1440</v>
      </c>
      <c r="C706" s="90" t="s">
        <v>1441</v>
      </c>
      <c r="D706" s="90" t="s">
        <v>1442</v>
      </c>
      <c r="E706" s="90" t="s">
        <v>1443</v>
      </c>
      <c r="F706" s="90" t="s">
        <v>1444</v>
      </c>
      <c r="G706" s="89">
        <v>1199.4000000000001</v>
      </c>
      <c r="H706" s="141" t="str">
        <f t="shared" si="46"/>
        <v>311004536921</v>
      </c>
      <c r="I706" s="142">
        <v>0.11208</v>
      </c>
      <c r="J706" s="142" t="s">
        <v>1862</v>
      </c>
      <c r="K706" s="143">
        <f t="shared" si="43"/>
        <v>134.428752</v>
      </c>
      <c r="L706" s="144">
        <f t="shared" si="44"/>
        <v>1064.9712480000001</v>
      </c>
      <c r="M706" s="144">
        <f t="shared" si="45"/>
        <v>1199.4000000000001</v>
      </c>
      <c r="N706" s="145" t="s">
        <v>1331</v>
      </c>
      <c r="O706" s="125"/>
    </row>
    <row r="707" spans="1:15" ht="15" customHeight="1" x14ac:dyDescent="0.3">
      <c r="A707" s="90" t="s">
        <v>225</v>
      </c>
      <c r="B707" s="90" t="s">
        <v>1445</v>
      </c>
      <c r="C707" s="90" t="s">
        <v>1446</v>
      </c>
      <c r="D707" s="90" t="s">
        <v>1447</v>
      </c>
      <c r="E707" s="90" t="s">
        <v>1448</v>
      </c>
      <c r="F707" s="90" t="s">
        <v>1449</v>
      </c>
      <c r="G707" s="89">
        <v>1210.3499999999999</v>
      </c>
      <c r="H707" s="141" t="str">
        <f t="shared" si="46"/>
        <v>410704750921</v>
      </c>
      <c r="I707" s="142">
        <v>0.11209999999999998</v>
      </c>
      <c r="J707" s="142" t="s">
        <v>1884</v>
      </c>
      <c r="K707" s="143">
        <f t="shared" si="43"/>
        <v>135.68023499999995</v>
      </c>
      <c r="L707" s="144">
        <f t="shared" si="44"/>
        <v>1074.6697649999999</v>
      </c>
      <c r="M707" s="144">
        <f t="shared" si="45"/>
        <v>1210.3499999999999</v>
      </c>
      <c r="N707" s="145" t="s">
        <v>1331</v>
      </c>
      <c r="O707" s="125"/>
    </row>
    <row r="708" spans="1:15" ht="15" customHeight="1" x14ac:dyDescent="0.3">
      <c r="A708" s="90" t="s">
        <v>225</v>
      </c>
      <c r="B708" s="90" t="s">
        <v>1301</v>
      </c>
      <c r="C708" s="90" t="s">
        <v>1302</v>
      </c>
      <c r="D708" s="90" t="s">
        <v>1450</v>
      </c>
      <c r="E708" s="90" t="s">
        <v>1451</v>
      </c>
      <c r="F708" s="90" t="s">
        <v>1452</v>
      </c>
      <c r="G708" s="89">
        <v>1523.77</v>
      </c>
      <c r="H708" s="141" t="str">
        <f t="shared" si="46"/>
        <v>340004950921</v>
      </c>
      <c r="I708" s="142">
        <v>0.11208</v>
      </c>
      <c r="J708" s="142" t="s">
        <v>1862</v>
      </c>
      <c r="K708" s="143">
        <f t="shared" si="43"/>
        <v>170.7841416</v>
      </c>
      <c r="L708" s="144">
        <f t="shared" si="44"/>
        <v>1352.9858583999999</v>
      </c>
      <c r="M708" s="144">
        <f t="shared" si="45"/>
        <v>1523.77</v>
      </c>
      <c r="N708" s="145" t="s">
        <v>1331</v>
      </c>
      <c r="O708" s="125"/>
    </row>
    <row r="709" spans="1:15" ht="15" customHeight="1" x14ac:dyDescent="0.3">
      <c r="A709" s="90" t="s">
        <v>225</v>
      </c>
      <c r="B709" s="90" t="s">
        <v>1453</v>
      </c>
      <c r="C709" s="90" t="s">
        <v>1454</v>
      </c>
      <c r="D709" s="90" t="s">
        <v>1450</v>
      </c>
      <c r="E709" s="90" t="s">
        <v>1451</v>
      </c>
      <c r="F709" s="90" t="s">
        <v>1452</v>
      </c>
      <c r="G709" s="89">
        <v>1548.2</v>
      </c>
      <c r="H709" s="141" t="str">
        <f t="shared" si="46"/>
        <v>345004950921</v>
      </c>
      <c r="I709" s="142">
        <v>0.11209999999999998</v>
      </c>
      <c r="J709" s="142" t="s">
        <v>1884</v>
      </c>
      <c r="K709" s="143">
        <f t="shared" si="43"/>
        <v>173.55321999999998</v>
      </c>
      <c r="L709" s="144">
        <f t="shared" si="44"/>
        <v>1374.64678</v>
      </c>
      <c r="M709" s="144">
        <f t="shared" si="45"/>
        <v>1548.2</v>
      </c>
      <c r="N709" s="145" t="s">
        <v>1331</v>
      </c>
      <c r="O709" s="125"/>
    </row>
    <row r="710" spans="1:15" ht="15" customHeight="1" x14ac:dyDescent="0.3">
      <c r="A710" s="90" t="s">
        <v>225</v>
      </c>
      <c r="B710" s="90" t="s">
        <v>1455</v>
      </c>
      <c r="C710" s="90" t="s">
        <v>1456</v>
      </c>
      <c r="D710" s="90" t="s">
        <v>1329</v>
      </c>
      <c r="E710" s="90" t="s">
        <v>704</v>
      </c>
      <c r="F710" s="90" t="s">
        <v>1330</v>
      </c>
      <c r="G710" s="89">
        <v>1590.29</v>
      </c>
      <c r="H710" s="141" t="str">
        <f t="shared" si="46"/>
        <v>420121505921</v>
      </c>
      <c r="I710" s="142">
        <v>0.11209999999999998</v>
      </c>
      <c r="J710" s="142" t="s">
        <v>1864</v>
      </c>
      <c r="K710" s="143">
        <f t="shared" si="43"/>
        <v>178.27150899999995</v>
      </c>
      <c r="L710" s="144">
        <f t="shared" si="44"/>
        <v>1412.018491</v>
      </c>
      <c r="M710" s="144">
        <f t="shared" si="45"/>
        <v>1590.29</v>
      </c>
      <c r="N710" s="145" t="s">
        <v>1331</v>
      </c>
      <c r="O710" s="125"/>
    </row>
    <row r="711" spans="1:15" ht="15" customHeight="1" x14ac:dyDescent="0.3">
      <c r="A711" s="90" t="s">
        <v>225</v>
      </c>
      <c r="B711" s="90" t="s">
        <v>939</v>
      </c>
      <c r="C711" s="90" t="s">
        <v>940</v>
      </c>
      <c r="D711" s="90" t="s">
        <v>1417</v>
      </c>
      <c r="E711" s="90" t="s">
        <v>1234</v>
      </c>
      <c r="F711" s="90" t="s">
        <v>1418</v>
      </c>
      <c r="G711" s="89">
        <v>1686.23</v>
      </c>
      <c r="H711" s="141" t="str">
        <f t="shared" si="46"/>
        <v>410205020921</v>
      </c>
      <c r="I711" s="142">
        <v>0.11209999999999998</v>
      </c>
      <c r="J711" s="142" t="s">
        <v>308</v>
      </c>
      <c r="K711" s="143">
        <f t="shared" si="43"/>
        <v>189.02638299999995</v>
      </c>
      <c r="L711" s="144">
        <f t="shared" si="44"/>
        <v>1497.2036170000001</v>
      </c>
      <c r="M711" s="144">
        <f t="shared" si="45"/>
        <v>1686.23</v>
      </c>
      <c r="N711" s="145" t="s">
        <v>1331</v>
      </c>
      <c r="O711" s="125"/>
    </row>
    <row r="712" spans="1:15" ht="15" customHeight="1" x14ac:dyDescent="0.3">
      <c r="A712" s="90" t="s">
        <v>225</v>
      </c>
      <c r="B712" s="90" t="s">
        <v>1029</v>
      </c>
      <c r="C712" s="90" t="s">
        <v>1030</v>
      </c>
      <c r="D712" s="90" t="s">
        <v>1447</v>
      </c>
      <c r="E712" s="90" t="s">
        <v>1448</v>
      </c>
      <c r="F712" s="90" t="s">
        <v>1449</v>
      </c>
      <c r="G712" s="89">
        <v>1777.5</v>
      </c>
      <c r="H712" s="141" t="str">
        <f t="shared" si="46"/>
        <v>410504750921</v>
      </c>
      <c r="I712" s="142">
        <v>0.11209999999999998</v>
      </c>
      <c r="J712" s="142" t="s">
        <v>1864</v>
      </c>
      <c r="K712" s="143">
        <f t="shared" si="43"/>
        <v>199.25774999999996</v>
      </c>
      <c r="L712" s="144">
        <f t="shared" si="44"/>
        <v>1578.24225</v>
      </c>
      <c r="M712" s="144">
        <f t="shared" si="45"/>
        <v>1777.5</v>
      </c>
      <c r="N712" s="145" t="s">
        <v>1331</v>
      </c>
      <c r="O712" s="125"/>
    </row>
    <row r="713" spans="1:15" ht="15" customHeight="1" x14ac:dyDescent="0.3">
      <c r="A713" s="90" t="s">
        <v>225</v>
      </c>
      <c r="B713" s="90" t="s">
        <v>1457</v>
      </c>
      <c r="C713" s="90" t="s">
        <v>1458</v>
      </c>
      <c r="D713" s="90" t="s">
        <v>1447</v>
      </c>
      <c r="E713" s="90" t="s">
        <v>1448</v>
      </c>
      <c r="F713" s="90" t="s">
        <v>1449</v>
      </c>
      <c r="G713" s="89">
        <v>1795</v>
      </c>
      <c r="H713" s="141" t="str">
        <f t="shared" si="46"/>
        <v>410104750921</v>
      </c>
      <c r="I713" s="142">
        <v>0.11209999999999998</v>
      </c>
      <c r="J713" s="142" t="s">
        <v>1864</v>
      </c>
      <c r="K713" s="143">
        <f t="shared" si="43"/>
        <v>201.21949999999995</v>
      </c>
      <c r="L713" s="144">
        <f t="shared" si="44"/>
        <v>1593.7805000000001</v>
      </c>
      <c r="M713" s="144">
        <f t="shared" si="45"/>
        <v>1795</v>
      </c>
      <c r="N713" s="145" t="s">
        <v>1331</v>
      </c>
      <c r="O713" s="125"/>
    </row>
    <row r="714" spans="1:15" ht="15" customHeight="1" x14ac:dyDescent="0.3">
      <c r="A714" s="90" t="s">
        <v>225</v>
      </c>
      <c r="B714" s="90" t="s">
        <v>1459</v>
      </c>
      <c r="C714" s="90" t="s">
        <v>1460</v>
      </c>
      <c r="D714" s="90" t="s">
        <v>1329</v>
      </c>
      <c r="E714" s="90" t="s">
        <v>704</v>
      </c>
      <c r="F714" s="90" t="s">
        <v>1330</v>
      </c>
      <c r="G714" s="89">
        <v>1928.1799999999998</v>
      </c>
      <c r="H714" s="141" t="str">
        <f t="shared" si="46"/>
        <v>410601505921</v>
      </c>
      <c r="I714" s="142">
        <v>0.11209999999999998</v>
      </c>
      <c r="J714" s="142" t="s">
        <v>1864</v>
      </c>
      <c r="K714" s="143">
        <f t="shared" si="43"/>
        <v>216.14897799999994</v>
      </c>
      <c r="L714" s="144">
        <f t="shared" si="44"/>
        <v>1712.0310219999999</v>
      </c>
      <c r="M714" s="144">
        <f t="shared" si="45"/>
        <v>1928.1799999999998</v>
      </c>
      <c r="N714" s="145" t="s">
        <v>1331</v>
      </c>
      <c r="O714" s="125"/>
    </row>
    <row r="715" spans="1:15" ht="15" customHeight="1" x14ac:dyDescent="0.3">
      <c r="A715" s="90" t="s">
        <v>225</v>
      </c>
      <c r="B715" s="90" t="s">
        <v>1461</v>
      </c>
      <c r="C715" s="90" t="s">
        <v>1462</v>
      </c>
      <c r="D715" s="90" t="s">
        <v>1329</v>
      </c>
      <c r="E715" s="90" t="s">
        <v>704</v>
      </c>
      <c r="F715" s="90" t="s">
        <v>1330</v>
      </c>
      <c r="G715" s="89">
        <v>2018.1599999999999</v>
      </c>
      <c r="H715" s="141" t="str">
        <f t="shared" si="46"/>
        <v>320001505921</v>
      </c>
      <c r="I715" s="142">
        <v>0.11208</v>
      </c>
      <c r="J715" s="142" t="s">
        <v>1862</v>
      </c>
      <c r="K715" s="143">
        <f t="shared" si="43"/>
        <v>226.19537279999997</v>
      </c>
      <c r="L715" s="144">
        <f t="shared" si="44"/>
        <v>1791.9646272</v>
      </c>
      <c r="M715" s="144">
        <f t="shared" si="45"/>
        <v>2018.1599999999999</v>
      </c>
      <c r="N715" s="145" t="s">
        <v>1331</v>
      </c>
      <c r="O715" s="125"/>
    </row>
    <row r="716" spans="1:15" ht="15" customHeight="1" x14ac:dyDescent="0.3">
      <c r="A716" s="90" t="s">
        <v>225</v>
      </c>
      <c r="B716" s="90" t="s">
        <v>826</v>
      </c>
      <c r="C716" s="90" t="s">
        <v>827</v>
      </c>
      <c r="D716" s="90" t="s">
        <v>1329</v>
      </c>
      <c r="E716" s="90" t="s">
        <v>704</v>
      </c>
      <c r="F716" s="90" t="s">
        <v>1330</v>
      </c>
      <c r="G716" s="89">
        <v>2202.41</v>
      </c>
      <c r="H716" s="141" t="str">
        <f t="shared" si="46"/>
        <v>162001505921</v>
      </c>
      <c r="I716" s="142">
        <v>0.11209999999999998</v>
      </c>
      <c r="J716" s="142" t="s">
        <v>1864</v>
      </c>
      <c r="K716" s="143">
        <f t="shared" si="43"/>
        <v>246.89016099999992</v>
      </c>
      <c r="L716" s="144">
        <f t="shared" si="44"/>
        <v>1955.519839</v>
      </c>
      <c r="M716" s="144">
        <f t="shared" si="45"/>
        <v>2202.41</v>
      </c>
      <c r="N716" s="145" t="s">
        <v>1331</v>
      </c>
      <c r="O716" s="125"/>
    </row>
    <row r="717" spans="1:15" ht="15" customHeight="1" x14ac:dyDescent="0.3">
      <c r="A717" s="90" t="s">
        <v>225</v>
      </c>
      <c r="B717" s="90" t="s">
        <v>893</v>
      </c>
      <c r="C717" s="90" t="s">
        <v>894</v>
      </c>
      <c r="D717" s="90" t="s">
        <v>1329</v>
      </c>
      <c r="E717" s="90" t="s">
        <v>704</v>
      </c>
      <c r="F717" s="90" t="s">
        <v>1330</v>
      </c>
      <c r="G717" s="89">
        <v>2403.2800000000002</v>
      </c>
      <c r="H717" s="141" t="str">
        <f t="shared" si="46"/>
        <v>134001505921</v>
      </c>
      <c r="I717" s="142">
        <v>0.11160000000000003</v>
      </c>
      <c r="J717" s="142" t="s">
        <v>1871</v>
      </c>
      <c r="K717" s="143">
        <f t="shared" si="43"/>
        <v>268.20604800000012</v>
      </c>
      <c r="L717" s="144">
        <f t="shared" si="44"/>
        <v>2135.0739520000002</v>
      </c>
      <c r="M717" s="144">
        <f t="shared" si="45"/>
        <v>2403.2800000000002</v>
      </c>
      <c r="N717" s="145" t="s">
        <v>1331</v>
      </c>
      <c r="O717" s="125"/>
    </row>
    <row r="718" spans="1:15" ht="15" customHeight="1" x14ac:dyDescent="0.3">
      <c r="A718" s="90" t="s">
        <v>225</v>
      </c>
      <c r="B718" s="90" t="s">
        <v>1029</v>
      </c>
      <c r="C718" s="90" t="s">
        <v>1030</v>
      </c>
      <c r="D718" s="90" t="s">
        <v>1463</v>
      </c>
      <c r="E718" s="90" t="s">
        <v>1464</v>
      </c>
      <c r="F718" s="90" t="s">
        <v>1465</v>
      </c>
      <c r="G718" s="89">
        <v>2437.5</v>
      </c>
      <c r="H718" s="141" t="str">
        <f t="shared" si="46"/>
        <v>410504735921</v>
      </c>
      <c r="I718" s="142">
        <v>0.11209999999999998</v>
      </c>
      <c r="J718" s="142" t="s">
        <v>1864</v>
      </c>
      <c r="K718" s="143">
        <f t="shared" si="43"/>
        <v>273.24374999999992</v>
      </c>
      <c r="L718" s="144">
        <f t="shared" si="44"/>
        <v>2164.2562499999999</v>
      </c>
      <c r="M718" s="144">
        <f t="shared" si="45"/>
        <v>2437.5</v>
      </c>
      <c r="N718" s="145" t="s">
        <v>1331</v>
      </c>
      <c r="O718" s="125"/>
    </row>
    <row r="719" spans="1:15" ht="15" customHeight="1" x14ac:dyDescent="0.3">
      <c r="A719" s="90" t="s">
        <v>225</v>
      </c>
      <c r="B719" s="90" t="s">
        <v>1466</v>
      </c>
      <c r="C719" s="90" t="s">
        <v>1467</v>
      </c>
      <c r="D719" s="90" t="s">
        <v>1468</v>
      </c>
      <c r="E719" s="90" t="s">
        <v>1469</v>
      </c>
      <c r="F719" s="90" t="s">
        <v>1470</v>
      </c>
      <c r="G719" s="89">
        <v>2700</v>
      </c>
      <c r="H719" s="141" t="str">
        <f t="shared" si="46"/>
        <v>313001672921</v>
      </c>
      <c r="I719" s="142">
        <v>0.11208</v>
      </c>
      <c r="J719" s="142" t="s">
        <v>1862</v>
      </c>
      <c r="K719" s="143">
        <f t="shared" si="43"/>
        <v>302.61599999999999</v>
      </c>
      <c r="L719" s="144">
        <f t="shared" si="44"/>
        <v>2397.384</v>
      </c>
      <c r="M719" s="144">
        <f t="shared" si="45"/>
        <v>2700</v>
      </c>
      <c r="N719" s="145" t="s">
        <v>1331</v>
      </c>
      <c r="O719" s="125"/>
    </row>
    <row r="720" spans="1:15" ht="15" customHeight="1" x14ac:dyDescent="0.3">
      <c r="A720" s="90" t="s">
        <v>225</v>
      </c>
      <c r="B720" s="90" t="s">
        <v>1289</v>
      </c>
      <c r="C720" s="90" t="s">
        <v>1290</v>
      </c>
      <c r="D720" s="90" t="s">
        <v>1471</v>
      </c>
      <c r="E720" s="90" t="s">
        <v>1472</v>
      </c>
      <c r="F720" s="90" t="s">
        <v>1473</v>
      </c>
      <c r="G720" s="89">
        <v>2700</v>
      </c>
      <c r="H720" s="141" t="str">
        <f t="shared" si="46"/>
        <v>420142553921</v>
      </c>
      <c r="I720" s="142">
        <v>0.11209999999999998</v>
      </c>
      <c r="J720" s="142" t="s">
        <v>308</v>
      </c>
      <c r="K720" s="143">
        <f t="shared" si="43"/>
        <v>302.66999999999996</v>
      </c>
      <c r="L720" s="144">
        <f t="shared" si="44"/>
        <v>2397.33</v>
      </c>
      <c r="M720" s="144">
        <f t="shared" si="45"/>
        <v>2700</v>
      </c>
      <c r="N720" s="145" t="s">
        <v>1331</v>
      </c>
      <c r="O720" s="125"/>
    </row>
    <row r="721" spans="1:15" ht="15" customHeight="1" x14ac:dyDescent="0.3">
      <c r="A721" s="90" t="s">
        <v>225</v>
      </c>
      <c r="B721" s="90" t="s">
        <v>992</v>
      </c>
      <c r="C721" s="90" t="s">
        <v>993</v>
      </c>
      <c r="D721" s="90" t="s">
        <v>1468</v>
      </c>
      <c r="E721" s="90" t="s">
        <v>1469</v>
      </c>
      <c r="F721" s="90" t="s">
        <v>1470</v>
      </c>
      <c r="G721" s="89">
        <v>3550</v>
      </c>
      <c r="H721" s="141" t="str">
        <f t="shared" si="46"/>
        <v>760001672921</v>
      </c>
      <c r="I721" s="142">
        <v>0.11209999999999998</v>
      </c>
      <c r="J721" s="142" t="s">
        <v>308</v>
      </c>
      <c r="K721" s="143">
        <f t="shared" si="43"/>
        <v>397.95499999999993</v>
      </c>
      <c r="L721" s="144">
        <f t="shared" si="44"/>
        <v>3152.0450000000001</v>
      </c>
      <c r="M721" s="144">
        <f t="shared" si="45"/>
        <v>3550</v>
      </c>
      <c r="N721" s="145" t="s">
        <v>1331</v>
      </c>
      <c r="O721" s="125"/>
    </row>
    <row r="722" spans="1:15" ht="15" customHeight="1" x14ac:dyDescent="0.3">
      <c r="A722" s="90" t="s">
        <v>225</v>
      </c>
      <c r="B722" s="90" t="s">
        <v>1176</v>
      </c>
      <c r="C722" s="90" t="s">
        <v>1177</v>
      </c>
      <c r="D722" s="90" t="s">
        <v>1329</v>
      </c>
      <c r="E722" s="90" t="s">
        <v>704</v>
      </c>
      <c r="F722" s="90" t="s">
        <v>1330</v>
      </c>
      <c r="G722" s="89">
        <v>3619.63</v>
      </c>
      <c r="H722" s="141" t="str">
        <f t="shared" si="46"/>
        <v>136001505921</v>
      </c>
      <c r="I722" s="142">
        <v>0.11160000000000003</v>
      </c>
      <c r="J722" s="142" t="s">
        <v>1871</v>
      </c>
      <c r="K722" s="143">
        <f t="shared" si="43"/>
        <v>403.95070800000013</v>
      </c>
      <c r="L722" s="144">
        <f t="shared" si="44"/>
        <v>3215.6792919999998</v>
      </c>
      <c r="M722" s="144">
        <f t="shared" si="45"/>
        <v>3619.63</v>
      </c>
      <c r="N722" s="145" t="s">
        <v>1331</v>
      </c>
      <c r="O722" s="125"/>
    </row>
    <row r="723" spans="1:15" ht="15" customHeight="1" x14ac:dyDescent="0.3">
      <c r="A723" s="90" t="s">
        <v>225</v>
      </c>
      <c r="B723" s="90" t="s">
        <v>1366</v>
      </c>
      <c r="C723" s="90" t="s">
        <v>1367</v>
      </c>
      <c r="D723" s="90" t="s">
        <v>1474</v>
      </c>
      <c r="E723" s="90" t="s">
        <v>1475</v>
      </c>
      <c r="F723" s="90" t="s">
        <v>1476</v>
      </c>
      <c r="G723" s="89">
        <v>4218.75</v>
      </c>
      <c r="H723" s="141" t="str">
        <f t="shared" si="46"/>
        <v>540805316921</v>
      </c>
      <c r="I723" s="142">
        <v>9.8799999999999999E-2</v>
      </c>
      <c r="J723" s="142" t="s">
        <v>1890</v>
      </c>
      <c r="K723" s="143">
        <f t="shared" si="43"/>
        <v>416.8125</v>
      </c>
      <c r="L723" s="144">
        <f t="shared" si="44"/>
        <v>3801.9375</v>
      </c>
      <c r="M723" s="144">
        <f t="shared" si="45"/>
        <v>4218.75</v>
      </c>
      <c r="N723" s="145" t="s">
        <v>1331</v>
      </c>
      <c r="O723" s="125"/>
    </row>
    <row r="724" spans="1:15" ht="15" customHeight="1" x14ac:dyDescent="0.3">
      <c r="A724" s="90" t="s">
        <v>225</v>
      </c>
      <c r="B724" s="90" t="s">
        <v>688</v>
      </c>
      <c r="C724" s="90" t="s">
        <v>689</v>
      </c>
      <c r="D724" s="90" t="s">
        <v>1329</v>
      </c>
      <c r="E724" s="90" t="s">
        <v>704</v>
      </c>
      <c r="F724" s="90" t="s">
        <v>1330</v>
      </c>
      <c r="G724" s="89">
        <v>4257.6699999999992</v>
      </c>
      <c r="H724" s="141" t="str">
        <f t="shared" si="46"/>
        <v>111001505921</v>
      </c>
      <c r="I724" s="142">
        <v>8.3600000000000008E-2</v>
      </c>
      <c r="J724" s="142" t="s">
        <v>1865</v>
      </c>
      <c r="K724" s="143">
        <f t="shared" si="43"/>
        <v>355.94121199999995</v>
      </c>
      <c r="L724" s="144">
        <f t="shared" si="44"/>
        <v>3901.7287879999994</v>
      </c>
      <c r="M724" s="144">
        <f t="shared" si="45"/>
        <v>4257.6699999999992</v>
      </c>
      <c r="N724" s="145" t="s">
        <v>1331</v>
      </c>
      <c r="O724" s="125"/>
    </row>
    <row r="725" spans="1:15" ht="15" customHeight="1" x14ac:dyDescent="0.3">
      <c r="A725" s="90" t="s">
        <v>225</v>
      </c>
      <c r="B725" s="90" t="s">
        <v>1143</v>
      </c>
      <c r="C725" s="90" t="s">
        <v>1144</v>
      </c>
      <c r="D725" s="90" t="s">
        <v>1329</v>
      </c>
      <c r="E725" s="90" t="s">
        <v>704</v>
      </c>
      <c r="F725" s="90" t="s">
        <v>1330</v>
      </c>
      <c r="G725" s="89">
        <v>4366.4699999999993</v>
      </c>
      <c r="H725" s="141" t="str">
        <f t="shared" si="46"/>
        <v>540301505921</v>
      </c>
      <c r="I725" s="142">
        <v>0.11209999999999998</v>
      </c>
      <c r="J725" s="142" t="s">
        <v>1864</v>
      </c>
      <c r="K725" s="143">
        <f t="shared" si="43"/>
        <v>489.48128699999984</v>
      </c>
      <c r="L725" s="144">
        <f t="shared" si="44"/>
        <v>3876.9887129999997</v>
      </c>
      <c r="M725" s="144">
        <f t="shared" si="45"/>
        <v>4366.4699999999993</v>
      </c>
      <c r="N725" s="145" t="s">
        <v>1331</v>
      </c>
      <c r="O725" s="125"/>
    </row>
    <row r="726" spans="1:15" ht="15" customHeight="1" x14ac:dyDescent="0.3">
      <c r="A726" s="90" t="s">
        <v>225</v>
      </c>
      <c r="B726" s="90" t="s">
        <v>1350</v>
      </c>
      <c r="C726" s="90" t="s">
        <v>1351</v>
      </c>
      <c r="D726" s="90" t="s">
        <v>1368</v>
      </c>
      <c r="E726" s="90" t="s">
        <v>1369</v>
      </c>
      <c r="F726" s="90" t="s">
        <v>1370</v>
      </c>
      <c r="G726" s="89">
        <v>4383.0599999999995</v>
      </c>
      <c r="H726" s="141" t="str">
        <f t="shared" si="46"/>
        <v>540605290921</v>
      </c>
      <c r="I726" s="142">
        <v>0.11209999999999998</v>
      </c>
      <c r="J726" s="142" t="s">
        <v>1864</v>
      </c>
      <c r="K726" s="143">
        <f t="shared" si="43"/>
        <v>491.34102599999983</v>
      </c>
      <c r="L726" s="144">
        <f t="shared" si="44"/>
        <v>3891.7189739999994</v>
      </c>
      <c r="M726" s="144">
        <f t="shared" si="45"/>
        <v>4383.0599999999995</v>
      </c>
      <c r="N726" s="145" t="s">
        <v>1331</v>
      </c>
      <c r="O726" s="125"/>
    </row>
    <row r="727" spans="1:15" ht="15" customHeight="1" x14ac:dyDescent="0.3">
      <c r="A727" s="90" t="s">
        <v>225</v>
      </c>
      <c r="B727" s="90" t="s">
        <v>1409</v>
      </c>
      <c r="C727" s="90" t="s">
        <v>1410</v>
      </c>
      <c r="D727" s="90" t="s">
        <v>1329</v>
      </c>
      <c r="E727" s="90" t="s">
        <v>704</v>
      </c>
      <c r="F727" s="90" t="s">
        <v>1330</v>
      </c>
      <c r="G727" s="89">
        <v>4452.95</v>
      </c>
      <c r="H727" s="141" t="str">
        <f t="shared" si="46"/>
        <v>540401505921</v>
      </c>
      <c r="I727" s="142">
        <v>0.11208</v>
      </c>
      <c r="J727" s="142" t="s">
        <v>1862</v>
      </c>
      <c r="K727" s="143">
        <f t="shared" si="43"/>
        <v>499.086636</v>
      </c>
      <c r="L727" s="144">
        <f t="shared" si="44"/>
        <v>3953.8633639999998</v>
      </c>
      <c r="M727" s="144">
        <f t="shared" si="45"/>
        <v>4452.95</v>
      </c>
      <c r="N727" s="145" t="s">
        <v>1331</v>
      </c>
      <c r="O727" s="125"/>
    </row>
    <row r="728" spans="1:15" ht="15" customHeight="1" x14ac:dyDescent="0.3">
      <c r="A728" s="90" t="s">
        <v>225</v>
      </c>
      <c r="B728" s="90" t="s">
        <v>1384</v>
      </c>
      <c r="C728" s="90" t="s">
        <v>1385</v>
      </c>
      <c r="D728" s="90" t="s">
        <v>1329</v>
      </c>
      <c r="E728" s="90" t="s">
        <v>704</v>
      </c>
      <c r="F728" s="90" t="s">
        <v>1330</v>
      </c>
      <c r="G728" s="89">
        <v>4737.66</v>
      </c>
      <c r="H728" s="141" t="str">
        <f t="shared" si="46"/>
        <v>747001505921</v>
      </c>
      <c r="I728" s="142">
        <v>0.11209999999999998</v>
      </c>
      <c r="J728" s="142" t="s">
        <v>1864</v>
      </c>
      <c r="K728" s="143">
        <f t="shared" ref="K728:K791" si="47">G728*I728</f>
        <v>531.09168599999987</v>
      </c>
      <c r="L728" s="144">
        <f t="shared" ref="L728:L791" si="48">G728-K728</f>
        <v>4206.5683140000001</v>
      </c>
      <c r="M728" s="144">
        <f t="shared" ref="M728:M791" si="49">K728+L728</f>
        <v>4737.66</v>
      </c>
      <c r="N728" s="145" t="s">
        <v>1331</v>
      </c>
      <c r="O728" s="125"/>
    </row>
    <row r="729" spans="1:15" ht="15" customHeight="1" x14ac:dyDescent="0.3">
      <c r="A729" s="90" t="s">
        <v>225</v>
      </c>
      <c r="B729" s="90" t="s">
        <v>651</v>
      </c>
      <c r="C729" s="90" t="s">
        <v>652</v>
      </c>
      <c r="D729" s="90" t="s">
        <v>1329</v>
      </c>
      <c r="E729" s="90" t="s">
        <v>704</v>
      </c>
      <c r="F729" s="90" t="s">
        <v>1330</v>
      </c>
      <c r="G729" s="89">
        <v>5000</v>
      </c>
      <c r="H729" s="141" t="str">
        <f t="shared" ref="H729:H792" si="50">CONCATENATE(B729,RIGHT(D729,4),A729)</f>
        <v>111501505921</v>
      </c>
      <c r="I729" s="142">
        <v>8.3600000000000008E-2</v>
      </c>
      <c r="J729" s="142" t="s">
        <v>1868</v>
      </c>
      <c r="K729" s="143">
        <f t="shared" si="47"/>
        <v>418.00000000000006</v>
      </c>
      <c r="L729" s="144">
        <f t="shared" si="48"/>
        <v>4582</v>
      </c>
      <c r="M729" s="144">
        <f t="shared" si="49"/>
        <v>5000</v>
      </c>
      <c r="N729" s="145" t="s">
        <v>1331</v>
      </c>
      <c r="O729" s="125"/>
    </row>
    <row r="730" spans="1:15" ht="15" customHeight="1" x14ac:dyDescent="0.3">
      <c r="A730" s="90" t="s">
        <v>225</v>
      </c>
      <c r="B730" s="90" t="s">
        <v>1466</v>
      </c>
      <c r="C730" s="90" t="s">
        <v>1467</v>
      </c>
      <c r="D730" s="90" t="s">
        <v>1477</v>
      </c>
      <c r="E730" s="90" t="s">
        <v>1478</v>
      </c>
      <c r="F730" s="90" t="s">
        <v>1479</v>
      </c>
      <c r="G730" s="89">
        <v>5006.68</v>
      </c>
      <c r="H730" s="141" t="str">
        <f t="shared" si="50"/>
        <v>313004590921</v>
      </c>
      <c r="I730" s="142">
        <v>8.3899999999999975E-2</v>
      </c>
      <c r="J730" s="142" t="s">
        <v>1880</v>
      </c>
      <c r="K730" s="143">
        <f t="shared" si="47"/>
        <v>420.06045199999988</v>
      </c>
      <c r="L730" s="144">
        <f t="shared" si="48"/>
        <v>4586.6195480000006</v>
      </c>
      <c r="M730" s="144">
        <f t="shared" si="49"/>
        <v>5006.68</v>
      </c>
      <c r="N730" s="145" t="s">
        <v>1331</v>
      </c>
      <c r="O730" s="125"/>
    </row>
    <row r="731" spans="1:15" ht="15" customHeight="1" x14ac:dyDescent="0.3">
      <c r="A731" s="90" t="s">
        <v>225</v>
      </c>
      <c r="B731" s="90" t="s">
        <v>1409</v>
      </c>
      <c r="C731" s="90" t="s">
        <v>1410</v>
      </c>
      <c r="D731" s="90" t="s">
        <v>1360</v>
      </c>
      <c r="E731" s="90" t="s">
        <v>1361</v>
      </c>
      <c r="F731" s="90" t="s">
        <v>1362</v>
      </c>
      <c r="G731" s="89">
        <v>5677</v>
      </c>
      <c r="H731" s="141" t="str">
        <f t="shared" si="50"/>
        <v>540405280921</v>
      </c>
      <c r="I731" s="142">
        <v>0.11208</v>
      </c>
      <c r="J731" s="142" t="s">
        <v>1862</v>
      </c>
      <c r="K731" s="143">
        <f t="shared" si="47"/>
        <v>636.27815999999996</v>
      </c>
      <c r="L731" s="144">
        <f t="shared" si="48"/>
        <v>5040.7218400000002</v>
      </c>
      <c r="M731" s="144">
        <f t="shared" si="49"/>
        <v>5677</v>
      </c>
      <c r="N731" s="145" t="s">
        <v>1331</v>
      </c>
      <c r="O731" s="125"/>
    </row>
    <row r="732" spans="1:15" ht="15" customHeight="1" x14ac:dyDescent="0.3">
      <c r="A732" s="90" t="s">
        <v>225</v>
      </c>
      <c r="B732" s="90" t="s">
        <v>1480</v>
      </c>
      <c r="C732" s="90" t="s">
        <v>1481</v>
      </c>
      <c r="D732" s="90" t="s">
        <v>1482</v>
      </c>
      <c r="E732" s="90" t="str">
        <f>RIGHT(D732,4)</f>
        <v>5265</v>
      </c>
      <c r="F732" s="90" t="s">
        <v>1483</v>
      </c>
      <c r="G732" s="89">
        <v>6479.55</v>
      </c>
      <c r="H732" s="419"/>
      <c r="I732" s="142">
        <v>1</v>
      </c>
      <c r="J732" s="142" t="s">
        <v>1484</v>
      </c>
      <c r="K732" s="143">
        <f t="shared" si="47"/>
        <v>6479.55</v>
      </c>
      <c r="L732" s="144">
        <f t="shared" si="48"/>
        <v>0</v>
      </c>
      <c r="M732" s="144">
        <f t="shared" si="49"/>
        <v>6479.55</v>
      </c>
      <c r="N732" s="145" t="s">
        <v>1331</v>
      </c>
      <c r="O732" s="125" t="s">
        <v>1485</v>
      </c>
    </row>
    <row r="733" spans="1:15" ht="15" customHeight="1" x14ac:dyDescent="0.3">
      <c r="A733" s="90" t="s">
        <v>225</v>
      </c>
      <c r="B733" s="90" t="s">
        <v>639</v>
      </c>
      <c r="C733" s="90" t="s">
        <v>640</v>
      </c>
      <c r="D733" s="90" t="s">
        <v>1417</v>
      </c>
      <c r="E733" s="90" t="s">
        <v>1234</v>
      </c>
      <c r="F733" s="90" t="s">
        <v>1418</v>
      </c>
      <c r="G733" s="89">
        <v>7148.9400000000005</v>
      </c>
      <c r="H733" s="141" t="str">
        <f t="shared" si="50"/>
        <v>161005020921</v>
      </c>
      <c r="I733" s="142">
        <v>0.11209999999999998</v>
      </c>
      <c r="J733" s="142" t="s">
        <v>1864</v>
      </c>
      <c r="K733" s="143">
        <f t="shared" si="47"/>
        <v>801.39617399999986</v>
      </c>
      <c r="L733" s="144">
        <f t="shared" si="48"/>
        <v>6347.543826000001</v>
      </c>
      <c r="M733" s="144">
        <f t="shared" si="49"/>
        <v>7148.9400000000005</v>
      </c>
      <c r="N733" s="145" t="s">
        <v>1331</v>
      </c>
      <c r="O733" s="125"/>
    </row>
    <row r="734" spans="1:15" ht="15" customHeight="1" x14ac:dyDescent="0.3">
      <c r="A734" s="90" t="s">
        <v>225</v>
      </c>
      <c r="B734" s="90" t="s">
        <v>790</v>
      </c>
      <c r="C734" s="90" t="s">
        <v>791</v>
      </c>
      <c r="D734" s="90" t="s">
        <v>1486</v>
      </c>
      <c r="E734" s="90" t="s">
        <v>1487</v>
      </c>
      <c r="F734" s="90" t="s">
        <v>1488</v>
      </c>
      <c r="G734" s="89">
        <v>7258.83</v>
      </c>
      <c r="H734" s="141" t="str">
        <f t="shared" si="50"/>
        <v>510101595921</v>
      </c>
      <c r="I734" s="142">
        <v>0.11208</v>
      </c>
      <c r="J734" s="142" t="s">
        <v>1862</v>
      </c>
      <c r="K734" s="143">
        <f t="shared" si="47"/>
        <v>813.56966639999996</v>
      </c>
      <c r="L734" s="144">
        <f t="shared" si="48"/>
        <v>6445.2603336000002</v>
      </c>
      <c r="M734" s="144">
        <f t="shared" si="49"/>
        <v>7258.83</v>
      </c>
      <c r="N734" s="145" t="s">
        <v>1331</v>
      </c>
      <c r="O734" s="125"/>
    </row>
    <row r="735" spans="1:15" ht="15" customHeight="1" x14ac:dyDescent="0.3">
      <c r="A735" s="90" t="s">
        <v>225</v>
      </c>
      <c r="B735" s="90" t="s">
        <v>1457</v>
      </c>
      <c r="C735" s="90" t="s">
        <v>1458</v>
      </c>
      <c r="D735" s="90" t="s">
        <v>1329</v>
      </c>
      <c r="E735" s="90" t="s">
        <v>704</v>
      </c>
      <c r="F735" s="90" t="s">
        <v>1330</v>
      </c>
      <c r="G735" s="89">
        <v>8028.77</v>
      </c>
      <c r="H735" s="141" t="str">
        <f t="shared" si="50"/>
        <v>410101505921</v>
      </c>
      <c r="I735" s="142">
        <v>0.11160000000000003</v>
      </c>
      <c r="J735" s="142" t="s">
        <v>1888</v>
      </c>
      <c r="K735" s="143">
        <f t="shared" si="47"/>
        <v>896.0107320000003</v>
      </c>
      <c r="L735" s="144">
        <f t="shared" si="48"/>
        <v>7132.7592679999998</v>
      </c>
      <c r="M735" s="144">
        <f t="shared" si="49"/>
        <v>8028.77</v>
      </c>
      <c r="N735" s="145" t="s">
        <v>1331</v>
      </c>
      <c r="O735" s="125"/>
    </row>
    <row r="736" spans="1:15" ht="15" customHeight="1" x14ac:dyDescent="0.3">
      <c r="A736" s="90" t="s">
        <v>225</v>
      </c>
      <c r="B736" s="90" t="s">
        <v>798</v>
      </c>
      <c r="C736" s="90" t="s">
        <v>799</v>
      </c>
      <c r="D736" s="90" t="s">
        <v>1329</v>
      </c>
      <c r="E736" s="90" t="s">
        <v>704</v>
      </c>
      <c r="F736" s="90" t="s">
        <v>1330</v>
      </c>
      <c r="G736" s="89">
        <v>9048</v>
      </c>
      <c r="H736" s="141" t="str">
        <f t="shared" si="50"/>
        <v>113201505921</v>
      </c>
      <c r="I736" s="142">
        <v>0.11160000000000003</v>
      </c>
      <c r="J736" s="142" t="s">
        <v>1871</v>
      </c>
      <c r="K736" s="143">
        <f t="shared" si="47"/>
        <v>1009.7568000000003</v>
      </c>
      <c r="L736" s="144">
        <f t="shared" si="48"/>
        <v>8038.2431999999999</v>
      </c>
      <c r="M736" s="144">
        <f t="shared" si="49"/>
        <v>9048</v>
      </c>
      <c r="N736" s="145" t="s">
        <v>1331</v>
      </c>
      <c r="O736" s="125"/>
    </row>
    <row r="737" spans="1:15" ht="15" customHeight="1" x14ac:dyDescent="0.3">
      <c r="A737" s="90" t="s">
        <v>225</v>
      </c>
      <c r="B737" s="90" t="s">
        <v>978</v>
      </c>
      <c r="C737" s="90" t="s">
        <v>979</v>
      </c>
      <c r="D737" s="90" t="s">
        <v>1489</v>
      </c>
      <c r="E737" s="90" t="s">
        <v>1490</v>
      </c>
      <c r="F737" s="90" t="s">
        <v>1491</v>
      </c>
      <c r="G737" s="89">
        <v>9393.49</v>
      </c>
      <c r="H737" s="141" t="str">
        <f t="shared" si="50"/>
        <v>410401596921</v>
      </c>
      <c r="I737" s="142">
        <v>0.11209999999999998</v>
      </c>
      <c r="J737" s="142" t="s">
        <v>1864</v>
      </c>
      <c r="K737" s="143">
        <f t="shared" si="47"/>
        <v>1053.0102289999998</v>
      </c>
      <c r="L737" s="144">
        <f t="shared" si="48"/>
        <v>8340.4797710000003</v>
      </c>
      <c r="M737" s="144">
        <f t="shared" si="49"/>
        <v>9393.49</v>
      </c>
      <c r="N737" s="145" t="s">
        <v>1331</v>
      </c>
      <c r="O737" s="125"/>
    </row>
    <row r="738" spans="1:15" ht="15" customHeight="1" x14ac:dyDescent="0.3">
      <c r="A738" s="90" t="s">
        <v>225</v>
      </c>
      <c r="B738" s="90" t="s">
        <v>1492</v>
      </c>
      <c r="C738" s="90" t="s">
        <v>1493</v>
      </c>
      <c r="D738" s="90" t="s">
        <v>1329</v>
      </c>
      <c r="E738" s="90" t="s">
        <v>704</v>
      </c>
      <c r="F738" s="90" t="s">
        <v>1330</v>
      </c>
      <c r="G738" s="89">
        <v>11382.060000000001</v>
      </c>
      <c r="H738" s="141" t="str">
        <f t="shared" si="50"/>
        <v>460201505921</v>
      </c>
      <c r="I738" s="142">
        <v>0.11209999999999998</v>
      </c>
      <c r="J738" s="142" t="s">
        <v>1864</v>
      </c>
      <c r="K738" s="143">
        <f t="shared" si="47"/>
        <v>1275.9289259999998</v>
      </c>
      <c r="L738" s="144">
        <f t="shared" si="48"/>
        <v>10106.131074000001</v>
      </c>
      <c r="M738" s="144">
        <f t="shared" si="49"/>
        <v>11382.060000000001</v>
      </c>
      <c r="N738" s="145" t="s">
        <v>1331</v>
      </c>
      <c r="O738" s="125"/>
    </row>
    <row r="739" spans="1:15" ht="15" customHeight="1" x14ac:dyDescent="0.3">
      <c r="A739" s="90" t="s">
        <v>225</v>
      </c>
      <c r="B739" s="90" t="s">
        <v>1350</v>
      </c>
      <c r="C739" s="90" t="s">
        <v>1351</v>
      </c>
      <c r="D739" s="90" t="s">
        <v>1494</v>
      </c>
      <c r="E739" s="90" t="s">
        <v>1495</v>
      </c>
      <c r="F739" s="90" t="s">
        <v>1496</v>
      </c>
      <c r="G739" s="89">
        <v>11546.66</v>
      </c>
      <c r="H739" s="141" t="str">
        <f t="shared" si="50"/>
        <v>540605264921</v>
      </c>
      <c r="I739" s="142">
        <v>0.11209999999999998</v>
      </c>
      <c r="J739" s="142" t="s">
        <v>1864</v>
      </c>
      <c r="K739" s="143">
        <f t="shared" si="47"/>
        <v>1294.3805859999998</v>
      </c>
      <c r="L739" s="144">
        <f t="shared" si="48"/>
        <v>10252.279414000001</v>
      </c>
      <c r="M739" s="144">
        <f t="shared" si="49"/>
        <v>11546.66</v>
      </c>
      <c r="N739" s="145" t="s">
        <v>1331</v>
      </c>
      <c r="O739" s="125"/>
    </row>
    <row r="740" spans="1:15" ht="15" customHeight="1" x14ac:dyDescent="0.3">
      <c r="A740" s="90" t="s">
        <v>225</v>
      </c>
      <c r="B740" s="90" t="s">
        <v>1201</v>
      </c>
      <c r="C740" s="90" t="s">
        <v>1202</v>
      </c>
      <c r="D740" s="90" t="s">
        <v>1417</v>
      </c>
      <c r="E740" s="90" t="s">
        <v>1234</v>
      </c>
      <c r="F740" s="90" t="s">
        <v>1418</v>
      </c>
      <c r="G740" s="89">
        <v>11662.47</v>
      </c>
      <c r="H740" s="141" t="str">
        <f t="shared" si="50"/>
        <v>115155020921</v>
      </c>
      <c r="I740" s="142">
        <v>0.11160000000000003</v>
      </c>
      <c r="J740" s="142" t="s">
        <v>1871</v>
      </c>
      <c r="K740" s="143">
        <f t="shared" si="47"/>
        <v>1301.5316520000003</v>
      </c>
      <c r="L740" s="144">
        <f t="shared" si="48"/>
        <v>10360.938348</v>
      </c>
      <c r="M740" s="144">
        <f t="shared" si="49"/>
        <v>11662.47</v>
      </c>
      <c r="N740" s="145" t="s">
        <v>1331</v>
      </c>
      <c r="O740" s="125"/>
    </row>
    <row r="741" spans="1:15" ht="15" customHeight="1" x14ac:dyDescent="0.3">
      <c r="A741" s="90" t="s">
        <v>225</v>
      </c>
      <c r="B741" s="90" t="s">
        <v>1201</v>
      </c>
      <c r="C741" s="90" t="s">
        <v>1202</v>
      </c>
      <c r="D741" s="90" t="s">
        <v>1386</v>
      </c>
      <c r="E741" s="90" t="s">
        <v>1231</v>
      </c>
      <c r="F741" s="90" t="s">
        <v>1387</v>
      </c>
      <c r="G741" s="89">
        <v>11732.58</v>
      </c>
      <c r="H741" s="141" t="str">
        <f t="shared" si="50"/>
        <v>115155015921</v>
      </c>
      <c r="I741" s="142">
        <v>0.11160000000000003</v>
      </c>
      <c r="J741" s="142" t="s">
        <v>1871</v>
      </c>
      <c r="K741" s="143">
        <f t="shared" si="47"/>
        <v>1309.3559280000004</v>
      </c>
      <c r="L741" s="144">
        <f t="shared" si="48"/>
        <v>10423.224071999999</v>
      </c>
      <c r="M741" s="144">
        <f t="shared" si="49"/>
        <v>11732.58</v>
      </c>
      <c r="N741" s="145" t="s">
        <v>1331</v>
      </c>
      <c r="O741" s="125"/>
    </row>
    <row r="742" spans="1:15" ht="15" customHeight="1" x14ac:dyDescent="0.3">
      <c r="A742" s="90" t="s">
        <v>225</v>
      </c>
      <c r="B742" s="90" t="s">
        <v>676</v>
      </c>
      <c r="C742" s="90" t="s">
        <v>677</v>
      </c>
      <c r="D742" s="90" t="s">
        <v>1497</v>
      </c>
      <c r="E742" s="90" t="s">
        <v>1498</v>
      </c>
      <c r="F742" s="90" t="s">
        <v>1499</v>
      </c>
      <c r="G742" s="89">
        <v>12832</v>
      </c>
      <c r="H742" s="141" t="str">
        <f t="shared" si="50"/>
        <v>154101594921</v>
      </c>
      <c r="I742" s="142">
        <v>0.11208</v>
      </c>
      <c r="J742" s="142" t="s">
        <v>1862</v>
      </c>
      <c r="K742" s="143">
        <f t="shared" si="47"/>
        <v>1438.21056</v>
      </c>
      <c r="L742" s="144">
        <f t="shared" si="48"/>
        <v>11393.78944</v>
      </c>
      <c r="M742" s="144">
        <f t="shared" si="49"/>
        <v>12832</v>
      </c>
      <c r="N742" s="145" t="s">
        <v>1331</v>
      </c>
      <c r="O742" s="125"/>
    </row>
    <row r="743" spans="1:15" ht="15" customHeight="1" x14ac:dyDescent="0.3">
      <c r="A743" s="90" t="s">
        <v>225</v>
      </c>
      <c r="B743" s="90" t="s">
        <v>819</v>
      </c>
      <c r="C743" s="90" t="s">
        <v>820</v>
      </c>
      <c r="D743" s="90" t="s">
        <v>1329</v>
      </c>
      <c r="E743" s="90" t="s">
        <v>704</v>
      </c>
      <c r="F743" s="90" t="s">
        <v>1330</v>
      </c>
      <c r="G743" s="89">
        <v>13497.189999999999</v>
      </c>
      <c r="H743" s="141" t="str">
        <f t="shared" si="50"/>
        <v>135101505921</v>
      </c>
      <c r="I743" s="142">
        <v>0.11160000000000003</v>
      </c>
      <c r="J743" s="142" t="s">
        <v>1871</v>
      </c>
      <c r="K743" s="143">
        <f t="shared" si="47"/>
        <v>1506.2864040000004</v>
      </c>
      <c r="L743" s="144">
        <f t="shared" si="48"/>
        <v>11990.903595999998</v>
      </c>
      <c r="M743" s="144">
        <f t="shared" si="49"/>
        <v>13497.189999999999</v>
      </c>
      <c r="N743" s="145" t="s">
        <v>1331</v>
      </c>
      <c r="O743" s="125"/>
    </row>
    <row r="744" spans="1:15" ht="15" customHeight="1" x14ac:dyDescent="0.3">
      <c r="A744" s="90" t="s">
        <v>225</v>
      </c>
      <c r="B744" s="90" t="s">
        <v>1350</v>
      </c>
      <c r="C744" s="90" t="s">
        <v>1351</v>
      </c>
      <c r="D744" s="90" t="s">
        <v>1500</v>
      </c>
      <c r="E744" s="90" t="s">
        <v>1501</v>
      </c>
      <c r="F744" s="90" t="s">
        <v>1502</v>
      </c>
      <c r="G744" s="89">
        <v>14522.8</v>
      </c>
      <c r="H744" s="141" t="str">
        <f t="shared" si="50"/>
        <v>540605300921</v>
      </c>
      <c r="I744" s="142">
        <v>0.11209999999999998</v>
      </c>
      <c r="J744" s="142" t="s">
        <v>1864</v>
      </c>
      <c r="K744" s="143">
        <f t="shared" si="47"/>
        <v>1628.0058799999995</v>
      </c>
      <c r="L744" s="144">
        <f t="shared" si="48"/>
        <v>12894.79412</v>
      </c>
      <c r="M744" s="144">
        <f t="shared" si="49"/>
        <v>14522.8</v>
      </c>
      <c r="N744" s="145" t="s">
        <v>1331</v>
      </c>
      <c r="O744" s="125"/>
    </row>
    <row r="745" spans="1:15" ht="15" customHeight="1" x14ac:dyDescent="0.3">
      <c r="A745" s="90" t="s">
        <v>225</v>
      </c>
      <c r="B745" s="90" t="s">
        <v>1419</v>
      </c>
      <c r="C745" s="90" t="s">
        <v>1420</v>
      </c>
      <c r="D745" s="90" t="s">
        <v>1352</v>
      </c>
      <c r="E745" s="90" t="s">
        <v>1353</v>
      </c>
      <c r="F745" s="90" t="s">
        <v>1354</v>
      </c>
      <c r="G745" s="89">
        <v>15227.28</v>
      </c>
      <c r="H745" s="141" t="str">
        <f t="shared" si="50"/>
        <v>540105346921</v>
      </c>
      <c r="I745" s="142">
        <v>0.11209999999999998</v>
      </c>
      <c r="J745" s="142" t="s">
        <v>1864</v>
      </c>
      <c r="K745" s="143">
        <f t="shared" si="47"/>
        <v>1706.9780879999998</v>
      </c>
      <c r="L745" s="144">
        <f t="shared" si="48"/>
        <v>13520.301912000001</v>
      </c>
      <c r="M745" s="144">
        <f t="shared" si="49"/>
        <v>15227.28</v>
      </c>
      <c r="N745" s="145" t="s">
        <v>1331</v>
      </c>
      <c r="O745" s="125"/>
    </row>
    <row r="746" spans="1:15" ht="15" customHeight="1" x14ac:dyDescent="0.3">
      <c r="A746" s="90" t="s">
        <v>225</v>
      </c>
      <c r="B746" s="90" t="s">
        <v>790</v>
      </c>
      <c r="C746" s="90" t="s">
        <v>791</v>
      </c>
      <c r="D746" s="90" t="s">
        <v>1503</v>
      </c>
      <c r="E746" s="90" t="s">
        <v>1504</v>
      </c>
      <c r="F746" s="90" t="s">
        <v>1505</v>
      </c>
      <c r="G746" s="89">
        <v>16015.249999999998</v>
      </c>
      <c r="H746" s="141" t="str">
        <f t="shared" si="50"/>
        <v>510101560921</v>
      </c>
      <c r="I746" s="142">
        <v>0.11208</v>
      </c>
      <c r="J746" s="142" t="s">
        <v>1862</v>
      </c>
      <c r="K746" s="143">
        <f t="shared" si="47"/>
        <v>1794.9892199999997</v>
      </c>
      <c r="L746" s="144">
        <f t="shared" si="48"/>
        <v>14220.260779999999</v>
      </c>
      <c r="M746" s="144">
        <f t="shared" si="49"/>
        <v>16015.249999999998</v>
      </c>
      <c r="N746" s="145" t="s">
        <v>1331</v>
      </c>
      <c r="O746" s="125"/>
    </row>
    <row r="747" spans="1:15" ht="15" customHeight="1" x14ac:dyDescent="0.3">
      <c r="A747" s="90" t="s">
        <v>225</v>
      </c>
      <c r="B747" s="90" t="s">
        <v>639</v>
      </c>
      <c r="C747" s="90" t="s">
        <v>640</v>
      </c>
      <c r="D747" s="90" t="s">
        <v>1437</v>
      </c>
      <c r="E747" s="90" t="s">
        <v>1438</v>
      </c>
      <c r="F747" s="90" t="s">
        <v>1439</v>
      </c>
      <c r="G747" s="89">
        <v>16720.759999999998</v>
      </c>
      <c r="H747" s="141" t="str">
        <f t="shared" si="50"/>
        <v>161002463921</v>
      </c>
      <c r="I747" s="142">
        <v>0.11209999999999998</v>
      </c>
      <c r="J747" s="142" t="s">
        <v>308</v>
      </c>
      <c r="K747" s="143">
        <f t="shared" si="47"/>
        <v>1874.3971959999994</v>
      </c>
      <c r="L747" s="144">
        <f t="shared" si="48"/>
        <v>14846.362803999999</v>
      </c>
      <c r="M747" s="144">
        <f t="shared" si="49"/>
        <v>16720.759999999998</v>
      </c>
      <c r="N747" s="145" t="s">
        <v>1331</v>
      </c>
      <c r="O747" s="125"/>
    </row>
    <row r="748" spans="1:15" ht="15" customHeight="1" x14ac:dyDescent="0.3">
      <c r="A748" s="90" t="s">
        <v>225</v>
      </c>
      <c r="B748" s="90" t="s">
        <v>1445</v>
      </c>
      <c r="C748" s="90" t="s">
        <v>1446</v>
      </c>
      <c r="D748" s="90" t="s">
        <v>1357</v>
      </c>
      <c r="E748" s="90" t="s">
        <v>1358</v>
      </c>
      <c r="F748" s="90" t="s">
        <v>1359</v>
      </c>
      <c r="G748" s="89">
        <v>17063.64</v>
      </c>
      <c r="H748" s="141" t="str">
        <f t="shared" si="50"/>
        <v>410704760921</v>
      </c>
      <c r="I748" s="142">
        <v>0.11209999999999998</v>
      </c>
      <c r="J748" s="142" t="s">
        <v>308</v>
      </c>
      <c r="K748" s="143">
        <f t="shared" si="47"/>
        <v>1912.8340439999995</v>
      </c>
      <c r="L748" s="144">
        <f t="shared" si="48"/>
        <v>15150.805956</v>
      </c>
      <c r="M748" s="144">
        <f t="shared" si="49"/>
        <v>17063.64</v>
      </c>
      <c r="N748" s="145" t="s">
        <v>1331</v>
      </c>
      <c r="O748" s="125"/>
    </row>
    <row r="749" spans="1:15" ht="15" customHeight="1" x14ac:dyDescent="0.3">
      <c r="A749" s="90" t="s">
        <v>225</v>
      </c>
      <c r="B749" s="90" t="s">
        <v>1143</v>
      </c>
      <c r="C749" s="90" t="s">
        <v>1144</v>
      </c>
      <c r="D749" s="90" t="s">
        <v>1368</v>
      </c>
      <c r="E749" s="90" t="s">
        <v>1369</v>
      </c>
      <c r="F749" s="90" t="s">
        <v>1370</v>
      </c>
      <c r="G749" s="89">
        <v>17444.580000000002</v>
      </c>
      <c r="H749" s="141" t="str">
        <f t="shared" si="50"/>
        <v>540305290921</v>
      </c>
      <c r="I749" s="142">
        <v>0.11209999999999998</v>
      </c>
      <c r="J749" s="142" t="s">
        <v>1864</v>
      </c>
      <c r="K749" s="143">
        <f t="shared" si="47"/>
        <v>1955.5374179999999</v>
      </c>
      <c r="L749" s="144">
        <f t="shared" si="48"/>
        <v>15489.042582000002</v>
      </c>
      <c r="M749" s="144">
        <f t="shared" si="49"/>
        <v>17444.580000000002</v>
      </c>
      <c r="N749" s="145" t="s">
        <v>1331</v>
      </c>
      <c r="O749" s="125"/>
    </row>
    <row r="750" spans="1:15" ht="15" customHeight="1" x14ac:dyDescent="0.3">
      <c r="A750" s="90" t="s">
        <v>225</v>
      </c>
      <c r="B750" s="90" t="s">
        <v>1506</v>
      </c>
      <c r="C750" s="90" t="s">
        <v>1507</v>
      </c>
      <c r="D750" s="90" t="s">
        <v>1471</v>
      </c>
      <c r="E750" s="90" t="s">
        <v>1472</v>
      </c>
      <c r="F750" s="90" t="s">
        <v>1473</v>
      </c>
      <c r="G750" s="89">
        <v>18917.77</v>
      </c>
      <c r="H750" s="141" t="str">
        <f t="shared" si="50"/>
        <v>420502553921</v>
      </c>
      <c r="I750" s="142">
        <v>0.11208</v>
      </c>
      <c r="J750" s="142" t="s">
        <v>1862</v>
      </c>
      <c r="K750" s="143">
        <f t="shared" si="47"/>
        <v>2120.3036615999999</v>
      </c>
      <c r="L750" s="144">
        <f t="shared" si="48"/>
        <v>16797.466338400001</v>
      </c>
      <c r="M750" s="144">
        <f t="shared" si="49"/>
        <v>18917.77</v>
      </c>
      <c r="N750" s="145" t="s">
        <v>1331</v>
      </c>
      <c r="O750" s="125"/>
    </row>
    <row r="751" spans="1:15" ht="15" customHeight="1" x14ac:dyDescent="0.3">
      <c r="A751" s="90" t="s">
        <v>225</v>
      </c>
      <c r="B751" s="90" t="s">
        <v>1228</v>
      </c>
      <c r="C751" s="90" t="s">
        <v>1229</v>
      </c>
      <c r="D751" s="90" t="s">
        <v>1329</v>
      </c>
      <c r="E751" s="90" t="s">
        <v>704</v>
      </c>
      <c r="F751" s="90" t="s">
        <v>1330</v>
      </c>
      <c r="G751" s="89">
        <v>19653.21</v>
      </c>
      <c r="H751" s="141" t="str">
        <f t="shared" si="50"/>
        <v>154911505921</v>
      </c>
      <c r="I751" s="142">
        <v>0.11160000000000003</v>
      </c>
      <c r="J751" s="142" t="s">
        <v>1871</v>
      </c>
      <c r="K751" s="143">
        <f t="shared" si="47"/>
        <v>2193.2982360000005</v>
      </c>
      <c r="L751" s="144">
        <f t="shared" si="48"/>
        <v>17459.911763999997</v>
      </c>
      <c r="M751" s="144">
        <f t="shared" si="49"/>
        <v>19653.21</v>
      </c>
      <c r="N751" s="145" t="s">
        <v>1331</v>
      </c>
      <c r="O751" s="125"/>
    </row>
    <row r="752" spans="1:15" ht="15" customHeight="1" x14ac:dyDescent="0.3">
      <c r="A752" s="90" t="s">
        <v>225</v>
      </c>
      <c r="B752" s="90" t="s">
        <v>1480</v>
      </c>
      <c r="C752" s="90" t="s">
        <v>1481</v>
      </c>
      <c r="D752" s="90" t="s">
        <v>1411</v>
      </c>
      <c r="E752" s="90" t="s">
        <v>1412</v>
      </c>
      <c r="F752" s="90" t="s">
        <v>1413</v>
      </c>
      <c r="G752" s="89">
        <v>19863.28</v>
      </c>
      <c r="H752" s="141" t="str">
        <f t="shared" si="50"/>
        <v>540505270921</v>
      </c>
      <c r="I752" s="142">
        <v>0.11209999999999998</v>
      </c>
      <c r="J752" s="142" t="s">
        <v>1864</v>
      </c>
      <c r="K752" s="143">
        <f t="shared" si="47"/>
        <v>2226.6736879999994</v>
      </c>
      <c r="L752" s="144">
        <f t="shared" si="48"/>
        <v>17636.606312</v>
      </c>
      <c r="M752" s="144">
        <f t="shared" si="49"/>
        <v>19863.28</v>
      </c>
      <c r="N752" s="145" t="s">
        <v>1331</v>
      </c>
      <c r="O752" s="125"/>
    </row>
    <row r="753" spans="1:15" ht="15" customHeight="1" x14ac:dyDescent="0.3">
      <c r="A753" s="90" t="s">
        <v>225</v>
      </c>
      <c r="B753" s="90" t="s">
        <v>1350</v>
      </c>
      <c r="C753" s="90" t="s">
        <v>1351</v>
      </c>
      <c r="D753" s="90" t="s">
        <v>1508</v>
      </c>
      <c r="E753" s="90" t="s">
        <v>1509</v>
      </c>
      <c r="F753" s="90" t="s">
        <v>1510</v>
      </c>
      <c r="G753" s="89">
        <v>19980</v>
      </c>
      <c r="H753" s="141" t="str">
        <f t="shared" si="50"/>
        <v>540605310921</v>
      </c>
      <c r="I753" s="142">
        <v>0.11209999999999998</v>
      </c>
      <c r="J753" s="142" t="s">
        <v>1864</v>
      </c>
      <c r="K753" s="143">
        <f t="shared" si="47"/>
        <v>2239.7579999999994</v>
      </c>
      <c r="L753" s="144">
        <f t="shared" si="48"/>
        <v>17740.242000000002</v>
      </c>
      <c r="M753" s="144">
        <f t="shared" si="49"/>
        <v>19980</v>
      </c>
      <c r="N753" s="145" t="s">
        <v>1331</v>
      </c>
      <c r="O753" s="125"/>
    </row>
    <row r="754" spans="1:15" ht="15" customHeight="1" x14ac:dyDescent="0.3">
      <c r="A754" s="90" t="s">
        <v>225</v>
      </c>
      <c r="B754" s="90" t="s">
        <v>1327</v>
      </c>
      <c r="C754" s="90" t="s">
        <v>1328</v>
      </c>
      <c r="D754" s="90" t="s">
        <v>1437</v>
      </c>
      <c r="E754" s="90" t="s">
        <v>1438</v>
      </c>
      <c r="F754" s="90" t="s">
        <v>1439</v>
      </c>
      <c r="G754" s="89">
        <v>20000</v>
      </c>
      <c r="H754" s="141" t="str">
        <f t="shared" si="50"/>
        <v>160002463921</v>
      </c>
      <c r="I754" s="142">
        <v>0.11209999999999998</v>
      </c>
      <c r="J754" s="142" t="s">
        <v>308</v>
      </c>
      <c r="K754" s="143">
        <f t="shared" si="47"/>
        <v>2241.9999999999995</v>
      </c>
      <c r="L754" s="144">
        <f t="shared" si="48"/>
        <v>17758</v>
      </c>
      <c r="M754" s="144">
        <f t="shared" si="49"/>
        <v>20000</v>
      </c>
      <c r="N754" s="145" t="s">
        <v>1331</v>
      </c>
      <c r="O754" s="125"/>
    </row>
    <row r="755" spans="1:15" ht="15" customHeight="1" x14ac:dyDescent="0.3">
      <c r="A755" s="90" t="s">
        <v>225</v>
      </c>
      <c r="B755" s="90" t="s">
        <v>1392</v>
      </c>
      <c r="C755" s="90" t="s">
        <v>1393</v>
      </c>
      <c r="D755" s="90" t="s">
        <v>1471</v>
      </c>
      <c r="E755" s="90" t="s">
        <v>1472</v>
      </c>
      <c r="F755" s="90" t="s">
        <v>1473</v>
      </c>
      <c r="G755" s="89">
        <v>20000</v>
      </c>
      <c r="H755" s="141" t="str">
        <f t="shared" si="50"/>
        <v>420202553921</v>
      </c>
      <c r="I755" s="142">
        <v>0.11209999999999998</v>
      </c>
      <c r="J755" s="142" t="s">
        <v>308</v>
      </c>
      <c r="K755" s="143">
        <f t="shared" si="47"/>
        <v>2241.9999999999995</v>
      </c>
      <c r="L755" s="144">
        <f t="shared" si="48"/>
        <v>17758</v>
      </c>
      <c r="M755" s="144">
        <f t="shared" si="49"/>
        <v>20000</v>
      </c>
      <c r="N755" s="145" t="s">
        <v>1331</v>
      </c>
      <c r="O755" s="125"/>
    </row>
    <row r="756" spans="1:15" ht="15" customHeight="1" x14ac:dyDescent="0.3">
      <c r="A756" s="90" t="s">
        <v>225</v>
      </c>
      <c r="B756" s="90" t="s">
        <v>1366</v>
      </c>
      <c r="C756" s="90" t="s">
        <v>1367</v>
      </c>
      <c r="D756" s="90" t="s">
        <v>1411</v>
      </c>
      <c r="E756" s="90" t="s">
        <v>1412</v>
      </c>
      <c r="F756" s="90" t="s">
        <v>1413</v>
      </c>
      <c r="G756" s="89">
        <v>21626.98</v>
      </c>
      <c r="H756" s="141" t="str">
        <f t="shared" si="50"/>
        <v>540805270921</v>
      </c>
      <c r="I756" s="142">
        <v>0.11209999999999998</v>
      </c>
      <c r="J756" s="142" t="s">
        <v>1864</v>
      </c>
      <c r="K756" s="143">
        <f t="shared" si="47"/>
        <v>2424.3844579999995</v>
      </c>
      <c r="L756" s="144">
        <f t="shared" si="48"/>
        <v>19202.595541999999</v>
      </c>
      <c r="M756" s="144">
        <f t="shared" si="49"/>
        <v>21626.98</v>
      </c>
      <c r="N756" s="145" t="s">
        <v>1331</v>
      </c>
      <c r="O756" s="125"/>
    </row>
    <row r="757" spans="1:15" ht="15" customHeight="1" x14ac:dyDescent="0.3">
      <c r="A757" s="90" t="s">
        <v>225</v>
      </c>
      <c r="B757" s="90" t="s">
        <v>790</v>
      </c>
      <c r="C757" s="90" t="s">
        <v>791</v>
      </c>
      <c r="D757" s="90" t="s">
        <v>1511</v>
      </c>
      <c r="E757" s="90" t="s">
        <v>1512</v>
      </c>
      <c r="F757" s="90" t="s">
        <v>1513</v>
      </c>
      <c r="G757" s="89">
        <v>21747.090000000004</v>
      </c>
      <c r="H757" s="141" t="str">
        <f t="shared" si="50"/>
        <v>510101700921</v>
      </c>
      <c r="I757" s="142">
        <v>0.11208</v>
      </c>
      <c r="J757" s="142" t="s">
        <v>1862</v>
      </c>
      <c r="K757" s="143">
        <f t="shared" si="47"/>
        <v>2437.4138472000004</v>
      </c>
      <c r="L757" s="144">
        <f t="shared" si="48"/>
        <v>19309.676152800002</v>
      </c>
      <c r="M757" s="144">
        <f t="shared" si="49"/>
        <v>21747.090000000004</v>
      </c>
      <c r="N757" s="145" t="s">
        <v>1331</v>
      </c>
      <c r="O757" s="125"/>
    </row>
    <row r="758" spans="1:15" ht="15" customHeight="1" x14ac:dyDescent="0.3">
      <c r="A758" s="90" t="s">
        <v>225</v>
      </c>
      <c r="B758" s="90" t="s">
        <v>1301</v>
      </c>
      <c r="C758" s="90" t="s">
        <v>1302</v>
      </c>
      <c r="D758" s="90" t="s">
        <v>1514</v>
      </c>
      <c r="E758" s="90" t="s">
        <v>769</v>
      </c>
      <c r="F758" s="90" t="s">
        <v>1515</v>
      </c>
      <c r="G758" s="89">
        <v>24465.480000000003</v>
      </c>
      <c r="H758" s="141" t="str">
        <f t="shared" si="50"/>
        <v>340001670921</v>
      </c>
      <c r="I758" s="142">
        <v>0.11208</v>
      </c>
      <c r="J758" s="142" t="s">
        <v>1862</v>
      </c>
      <c r="K758" s="143">
        <f t="shared" si="47"/>
        <v>2742.0909984000004</v>
      </c>
      <c r="L758" s="144">
        <f t="shared" si="48"/>
        <v>21723.389001600004</v>
      </c>
      <c r="M758" s="144">
        <f t="shared" si="49"/>
        <v>24465.480000000003</v>
      </c>
      <c r="N758" s="145" t="s">
        <v>1331</v>
      </c>
      <c r="O758" s="125"/>
    </row>
    <row r="759" spans="1:15" ht="15" customHeight="1" x14ac:dyDescent="0.3">
      <c r="A759" s="90" t="s">
        <v>225</v>
      </c>
      <c r="B759" s="90" t="s">
        <v>1516</v>
      </c>
      <c r="C759" s="90" t="s">
        <v>1517</v>
      </c>
      <c r="D759" s="90" t="s">
        <v>1329</v>
      </c>
      <c r="E759" s="90" t="s">
        <v>704</v>
      </c>
      <c r="F759" s="90" t="s">
        <v>1330</v>
      </c>
      <c r="G759" s="89">
        <v>24645.27</v>
      </c>
      <c r="H759" s="141" t="str">
        <f t="shared" si="50"/>
        <v>755001505921</v>
      </c>
      <c r="I759" s="142">
        <v>0.11209999999999998</v>
      </c>
      <c r="J759" s="142" t="s">
        <v>1864</v>
      </c>
      <c r="K759" s="143">
        <f t="shared" si="47"/>
        <v>2762.7347669999995</v>
      </c>
      <c r="L759" s="144">
        <f t="shared" si="48"/>
        <v>21882.535233000002</v>
      </c>
      <c r="M759" s="144">
        <f t="shared" si="49"/>
        <v>24645.27</v>
      </c>
      <c r="N759" s="145" t="s">
        <v>1331</v>
      </c>
      <c r="O759" s="125"/>
    </row>
    <row r="760" spans="1:15" ht="15" customHeight="1" x14ac:dyDescent="0.3">
      <c r="A760" s="90" t="s">
        <v>225</v>
      </c>
      <c r="B760" s="90" t="s">
        <v>902</v>
      </c>
      <c r="C760" s="90" t="s">
        <v>903</v>
      </c>
      <c r="D760" s="90" t="s">
        <v>1329</v>
      </c>
      <c r="E760" s="90" t="s">
        <v>704</v>
      </c>
      <c r="F760" s="90" t="s">
        <v>1330</v>
      </c>
      <c r="G760" s="89">
        <v>25967.58</v>
      </c>
      <c r="H760" s="141" t="str">
        <f t="shared" si="50"/>
        <v>731001505921</v>
      </c>
      <c r="I760" s="142">
        <v>0.11209999999999998</v>
      </c>
      <c r="J760" s="142" t="s">
        <v>1864</v>
      </c>
      <c r="K760" s="143">
        <f t="shared" si="47"/>
        <v>2910.9657179999995</v>
      </c>
      <c r="L760" s="144">
        <f t="shared" si="48"/>
        <v>23056.614282000002</v>
      </c>
      <c r="M760" s="144">
        <f t="shared" si="49"/>
        <v>25967.58</v>
      </c>
      <c r="N760" s="145" t="s">
        <v>1331</v>
      </c>
      <c r="O760" s="125"/>
    </row>
    <row r="761" spans="1:15" ht="15" customHeight="1" x14ac:dyDescent="0.3">
      <c r="A761" s="90" t="s">
        <v>225</v>
      </c>
      <c r="B761" s="90" t="s">
        <v>1419</v>
      </c>
      <c r="C761" s="90" t="s">
        <v>1420</v>
      </c>
      <c r="D761" s="90" t="s">
        <v>1518</v>
      </c>
      <c r="E761" s="90" t="s">
        <v>1519</v>
      </c>
      <c r="F761" s="90" t="s">
        <v>1520</v>
      </c>
      <c r="G761" s="89">
        <v>27060</v>
      </c>
      <c r="H761" s="141" t="str">
        <f t="shared" si="50"/>
        <v>540105297921</v>
      </c>
      <c r="I761" s="142">
        <v>0</v>
      </c>
      <c r="J761" s="142" t="s">
        <v>1878</v>
      </c>
      <c r="K761" s="143">
        <f t="shared" si="47"/>
        <v>0</v>
      </c>
      <c r="L761" s="144">
        <f t="shared" si="48"/>
        <v>27060</v>
      </c>
      <c r="M761" s="144">
        <f t="shared" si="49"/>
        <v>27060</v>
      </c>
      <c r="N761" s="145" t="s">
        <v>1331</v>
      </c>
      <c r="O761" s="125"/>
    </row>
    <row r="762" spans="1:15" ht="15" customHeight="1" x14ac:dyDescent="0.3">
      <c r="A762" s="90" t="s">
        <v>225</v>
      </c>
      <c r="B762" s="90" t="s">
        <v>1521</v>
      </c>
      <c r="C762" s="90" t="s">
        <v>1522</v>
      </c>
      <c r="D762" s="90" t="s">
        <v>1329</v>
      </c>
      <c r="E762" s="90" t="s">
        <v>704</v>
      </c>
      <c r="F762" s="90" t="s">
        <v>1330</v>
      </c>
      <c r="G762" s="89">
        <v>27748.359999999997</v>
      </c>
      <c r="H762" s="141" t="str">
        <f t="shared" si="50"/>
        <v>740001505921</v>
      </c>
      <c r="I762" s="142">
        <v>0.11209999999999998</v>
      </c>
      <c r="J762" s="142" t="s">
        <v>1864</v>
      </c>
      <c r="K762" s="143">
        <f t="shared" si="47"/>
        <v>3110.591155999999</v>
      </c>
      <c r="L762" s="144">
        <f t="shared" si="48"/>
        <v>24637.768843999998</v>
      </c>
      <c r="M762" s="144">
        <f t="shared" si="49"/>
        <v>27748.359999999997</v>
      </c>
      <c r="N762" s="145" t="s">
        <v>1331</v>
      </c>
      <c r="O762" s="125"/>
    </row>
    <row r="763" spans="1:15" ht="15" customHeight="1" x14ac:dyDescent="0.3">
      <c r="A763" s="90" t="s">
        <v>225</v>
      </c>
      <c r="B763" s="90" t="s">
        <v>1523</v>
      </c>
      <c r="C763" s="90" t="s">
        <v>1524</v>
      </c>
      <c r="D763" s="90" t="s">
        <v>1525</v>
      </c>
      <c r="E763" s="90" t="s">
        <v>1526</v>
      </c>
      <c r="F763" s="90" t="s">
        <v>1527</v>
      </c>
      <c r="G763" s="89">
        <v>28442</v>
      </c>
      <c r="H763" s="141" t="str">
        <f t="shared" si="50"/>
        <v>312004560921</v>
      </c>
      <c r="I763" s="142">
        <v>0.11208</v>
      </c>
      <c r="J763" s="142" t="s">
        <v>1862</v>
      </c>
      <c r="K763" s="143">
        <f t="shared" si="47"/>
        <v>3187.77936</v>
      </c>
      <c r="L763" s="144">
        <f t="shared" si="48"/>
        <v>25254.22064</v>
      </c>
      <c r="M763" s="144">
        <f t="shared" si="49"/>
        <v>28442</v>
      </c>
      <c r="N763" s="145" t="s">
        <v>1331</v>
      </c>
      <c r="O763" s="125"/>
    </row>
    <row r="764" spans="1:15" ht="15" customHeight="1" x14ac:dyDescent="0.3">
      <c r="A764" s="90" t="s">
        <v>225</v>
      </c>
      <c r="B764" s="90" t="s">
        <v>962</v>
      </c>
      <c r="C764" s="90" t="s">
        <v>963</v>
      </c>
      <c r="D764" s="90" t="s">
        <v>1329</v>
      </c>
      <c r="E764" s="90" t="s">
        <v>704</v>
      </c>
      <c r="F764" s="90" t="s">
        <v>1330</v>
      </c>
      <c r="G764" s="89">
        <v>29971.5</v>
      </c>
      <c r="H764" s="141" t="str">
        <f t="shared" si="50"/>
        <v>727001505921</v>
      </c>
      <c r="I764" s="142">
        <v>0.11209999999999998</v>
      </c>
      <c r="J764" s="142" t="s">
        <v>1864</v>
      </c>
      <c r="K764" s="143">
        <f t="shared" si="47"/>
        <v>3359.8051499999992</v>
      </c>
      <c r="L764" s="144">
        <f t="shared" si="48"/>
        <v>26611.69485</v>
      </c>
      <c r="M764" s="144">
        <f t="shared" si="49"/>
        <v>29971.5</v>
      </c>
      <c r="N764" s="145" t="s">
        <v>1331</v>
      </c>
      <c r="O764" s="125"/>
    </row>
    <row r="765" spans="1:15" ht="15" customHeight="1" x14ac:dyDescent="0.3">
      <c r="A765" s="90" t="s">
        <v>225</v>
      </c>
      <c r="B765" s="90" t="s">
        <v>1528</v>
      </c>
      <c r="C765" s="90" t="s">
        <v>1529</v>
      </c>
      <c r="D765" s="90" t="s">
        <v>1329</v>
      </c>
      <c r="E765" s="90" t="s">
        <v>704</v>
      </c>
      <c r="F765" s="90" t="s">
        <v>1330</v>
      </c>
      <c r="G765" s="89">
        <v>30212.659999999996</v>
      </c>
      <c r="H765" s="141" t="str">
        <f t="shared" si="50"/>
        <v>770001505921</v>
      </c>
      <c r="I765" s="142">
        <v>0.11209999999999998</v>
      </c>
      <c r="J765" s="142" t="s">
        <v>1864</v>
      </c>
      <c r="K765" s="143">
        <f t="shared" si="47"/>
        <v>3386.8391859999988</v>
      </c>
      <c r="L765" s="144">
        <f t="shared" si="48"/>
        <v>26825.820813999999</v>
      </c>
      <c r="M765" s="144">
        <f t="shared" si="49"/>
        <v>30212.659999999996</v>
      </c>
      <c r="N765" s="145" t="s">
        <v>1331</v>
      </c>
      <c r="O765" s="125"/>
    </row>
    <row r="766" spans="1:15" ht="15" customHeight="1" x14ac:dyDescent="0.3">
      <c r="A766" s="90" t="s">
        <v>225</v>
      </c>
      <c r="B766" s="90" t="s">
        <v>1453</v>
      </c>
      <c r="C766" s="90" t="s">
        <v>1454</v>
      </c>
      <c r="D766" s="90" t="s">
        <v>1530</v>
      </c>
      <c r="E766" s="90" t="s">
        <v>1531</v>
      </c>
      <c r="F766" s="90" t="s">
        <v>1532</v>
      </c>
      <c r="G766" s="89">
        <v>32199.43</v>
      </c>
      <c r="H766" s="141" t="str">
        <f t="shared" si="50"/>
        <v>345004945921</v>
      </c>
      <c r="I766" s="142">
        <v>0.11208</v>
      </c>
      <c r="J766" s="142" t="s">
        <v>1862</v>
      </c>
      <c r="K766" s="143">
        <f t="shared" si="47"/>
        <v>3608.9121144000001</v>
      </c>
      <c r="L766" s="144">
        <f t="shared" si="48"/>
        <v>28590.517885599998</v>
      </c>
      <c r="M766" s="144">
        <f t="shared" si="49"/>
        <v>32199.43</v>
      </c>
      <c r="N766" s="145" t="s">
        <v>1331</v>
      </c>
      <c r="O766" s="125"/>
    </row>
    <row r="767" spans="1:15" ht="15" customHeight="1" x14ac:dyDescent="0.3">
      <c r="A767" s="90" t="s">
        <v>225</v>
      </c>
      <c r="B767" s="90" t="s">
        <v>676</v>
      </c>
      <c r="C767" s="90" t="s">
        <v>677</v>
      </c>
      <c r="D767" s="90" t="s">
        <v>1397</v>
      </c>
      <c r="E767" s="90" t="s">
        <v>1398</v>
      </c>
      <c r="F767" s="90" t="s">
        <v>1399</v>
      </c>
      <c r="G767" s="89">
        <v>32737.929999999997</v>
      </c>
      <c r="H767" s="141" t="str">
        <f t="shared" si="50"/>
        <v>154101593921</v>
      </c>
      <c r="I767" s="142">
        <v>0.11208</v>
      </c>
      <c r="J767" s="142" t="s">
        <v>1862</v>
      </c>
      <c r="K767" s="143">
        <f t="shared" si="47"/>
        <v>3669.2671943999994</v>
      </c>
      <c r="L767" s="144">
        <f t="shared" si="48"/>
        <v>29068.662805599997</v>
      </c>
      <c r="M767" s="144">
        <f t="shared" si="49"/>
        <v>32737.929999999997</v>
      </c>
      <c r="N767" s="145" t="s">
        <v>1331</v>
      </c>
      <c r="O767" s="125"/>
    </row>
    <row r="768" spans="1:15" ht="15" customHeight="1" x14ac:dyDescent="0.3">
      <c r="A768" s="90" t="s">
        <v>225</v>
      </c>
      <c r="B768" s="90" t="s">
        <v>954</v>
      </c>
      <c r="C768" s="90" t="s">
        <v>955</v>
      </c>
      <c r="D768" s="90" t="s">
        <v>1533</v>
      </c>
      <c r="E768" s="90" t="s">
        <v>1534</v>
      </c>
      <c r="F768" s="90" t="s">
        <v>1535</v>
      </c>
      <c r="G768" s="89">
        <v>34201.94</v>
      </c>
      <c r="H768" s="141" t="str">
        <f t="shared" si="50"/>
        <v>164004925921</v>
      </c>
      <c r="I768" s="142">
        <v>0.11209999999999998</v>
      </c>
      <c r="J768" s="142" t="s">
        <v>1864</v>
      </c>
      <c r="K768" s="143">
        <f t="shared" si="47"/>
        <v>3834.0374739999993</v>
      </c>
      <c r="L768" s="144">
        <f t="shared" si="48"/>
        <v>30367.902526000002</v>
      </c>
      <c r="M768" s="144">
        <f t="shared" si="49"/>
        <v>34201.94</v>
      </c>
      <c r="N768" s="145" t="s">
        <v>1331</v>
      </c>
      <c r="O768" s="125"/>
    </row>
    <row r="769" spans="1:15" ht="15" customHeight="1" x14ac:dyDescent="0.3">
      <c r="A769" s="90" t="s">
        <v>225</v>
      </c>
      <c r="B769" s="90" t="s">
        <v>686</v>
      </c>
      <c r="C769" s="90" t="s">
        <v>687</v>
      </c>
      <c r="D769" s="90" t="s">
        <v>1536</v>
      </c>
      <c r="E769" s="90" t="s">
        <v>1537</v>
      </c>
      <c r="F769" s="90" t="s">
        <v>1538</v>
      </c>
      <c r="G769" s="89">
        <v>36705.960000000006</v>
      </c>
      <c r="H769" s="141" t="str">
        <f t="shared" si="50"/>
        <v>131004755921</v>
      </c>
      <c r="I769" s="142">
        <v>0.11209999999999998</v>
      </c>
      <c r="J769" s="142" t="s">
        <v>1864</v>
      </c>
      <c r="K769" s="143">
        <f t="shared" si="47"/>
        <v>4114.7381159999995</v>
      </c>
      <c r="L769" s="144">
        <f t="shared" si="48"/>
        <v>32591.221884000006</v>
      </c>
      <c r="M769" s="144">
        <f t="shared" si="49"/>
        <v>36705.960000000006</v>
      </c>
      <c r="N769" s="145" t="s">
        <v>1331</v>
      </c>
      <c r="O769" s="125"/>
    </row>
    <row r="770" spans="1:15" ht="15" customHeight="1" x14ac:dyDescent="0.3">
      <c r="A770" s="90" t="s">
        <v>225</v>
      </c>
      <c r="B770" s="90" t="s">
        <v>1539</v>
      </c>
      <c r="C770" s="90" t="s">
        <v>1540</v>
      </c>
      <c r="D770" s="90" t="s">
        <v>1329</v>
      </c>
      <c r="E770" s="90" t="s">
        <v>704</v>
      </c>
      <c r="F770" s="90" t="s">
        <v>1330</v>
      </c>
      <c r="G770" s="89">
        <v>36970.65</v>
      </c>
      <c r="H770" s="141" t="str">
        <f t="shared" si="50"/>
        <v>730001505921</v>
      </c>
      <c r="I770" s="142">
        <v>0.11209999999999998</v>
      </c>
      <c r="J770" s="142" t="s">
        <v>1864</v>
      </c>
      <c r="K770" s="143">
        <f t="shared" si="47"/>
        <v>4144.4098649999996</v>
      </c>
      <c r="L770" s="144">
        <f t="shared" si="48"/>
        <v>32826.240135</v>
      </c>
      <c r="M770" s="144">
        <f t="shared" si="49"/>
        <v>36970.65</v>
      </c>
      <c r="N770" s="145" t="s">
        <v>1331</v>
      </c>
      <c r="O770" s="125"/>
    </row>
    <row r="771" spans="1:15" ht="15" customHeight="1" x14ac:dyDescent="0.3">
      <c r="A771" s="90" t="s">
        <v>225</v>
      </c>
      <c r="B771" s="90" t="s">
        <v>1409</v>
      </c>
      <c r="C771" s="90" t="s">
        <v>1410</v>
      </c>
      <c r="D771" s="90" t="s">
        <v>1541</v>
      </c>
      <c r="E771" s="90" t="s">
        <v>1542</v>
      </c>
      <c r="F771" s="90" t="s">
        <v>1543</v>
      </c>
      <c r="G771" s="89">
        <v>36984</v>
      </c>
      <c r="H771" s="141" t="str">
        <f t="shared" si="50"/>
        <v>540405284921</v>
      </c>
      <c r="I771" s="142">
        <v>0.11208</v>
      </c>
      <c r="J771" s="142" t="s">
        <v>1862</v>
      </c>
      <c r="K771" s="143">
        <f t="shared" si="47"/>
        <v>4145.1667200000002</v>
      </c>
      <c r="L771" s="144">
        <f t="shared" si="48"/>
        <v>32838.833279999999</v>
      </c>
      <c r="M771" s="144">
        <f t="shared" si="49"/>
        <v>36984</v>
      </c>
      <c r="N771" s="145" t="s">
        <v>1331</v>
      </c>
      <c r="O771" s="125"/>
    </row>
    <row r="772" spans="1:15" ht="15" customHeight="1" x14ac:dyDescent="0.3">
      <c r="A772" s="90" t="s">
        <v>225</v>
      </c>
      <c r="B772" s="90" t="s">
        <v>978</v>
      </c>
      <c r="C772" s="90" t="s">
        <v>979</v>
      </c>
      <c r="D772" s="90" t="s">
        <v>1544</v>
      </c>
      <c r="E772" s="90" t="s">
        <v>1545</v>
      </c>
      <c r="F772" s="90" t="s">
        <v>1546</v>
      </c>
      <c r="G772" s="89">
        <v>37734.480000000003</v>
      </c>
      <c r="H772" s="141" t="str">
        <f t="shared" si="50"/>
        <v>410404710921</v>
      </c>
      <c r="I772" s="142">
        <v>0.11209999999999998</v>
      </c>
      <c r="J772" s="142" t="s">
        <v>1864</v>
      </c>
      <c r="K772" s="143">
        <f t="shared" si="47"/>
        <v>4230.0352079999993</v>
      </c>
      <c r="L772" s="144">
        <f t="shared" si="48"/>
        <v>33504.444792000002</v>
      </c>
      <c r="M772" s="144">
        <f t="shared" si="49"/>
        <v>37734.480000000003</v>
      </c>
      <c r="N772" s="145" t="s">
        <v>1331</v>
      </c>
      <c r="O772" s="125"/>
    </row>
    <row r="773" spans="1:15" ht="15" customHeight="1" x14ac:dyDescent="0.3">
      <c r="A773" s="90" t="s">
        <v>225</v>
      </c>
      <c r="B773" s="90" t="s">
        <v>1547</v>
      </c>
      <c r="C773" s="90" t="s">
        <v>1548</v>
      </c>
      <c r="D773" s="90" t="s">
        <v>1329</v>
      </c>
      <c r="E773" s="90" t="s">
        <v>704</v>
      </c>
      <c r="F773" s="90" t="s">
        <v>1330</v>
      </c>
      <c r="G773" s="89">
        <v>40178.659999999996</v>
      </c>
      <c r="H773" s="141" t="str">
        <f t="shared" si="50"/>
        <v>710001505921</v>
      </c>
      <c r="I773" s="142">
        <v>0.11209999999999998</v>
      </c>
      <c r="J773" s="142" t="s">
        <v>1864</v>
      </c>
      <c r="K773" s="143">
        <f t="shared" si="47"/>
        <v>4504.0277859999987</v>
      </c>
      <c r="L773" s="144">
        <f t="shared" si="48"/>
        <v>35674.632213999997</v>
      </c>
      <c r="M773" s="144">
        <f t="shared" si="49"/>
        <v>40178.659999999996</v>
      </c>
      <c r="N773" s="145" t="s">
        <v>1331</v>
      </c>
      <c r="O773" s="125"/>
    </row>
    <row r="774" spans="1:15" ht="15" customHeight="1" x14ac:dyDescent="0.3">
      <c r="A774" s="90" t="s">
        <v>225</v>
      </c>
      <c r="B774" s="90" t="s">
        <v>1549</v>
      </c>
      <c r="C774" s="90" t="s">
        <v>1550</v>
      </c>
      <c r="D774" s="90" t="s">
        <v>1329</v>
      </c>
      <c r="E774" s="90" t="s">
        <v>704</v>
      </c>
      <c r="F774" s="90" t="s">
        <v>1330</v>
      </c>
      <c r="G774" s="89">
        <v>41566.670000000006</v>
      </c>
      <c r="H774" s="141" t="str">
        <f t="shared" si="50"/>
        <v>745001505921</v>
      </c>
      <c r="I774" s="142">
        <v>0.11209999999999998</v>
      </c>
      <c r="J774" s="142" t="s">
        <v>1864</v>
      </c>
      <c r="K774" s="143">
        <f t="shared" si="47"/>
        <v>4659.6237069999997</v>
      </c>
      <c r="L774" s="144">
        <f t="shared" si="48"/>
        <v>36907.046293000007</v>
      </c>
      <c r="M774" s="144">
        <f t="shared" si="49"/>
        <v>41566.670000000006</v>
      </c>
      <c r="N774" s="145" t="s">
        <v>1331</v>
      </c>
      <c r="O774" s="125"/>
    </row>
    <row r="775" spans="1:15" ht="15" customHeight="1" x14ac:dyDescent="0.3">
      <c r="A775" s="90" t="s">
        <v>225</v>
      </c>
      <c r="B775" s="90" t="s">
        <v>1366</v>
      </c>
      <c r="C775" s="90" t="s">
        <v>1367</v>
      </c>
      <c r="D775" s="90" t="s">
        <v>1329</v>
      </c>
      <c r="E775" s="90" t="s">
        <v>704</v>
      </c>
      <c r="F775" s="90" t="s">
        <v>1330</v>
      </c>
      <c r="G775" s="89">
        <v>49309.24</v>
      </c>
      <c r="H775" s="141" t="str">
        <f t="shared" si="50"/>
        <v>540801505921</v>
      </c>
      <c r="I775" s="142">
        <v>0.10419999999999996</v>
      </c>
      <c r="J775" s="142" t="s">
        <v>1861</v>
      </c>
      <c r="K775" s="143">
        <f t="shared" si="47"/>
        <v>5138.0228079999979</v>
      </c>
      <c r="L775" s="144">
        <f t="shared" si="48"/>
        <v>44171.217191999996</v>
      </c>
      <c r="M775" s="144">
        <f t="shared" si="49"/>
        <v>49309.239999999991</v>
      </c>
      <c r="N775" s="145" t="s">
        <v>1331</v>
      </c>
      <c r="O775" s="125"/>
    </row>
    <row r="776" spans="1:15" ht="15" customHeight="1" x14ac:dyDescent="0.3">
      <c r="A776" s="90" t="s">
        <v>225</v>
      </c>
      <c r="B776" s="90" t="s">
        <v>1551</v>
      </c>
      <c r="C776" s="90" t="s">
        <v>1552</v>
      </c>
      <c r="D776" s="90" t="s">
        <v>1553</v>
      </c>
      <c r="E776" s="90" t="s">
        <v>1554</v>
      </c>
      <c r="F776" s="90" t="s">
        <v>1555</v>
      </c>
      <c r="G776" s="89">
        <v>49500</v>
      </c>
      <c r="H776" s="141" t="str">
        <f t="shared" si="50"/>
        <v>852102560921</v>
      </c>
      <c r="I776" s="142">
        <v>0.11208</v>
      </c>
      <c r="J776" s="142" t="s">
        <v>1862</v>
      </c>
      <c r="K776" s="143">
        <f t="shared" si="47"/>
        <v>5547.96</v>
      </c>
      <c r="L776" s="144">
        <f t="shared" si="48"/>
        <v>43952.04</v>
      </c>
      <c r="M776" s="144">
        <f t="shared" si="49"/>
        <v>49500</v>
      </c>
      <c r="N776" s="145" t="s">
        <v>1331</v>
      </c>
      <c r="O776" s="125"/>
    </row>
    <row r="777" spans="1:15" ht="15" customHeight="1" x14ac:dyDescent="0.3">
      <c r="A777" s="90" t="s">
        <v>225</v>
      </c>
      <c r="B777" s="90" t="s">
        <v>939</v>
      </c>
      <c r="C777" s="90" t="s">
        <v>940</v>
      </c>
      <c r="D777" s="90" t="s">
        <v>1556</v>
      </c>
      <c r="E777" s="90" t="s">
        <v>1557</v>
      </c>
      <c r="F777" s="90" t="s">
        <v>1558</v>
      </c>
      <c r="G777" s="89">
        <v>49614.819999999992</v>
      </c>
      <c r="H777" s="141" t="str">
        <f t="shared" si="50"/>
        <v>410204700921</v>
      </c>
      <c r="I777" s="142">
        <v>0.11209999999999998</v>
      </c>
      <c r="J777" s="142" t="s">
        <v>1864</v>
      </c>
      <c r="K777" s="143">
        <f t="shared" si="47"/>
        <v>5561.821321999998</v>
      </c>
      <c r="L777" s="144">
        <f t="shared" si="48"/>
        <v>44052.998677999996</v>
      </c>
      <c r="M777" s="144">
        <f t="shared" si="49"/>
        <v>49614.819999999992</v>
      </c>
      <c r="N777" s="145" t="s">
        <v>1331</v>
      </c>
      <c r="O777" s="125"/>
    </row>
    <row r="778" spans="1:15" ht="15" customHeight="1" x14ac:dyDescent="0.3">
      <c r="A778" s="90" t="s">
        <v>225</v>
      </c>
      <c r="B778" s="90" t="s">
        <v>954</v>
      </c>
      <c r="C778" s="90" t="s">
        <v>955</v>
      </c>
      <c r="D778" s="90" t="s">
        <v>1559</v>
      </c>
      <c r="E778" s="90" t="s">
        <v>1560</v>
      </c>
      <c r="F778" s="90" t="s">
        <v>1561</v>
      </c>
      <c r="G778" s="89">
        <v>52731.729999999996</v>
      </c>
      <c r="H778" s="141" t="str">
        <f t="shared" si="50"/>
        <v>164004920921</v>
      </c>
      <c r="I778" s="142">
        <v>0.11209999999999998</v>
      </c>
      <c r="J778" s="142" t="s">
        <v>1864</v>
      </c>
      <c r="K778" s="143">
        <f t="shared" si="47"/>
        <v>5911.2269329999981</v>
      </c>
      <c r="L778" s="144">
        <f t="shared" si="48"/>
        <v>46820.503066999998</v>
      </c>
      <c r="M778" s="144">
        <f t="shared" si="49"/>
        <v>52731.729999999996</v>
      </c>
      <c r="N778" s="145" t="s">
        <v>1331</v>
      </c>
      <c r="O778" s="125"/>
    </row>
    <row r="779" spans="1:15" ht="15" customHeight="1" x14ac:dyDescent="0.3">
      <c r="A779" s="90" t="s">
        <v>225</v>
      </c>
      <c r="B779" s="90" t="s">
        <v>1562</v>
      </c>
      <c r="C779" s="90" t="s">
        <v>1563</v>
      </c>
      <c r="D779" s="90" t="s">
        <v>1329</v>
      </c>
      <c r="E779" s="90" t="s">
        <v>704</v>
      </c>
      <c r="F779" s="90" t="s">
        <v>1330</v>
      </c>
      <c r="G779" s="89">
        <v>54412.189999999995</v>
      </c>
      <c r="H779" s="141" t="str">
        <f t="shared" si="50"/>
        <v>736001505921</v>
      </c>
      <c r="I779" s="142">
        <v>0.11209999999999998</v>
      </c>
      <c r="J779" s="142" t="s">
        <v>1864</v>
      </c>
      <c r="K779" s="143">
        <f t="shared" si="47"/>
        <v>6099.6064989999986</v>
      </c>
      <c r="L779" s="144">
        <f t="shared" si="48"/>
        <v>48312.583500999994</v>
      </c>
      <c r="M779" s="144">
        <f t="shared" si="49"/>
        <v>54412.189999999995</v>
      </c>
      <c r="N779" s="145" t="s">
        <v>1331</v>
      </c>
      <c r="O779" s="125"/>
    </row>
    <row r="780" spans="1:15" ht="15" customHeight="1" x14ac:dyDescent="0.3">
      <c r="A780" s="90" t="s">
        <v>225</v>
      </c>
      <c r="B780" s="90" t="s">
        <v>1301</v>
      </c>
      <c r="C780" s="90" t="s">
        <v>1302</v>
      </c>
      <c r="D780" s="90" t="s">
        <v>1564</v>
      </c>
      <c r="E780" s="90" t="s">
        <v>1565</v>
      </c>
      <c r="F780" s="90" t="s">
        <v>1566</v>
      </c>
      <c r="G780" s="89">
        <v>56988.4</v>
      </c>
      <c r="H780" s="141" t="str">
        <f t="shared" si="50"/>
        <v>340002050921</v>
      </c>
      <c r="I780" s="142">
        <v>0.11208</v>
      </c>
      <c r="J780" s="142" t="s">
        <v>1862</v>
      </c>
      <c r="K780" s="143">
        <f t="shared" si="47"/>
        <v>6387.2598720000005</v>
      </c>
      <c r="L780" s="144">
        <f t="shared" si="48"/>
        <v>50601.140127999999</v>
      </c>
      <c r="M780" s="144">
        <f t="shared" si="49"/>
        <v>56988.4</v>
      </c>
      <c r="N780" s="145" t="s">
        <v>1331</v>
      </c>
      <c r="O780" s="125"/>
    </row>
    <row r="781" spans="1:15" ht="15" customHeight="1" x14ac:dyDescent="0.3">
      <c r="A781" s="90" t="s">
        <v>225</v>
      </c>
      <c r="B781" s="90" t="s">
        <v>1301</v>
      </c>
      <c r="C781" s="90" t="s">
        <v>1302</v>
      </c>
      <c r="D781" s="90" t="s">
        <v>1468</v>
      </c>
      <c r="E781" s="90" t="s">
        <v>1469</v>
      </c>
      <c r="F781" s="90" t="s">
        <v>1470</v>
      </c>
      <c r="G781" s="89">
        <v>67534.289999999994</v>
      </c>
      <c r="H781" s="141" t="str">
        <f t="shared" si="50"/>
        <v>340001672921</v>
      </c>
      <c r="I781" s="142">
        <v>0.11208</v>
      </c>
      <c r="J781" s="142" t="s">
        <v>1862</v>
      </c>
      <c r="K781" s="143">
        <f t="shared" si="47"/>
        <v>7569.2432231999992</v>
      </c>
      <c r="L781" s="144">
        <f t="shared" si="48"/>
        <v>59965.046776799994</v>
      </c>
      <c r="M781" s="144">
        <f t="shared" si="49"/>
        <v>67534.289999999994</v>
      </c>
      <c r="N781" s="145" t="s">
        <v>1331</v>
      </c>
      <c r="O781" s="125"/>
    </row>
    <row r="782" spans="1:15" ht="15" customHeight="1" x14ac:dyDescent="0.3">
      <c r="A782" s="90" t="s">
        <v>225</v>
      </c>
      <c r="B782" s="90" t="s">
        <v>1480</v>
      </c>
      <c r="C782" s="90" t="s">
        <v>1481</v>
      </c>
      <c r="D782" s="90" t="s">
        <v>1567</v>
      </c>
      <c r="E782" s="90" t="s">
        <v>1568</v>
      </c>
      <c r="F782" s="90" t="s">
        <v>1569</v>
      </c>
      <c r="G782" s="89">
        <v>71054.84</v>
      </c>
      <c r="H782" s="141" t="str">
        <f t="shared" si="50"/>
        <v>540505268921</v>
      </c>
      <c r="I782" s="142">
        <v>0.30000000000000004</v>
      </c>
      <c r="J782" s="142" t="s">
        <v>1891</v>
      </c>
      <c r="K782" s="143">
        <f t="shared" si="47"/>
        <v>21316.452000000001</v>
      </c>
      <c r="L782" s="144">
        <f t="shared" si="48"/>
        <v>49738.387999999992</v>
      </c>
      <c r="M782" s="144">
        <f t="shared" si="49"/>
        <v>71054.84</v>
      </c>
      <c r="N782" s="145" t="s">
        <v>1331</v>
      </c>
      <c r="O782" s="125"/>
    </row>
    <row r="783" spans="1:15" ht="15" customHeight="1" x14ac:dyDescent="0.3">
      <c r="A783" s="90" t="s">
        <v>225</v>
      </c>
      <c r="B783" s="90" t="s">
        <v>1350</v>
      </c>
      <c r="C783" s="90" t="s">
        <v>1351</v>
      </c>
      <c r="D783" s="90" t="s">
        <v>1329</v>
      </c>
      <c r="E783" s="90" t="s">
        <v>704</v>
      </c>
      <c r="F783" s="90" t="s">
        <v>1330</v>
      </c>
      <c r="G783" s="89">
        <v>72076.430000000008</v>
      </c>
      <c r="H783" s="141" t="str">
        <f t="shared" si="50"/>
        <v>540601505921</v>
      </c>
      <c r="I783" s="142">
        <v>0.11209999999999998</v>
      </c>
      <c r="J783" s="142" t="s">
        <v>1864</v>
      </c>
      <c r="K783" s="143">
        <f t="shared" si="47"/>
        <v>8079.7678029999988</v>
      </c>
      <c r="L783" s="144">
        <f t="shared" si="48"/>
        <v>63996.662197000012</v>
      </c>
      <c r="M783" s="144">
        <f t="shared" si="49"/>
        <v>72076.430000000008</v>
      </c>
      <c r="N783" s="145" t="s">
        <v>1331</v>
      </c>
      <c r="O783" s="125"/>
    </row>
    <row r="784" spans="1:15" ht="15" customHeight="1" x14ac:dyDescent="0.3">
      <c r="A784" s="90" t="s">
        <v>225</v>
      </c>
      <c r="B784" s="90" t="s">
        <v>1409</v>
      </c>
      <c r="C784" s="90" t="s">
        <v>1410</v>
      </c>
      <c r="D784" s="90" t="s">
        <v>1570</v>
      </c>
      <c r="E784" s="90" t="s">
        <v>1571</v>
      </c>
      <c r="F784" s="90" t="s">
        <v>1572</v>
      </c>
      <c r="G784" s="89">
        <v>72606.5</v>
      </c>
      <c r="H784" s="141" t="str">
        <f t="shared" si="50"/>
        <v>540405282921</v>
      </c>
      <c r="I784" s="142">
        <v>0.11208</v>
      </c>
      <c r="J784" s="142" t="s">
        <v>1862</v>
      </c>
      <c r="K784" s="143">
        <f t="shared" si="47"/>
        <v>8137.7365200000004</v>
      </c>
      <c r="L784" s="144">
        <f t="shared" si="48"/>
        <v>64468.763480000001</v>
      </c>
      <c r="M784" s="144">
        <f t="shared" si="49"/>
        <v>72606.5</v>
      </c>
      <c r="N784" s="145" t="s">
        <v>1331</v>
      </c>
      <c r="O784" s="125"/>
    </row>
    <row r="785" spans="1:15" ht="15" customHeight="1" x14ac:dyDescent="0.3">
      <c r="A785" s="90" t="s">
        <v>225</v>
      </c>
      <c r="B785" s="90" t="s">
        <v>676</v>
      </c>
      <c r="C785" s="90" t="s">
        <v>677</v>
      </c>
      <c r="D785" s="90" t="s">
        <v>1414</v>
      </c>
      <c r="E785" s="90" t="s">
        <v>1415</v>
      </c>
      <c r="F785" s="90" t="s">
        <v>1416</v>
      </c>
      <c r="G785" s="89">
        <v>78786.209999999977</v>
      </c>
      <c r="H785" s="141" t="str">
        <f t="shared" si="50"/>
        <v>154101592921</v>
      </c>
      <c r="I785" s="142">
        <v>0.11208</v>
      </c>
      <c r="J785" s="142" t="s">
        <v>1862</v>
      </c>
      <c r="K785" s="143">
        <f t="shared" si="47"/>
        <v>8830.3584167999979</v>
      </c>
      <c r="L785" s="144">
        <f t="shared" si="48"/>
        <v>69955.851583199983</v>
      </c>
      <c r="M785" s="144">
        <f t="shared" si="49"/>
        <v>78786.209999999977</v>
      </c>
      <c r="N785" s="145" t="s">
        <v>1331</v>
      </c>
      <c r="O785" s="125"/>
    </row>
    <row r="786" spans="1:15" ht="15" customHeight="1" x14ac:dyDescent="0.3">
      <c r="A786" s="90" t="s">
        <v>225</v>
      </c>
      <c r="B786" s="90" t="s">
        <v>1301</v>
      </c>
      <c r="C786" s="90" t="s">
        <v>1302</v>
      </c>
      <c r="D786" s="90" t="s">
        <v>1530</v>
      </c>
      <c r="E786" s="90" t="s">
        <v>1531</v>
      </c>
      <c r="F786" s="90" t="s">
        <v>1532</v>
      </c>
      <c r="G786" s="89">
        <v>89794.889999999985</v>
      </c>
      <c r="H786" s="141" t="str">
        <f t="shared" si="50"/>
        <v>340004945921</v>
      </c>
      <c r="I786" s="142">
        <v>0.11208</v>
      </c>
      <c r="J786" s="142" t="s">
        <v>1862</v>
      </c>
      <c r="K786" s="143">
        <f t="shared" si="47"/>
        <v>10064.211271199998</v>
      </c>
      <c r="L786" s="144">
        <f t="shared" si="48"/>
        <v>79730.67872879999</v>
      </c>
      <c r="M786" s="144">
        <f t="shared" si="49"/>
        <v>89794.889999999985</v>
      </c>
      <c r="N786" s="145" t="s">
        <v>1331</v>
      </c>
      <c r="O786" s="125"/>
    </row>
    <row r="787" spans="1:15" ht="15" customHeight="1" x14ac:dyDescent="0.3">
      <c r="A787" s="90" t="s">
        <v>225</v>
      </c>
      <c r="B787" s="90" t="s">
        <v>992</v>
      </c>
      <c r="C787" s="90" t="s">
        <v>993</v>
      </c>
      <c r="D787" s="90" t="s">
        <v>1329</v>
      </c>
      <c r="E787" s="90" t="s">
        <v>704</v>
      </c>
      <c r="F787" s="90" t="s">
        <v>1330</v>
      </c>
      <c r="G787" s="89">
        <v>97312.65</v>
      </c>
      <c r="H787" s="141" t="str">
        <f t="shared" si="50"/>
        <v>760001505921</v>
      </c>
      <c r="I787" s="142">
        <v>0.11209999999999998</v>
      </c>
      <c r="J787" s="142" t="s">
        <v>1864</v>
      </c>
      <c r="K787" s="143">
        <f t="shared" si="47"/>
        <v>10908.748064999998</v>
      </c>
      <c r="L787" s="144">
        <f t="shared" si="48"/>
        <v>86403.901935000002</v>
      </c>
      <c r="M787" s="144">
        <f t="shared" si="49"/>
        <v>97312.65</v>
      </c>
      <c r="N787" s="145" t="s">
        <v>1331</v>
      </c>
      <c r="O787" s="125"/>
    </row>
    <row r="788" spans="1:15" ht="15" customHeight="1" x14ac:dyDescent="0.3">
      <c r="A788" s="90" t="s">
        <v>225</v>
      </c>
      <c r="B788" s="90" t="s">
        <v>1573</v>
      </c>
      <c r="C788" s="90" t="s">
        <v>1574</v>
      </c>
      <c r="D788" s="90" t="s">
        <v>1329</v>
      </c>
      <c r="E788" s="90" t="s">
        <v>704</v>
      </c>
      <c r="F788" s="90" t="s">
        <v>1330</v>
      </c>
      <c r="G788" s="89">
        <v>110456.57</v>
      </c>
      <c r="H788" s="141" t="str">
        <f t="shared" si="50"/>
        <v>749001505921</v>
      </c>
      <c r="I788" s="142">
        <v>0.11209999999999998</v>
      </c>
      <c r="J788" s="142" t="s">
        <v>1864</v>
      </c>
      <c r="K788" s="143">
        <f t="shared" si="47"/>
        <v>12382.181496999998</v>
      </c>
      <c r="L788" s="144">
        <f t="shared" si="48"/>
        <v>98074.388503000009</v>
      </c>
      <c r="M788" s="144">
        <f t="shared" si="49"/>
        <v>110456.57</v>
      </c>
      <c r="N788" s="145" t="s">
        <v>1331</v>
      </c>
      <c r="O788" s="125"/>
    </row>
    <row r="789" spans="1:15" ht="15" customHeight="1" x14ac:dyDescent="0.3">
      <c r="A789" s="90" t="s">
        <v>225</v>
      </c>
      <c r="B789" s="90" t="s">
        <v>1350</v>
      </c>
      <c r="C789" s="90" t="s">
        <v>1351</v>
      </c>
      <c r="D789" s="90" t="s">
        <v>1575</v>
      </c>
      <c r="E789" s="90" t="s">
        <v>1576</v>
      </c>
      <c r="F789" s="90" t="s">
        <v>1577</v>
      </c>
      <c r="G789" s="89">
        <v>114955</v>
      </c>
      <c r="H789" s="141" t="str">
        <f t="shared" si="50"/>
        <v>540605260921</v>
      </c>
      <c r="I789" s="142">
        <v>0.11209999999999998</v>
      </c>
      <c r="J789" s="142" t="s">
        <v>1864</v>
      </c>
      <c r="K789" s="143">
        <f t="shared" si="47"/>
        <v>12886.455499999998</v>
      </c>
      <c r="L789" s="144">
        <f t="shared" si="48"/>
        <v>102068.5445</v>
      </c>
      <c r="M789" s="144">
        <f t="shared" si="49"/>
        <v>114955</v>
      </c>
      <c r="N789" s="145" t="s">
        <v>1331</v>
      </c>
      <c r="O789" s="125"/>
    </row>
    <row r="790" spans="1:15" ht="15" customHeight="1" x14ac:dyDescent="0.3">
      <c r="A790" s="90" t="s">
        <v>225</v>
      </c>
      <c r="B790" s="90" t="s">
        <v>1366</v>
      </c>
      <c r="C790" s="90" t="s">
        <v>1367</v>
      </c>
      <c r="D790" s="90" t="s">
        <v>1352</v>
      </c>
      <c r="E790" s="90" t="s">
        <v>1353</v>
      </c>
      <c r="F790" s="90" t="s">
        <v>1354</v>
      </c>
      <c r="G790" s="89">
        <v>117486.19</v>
      </c>
      <c r="H790" s="141" t="str">
        <f t="shared" si="50"/>
        <v>540805346921</v>
      </c>
      <c r="I790" s="142">
        <v>0.11209999999999998</v>
      </c>
      <c r="J790" s="142" t="s">
        <v>1864</v>
      </c>
      <c r="K790" s="143">
        <f t="shared" si="47"/>
        <v>13170.201898999998</v>
      </c>
      <c r="L790" s="144">
        <f t="shared" si="48"/>
        <v>104315.98810100001</v>
      </c>
      <c r="M790" s="144">
        <f t="shared" si="49"/>
        <v>117486.19</v>
      </c>
      <c r="N790" s="145" t="s">
        <v>1331</v>
      </c>
      <c r="O790" s="125"/>
    </row>
    <row r="791" spans="1:15" ht="15" customHeight="1" x14ac:dyDescent="0.3">
      <c r="A791" s="90" t="s">
        <v>225</v>
      </c>
      <c r="B791" s="90" t="s">
        <v>1350</v>
      </c>
      <c r="C791" s="90" t="s">
        <v>1351</v>
      </c>
      <c r="D791" s="90" t="s">
        <v>1474</v>
      </c>
      <c r="E791" s="90" t="s">
        <v>1475</v>
      </c>
      <c r="F791" s="90" t="s">
        <v>1476</v>
      </c>
      <c r="G791" s="89">
        <v>119270.42</v>
      </c>
      <c r="H791" s="141" t="str">
        <f t="shared" si="50"/>
        <v>540605316921</v>
      </c>
      <c r="I791" s="142">
        <v>0.11209999999999998</v>
      </c>
      <c r="J791" s="142" t="s">
        <v>1864</v>
      </c>
      <c r="K791" s="143">
        <f t="shared" si="47"/>
        <v>13370.214081999997</v>
      </c>
      <c r="L791" s="144">
        <f t="shared" si="48"/>
        <v>105900.20591800001</v>
      </c>
      <c r="M791" s="144">
        <f t="shared" si="49"/>
        <v>119270.42</v>
      </c>
      <c r="N791" s="145" t="s">
        <v>1331</v>
      </c>
      <c r="O791" s="125"/>
    </row>
    <row r="792" spans="1:15" ht="15" customHeight="1" x14ac:dyDescent="0.3">
      <c r="A792" s="90" t="s">
        <v>225</v>
      </c>
      <c r="B792" s="90" t="s">
        <v>1143</v>
      </c>
      <c r="C792" s="90" t="s">
        <v>1144</v>
      </c>
      <c r="D792" s="90" t="s">
        <v>1578</v>
      </c>
      <c r="E792" s="90" t="s">
        <v>1579</v>
      </c>
      <c r="F792" s="90" t="s">
        <v>1580</v>
      </c>
      <c r="G792" s="89">
        <v>129035.07999999999</v>
      </c>
      <c r="H792" s="141" t="str">
        <f t="shared" si="50"/>
        <v>540305276921</v>
      </c>
      <c r="I792" s="142">
        <v>0.11209999999999998</v>
      </c>
      <c r="J792" s="142" t="s">
        <v>1864</v>
      </c>
      <c r="K792" s="143">
        <f t="shared" ref="K792:K855" si="51">G792*I792</f>
        <v>14464.832467999995</v>
      </c>
      <c r="L792" s="144">
        <f t="shared" ref="L792:L855" si="52">G792-K792</f>
        <v>114570.24753199999</v>
      </c>
      <c r="M792" s="144">
        <f t="shared" ref="M792:M855" si="53">K792+L792</f>
        <v>129035.07999999999</v>
      </c>
      <c r="N792" s="145" t="s">
        <v>1331</v>
      </c>
      <c r="O792" s="125"/>
    </row>
    <row r="793" spans="1:15" ht="15" customHeight="1" x14ac:dyDescent="0.3">
      <c r="A793" s="90" t="s">
        <v>225</v>
      </c>
      <c r="B793" s="90" t="s">
        <v>1581</v>
      </c>
      <c r="C793" s="90" t="s">
        <v>1582</v>
      </c>
      <c r="D793" s="90" t="s">
        <v>1583</v>
      </c>
      <c r="E793" s="90" t="s">
        <v>1584</v>
      </c>
      <c r="F793" s="90" t="s">
        <v>1585</v>
      </c>
      <c r="G793" s="89">
        <v>151753.82</v>
      </c>
      <c r="H793" s="141" t="str">
        <f t="shared" ref="H793:H856" si="54">CONCATENATE(B793,RIGHT(D793,4),A793)</f>
        <v>162016600921</v>
      </c>
      <c r="I793" s="142">
        <v>0.11160000000000003</v>
      </c>
      <c r="J793" s="142" t="s">
        <v>1882</v>
      </c>
      <c r="K793" s="143">
        <f t="shared" si="51"/>
        <v>16935.726312000006</v>
      </c>
      <c r="L793" s="144">
        <f t="shared" si="52"/>
        <v>134818.09368799999</v>
      </c>
      <c r="M793" s="144">
        <f t="shared" si="53"/>
        <v>151753.82</v>
      </c>
      <c r="N793" s="145" t="s">
        <v>1331</v>
      </c>
      <c r="O793" s="125"/>
    </row>
    <row r="794" spans="1:15" ht="15" customHeight="1" x14ac:dyDescent="0.3">
      <c r="A794" s="90" t="s">
        <v>225</v>
      </c>
      <c r="B794" s="90" t="s">
        <v>1586</v>
      </c>
      <c r="C794" s="90" t="s">
        <v>1587</v>
      </c>
      <c r="D794" s="90" t="s">
        <v>1329</v>
      </c>
      <c r="E794" s="90" t="s">
        <v>704</v>
      </c>
      <c r="F794" s="90" t="s">
        <v>1330</v>
      </c>
      <c r="G794" s="89">
        <v>153084.15</v>
      </c>
      <c r="H794" s="141" t="str">
        <f t="shared" si="54"/>
        <v>154921505921</v>
      </c>
      <c r="I794" s="142">
        <v>0.11209999999999998</v>
      </c>
      <c r="J794" s="142" t="s">
        <v>1864</v>
      </c>
      <c r="K794" s="143">
        <f t="shared" si="51"/>
        <v>17160.733214999997</v>
      </c>
      <c r="L794" s="144">
        <f t="shared" si="52"/>
        <v>135923.41678500001</v>
      </c>
      <c r="M794" s="144">
        <f t="shared" si="53"/>
        <v>153084.15</v>
      </c>
      <c r="N794" s="145" t="s">
        <v>1331</v>
      </c>
      <c r="O794" s="125"/>
    </row>
    <row r="795" spans="1:15" ht="15" customHeight="1" x14ac:dyDescent="0.3">
      <c r="A795" s="90" t="s">
        <v>225</v>
      </c>
      <c r="B795" s="90" t="s">
        <v>1419</v>
      </c>
      <c r="C795" s="90" t="s">
        <v>1420</v>
      </c>
      <c r="D795" s="90" t="s">
        <v>1363</v>
      </c>
      <c r="E795" s="90" t="s">
        <v>1364</v>
      </c>
      <c r="F795" s="90" t="s">
        <v>1365</v>
      </c>
      <c r="G795" s="89">
        <v>154289.5</v>
      </c>
      <c r="H795" s="141" t="str">
        <f t="shared" si="54"/>
        <v>540105295921</v>
      </c>
      <c r="I795" s="142">
        <v>0.11209999999999998</v>
      </c>
      <c r="J795" s="142" t="s">
        <v>1864</v>
      </c>
      <c r="K795" s="143">
        <f t="shared" si="51"/>
        <v>17295.852949999997</v>
      </c>
      <c r="L795" s="144">
        <f t="shared" si="52"/>
        <v>136993.64705</v>
      </c>
      <c r="M795" s="144">
        <f t="shared" si="53"/>
        <v>154289.5</v>
      </c>
      <c r="N795" s="145" t="s">
        <v>1331</v>
      </c>
      <c r="O795" s="125"/>
    </row>
    <row r="796" spans="1:15" ht="15" customHeight="1" x14ac:dyDescent="0.3">
      <c r="A796" s="90" t="s">
        <v>225</v>
      </c>
      <c r="B796" s="90" t="s">
        <v>1291</v>
      </c>
      <c r="C796" s="90" t="s">
        <v>1292</v>
      </c>
      <c r="D796" s="90" t="s">
        <v>1329</v>
      </c>
      <c r="E796" s="90" t="s">
        <v>704</v>
      </c>
      <c r="F796" s="90" t="s">
        <v>1330</v>
      </c>
      <c r="G796" s="89">
        <v>155630.54999999999</v>
      </c>
      <c r="H796" s="141" t="str">
        <f t="shared" si="54"/>
        <v>520201505921</v>
      </c>
      <c r="I796" s="142">
        <v>0.11209999999999998</v>
      </c>
      <c r="J796" s="142" t="s">
        <v>1864</v>
      </c>
      <c r="K796" s="143">
        <f t="shared" si="51"/>
        <v>17446.184654999994</v>
      </c>
      <c r="L796" s="144">
        <f t="shared" si="52"/>
        <v>138184.365345</v>
      </c>
      <c r="M796" s="144">
        <f t="shared" si="53"/>
        <v>155630.54999999999</v>
      </c>
      <c r="N796" s="145" t="s">
        <v>1331</v>
      </c>
      <c r="O796" s="125"/>
    </row>
    <row r="797" spans="1:15" ht="15" customHeight="1" x14ac:dyDescent="0.3">
      <c r="A797" s="90" t="s">
        <v>225</v>
      </c>
      <c r="B797" s="90" t="s">
        <v>1588</v>
      </c>
      <c r="C797" s="90" t="s">
        <v>1589</v>
      </c>
      <c r="D797" s="90" t="s">
        <v>1329</v>
      </c>
      <c r="E797" s="90" t="s">
        <v>704</v>
      </c>
      <c r="F797" s="90" t="s">
        <v>1330</v>
      </c>
      <c r="G797" s="89">
        <v>163960.5</v>
      </c>
      <c r="H797" s="141" t="str">
        <f t="shared" si="54"/>
        <v>460301505921</v>
      </c>
      <c r="I797" s="142">
        <v>0.11209999999999998</v>
      </c>
      <c r="J797" s="142" t="s">
        <v>1864</v>
      </c>
      <c r="K797" s="143">
        <f t="shared" si="51"/>
        <v>18379.972049999997</v>
      </c>
      <c r="L797" s="144">
        <f t="shared" si="52"/>
        <v>145580.52795000002</v>
      </c>
      <c r="M797" s="144">
        <f t="shared" si="53"/>
        <v>163960.5</v>
      </c>
      <c r="N797" s="145" t="s">
        <v>1331</v>
      </c>
      <c r="O797" s="125"/>
    </row>
    <row r="798" spans="1:15" ht="15" customHeight="1" x14ac:dyDescent="0.3">
      <c r="A798" s="90" t="s">
        <v>225</v>
      </c>
      <c r="B798" s="90" t="s">
        <v>1029</v>
      </c>
      <c r="C798" s="90" t="s">
        <v>1030</v>
      </c>
      <c r="D798" s="90" t="s">
        <v>1590</v>
      </c>
      <c r="E798" s="90" t="s">
        <v>1591</v>
      </c>
      <c r="F798" s="90" t="s">
        <v>1592</v>
      </c>
      <c r="G798" s="89">
        <v>170058.13</v>
      </c>
      <c r="H798" s="141" t="str">
        <f t="shared" si="54"/>
        <v>410504720921</v>
      </c>
      <c r="I798" s="142">
        <v>0.11209999999999998</v>
      </c>
      <c r="J798" s="142" t="s">
        <v>1864</v>
      </c>
      <c r="K798" s="143">
        <f t="shared" si="51"/>
        <v>19063.516372999995</v>
      </c>
      <c r="L798" s="144">
        <f t="shared" si="52"/>
        <v>150994.61362700001</v>
      </c>
      <c r="M798" s="144">
        <f t="shared" si="53"/>
        <v>170058.13</v>
      </c>
      <c r="N798" s="145" t="s">
        <v>1331</v>
      </c>
      <c r="O798" s="125"/>
    </row>
    <row r="799" spans="1:15" ht="15" customHeight="1" x14ac:dyDescent="0.3">
      <c r="A799" s="90" t="s">
        <v>225</v>
      </c>
      <c r="B799" s="90" t="s">
        <v>1143</v>
      </c>
      <c r="C799" s="90" t="s">
        <v>1144</v>
      </c>
      <c r="D799" s="90" t="s">
        <v>1593</v>
      </c>
      <c r="E799" s="90" t="s">
        <v>1594</v>
      </c>
      <c r="F799" s="90" t="s">
        <v>1595</v>
      </c>
      <c r="G799" s="89">
        <v>171044</v>
      </c>
      <c r="H799" s="141" t="str">
        <f t="shared" si="54"/>
        <v>540305291921</v>
      </c>
      <c r="I799" s="142">
        <v>0.11209999999999998</v>
      </c>
      <c r="J799" s="142" t="s">
        <v>1864</v>
      </c>
      <c r="K799" s="143">
        <f t="shared" si="51"/>
        <v>19174.032399999996</v>
      </c>
      <c r="L799" s="144">
        <f t="shared" si="52"/>
        <v>151869.9676</v>
      </c>
      <c r="M799" s="144">
        <f t="shared" si="53"/>
        <v>171044</v>
      </c>
      <c r="N799" s="145" t="s">
        <v>1331</v>
      </c>
      <c r="O799" s="125"/>
    </row>
    <row r="800" spans="1:15" ht="15" customHeight="1" x14ac:dyDescent="0.3">
      <c r="A800" s="90" t="s">
        <v>225</v>
      </c>
      <c r="B800" s="90" t="s">
        <v>1284</v>
      </c>
      <c r="C800" s="90" t="s">
        <v>1285</v>
      </c>
      <c r="D800" s="90" t="s">
        <v>1329</v>
      </c>
      <c r="E800" s="90" t="s">
        <v>704</v>
      </c>
      <c r="F800" s="90" t="s">
        <v>1330</v>
      </c>
      <c r="G800" s="89">
        <v>176295.44000000003</v>
      </c>
      <c r="H800" s="141" t="str">
        <f t="shared" si="54"/>
        <v>460101505921</v>
      </c>
      <c r="I800" s="142">
        <v>0.11209999999999998</v>
      </c>
      <c r="J800" s="142" t="s">
        <v>1864</v>
      </c>
      <c r="K800" s="143">
        <f t="shared" si="51"/>
        <v>19762.718824</v>
      </c>
      <c r="L800" s="144">
        <f t="shared" si="52"/>
        <v>156532.72117600002</v>
      </c>
      <c r="M800" s="144">
        <f t="shared" si="53"/>
        <v>176295.44000000003</v>
      </c>
      <c r="N800" s="145" t="s">
        <v>1331</v>
      </c>
      <c r="O800" s="125"/>
    </row>
    <row r="801" spans="1:15" ht="15" customHeight="1" x14ac:dyDescent="0.3">
      <c r="A801" s="90" t="s">
        <v>225</v>
      </c>
      <c r="B801" s="90" t="s">
        <v>686</v>
      </c>
      <c r="C801" s="90" t="s">
        <v>687</v>
      </c>
      <c r="D801" s="90" t="s">
        <v>1463</v>
      </c>
      <c r="E801" s="90" t="s">
        <v>1464</v>
      </c>
      <c r="F801" s="90" t="s">
        <v>1465</v>
      </c>
      <c r="G801" s="89">
        <v>179690.38</v>
      </c>
      <c r="H801" s="141" t="str">
        <f t="shared" si="54"/>
        <v>131004735921</v>
      </c>
      <c r="I801" s="142">
        <v>0.11209999999999998</v>
      </c>
      <c r="J801" s="142" t="s">
        <v>1864</v>
      </c>
      <c r="K801" s="143">
        <f t="shared" si="51"/>
        <v>20143.291597999996</v>
      </c>
      <c r="L801" s="144">
        <f t="shared" si="52"/>
        <v>159547.08840200002</v>
      </c>
      <c r="M801" s="144">
        <f t="shared" si="53"/>
        <v>179690.38</v>
      </c>
      <c r="N801" s="145" t="s">
        <v>1331</v>
      </c>
      <c r="O801" s="125"/>
    </row>
    <row r="802" spans="1:15" ht="15" customHeight="1" x14ac:dyDescent="0.3">
      <c r="A802" s="90" t="s">
        <v>225</v>
      </c>
      <c r="B802" s="90" t="s">
        <v>1596</v>
      </c>
      <c r="C802" s="90" t="s">
        <v>1597</v>
      </c>
      <c r="D802" s="90" t="s">
        <v>1329</v>
      </c>
      <c r="E802" s="90" t="s">
        <v>704</v>
      </c>
      <c r="F802" s="90" t="s">
        <v>1330</v>
      </c>
      <c r="G802" s="89">
        <v>199188.74</v>
      </c>
      <c r="H802" s="141" t="str">
        <f t="shared" si="54"/>
        <v>330001505921</v>
      </c>
      <c r="I802" s="142">
        <v>0.11208</v>
      </c>
      <c r="J802" s="142" t="s">
        <v>1862</v>
      </c>
      <c r="K802" s="143">
        <f t="shared" si="51"/>
        <v>22325.073979199999</v>
      </c>
      <c r="L802" s="144">
        <f t="shared" si="52"/>
        <v>176863.66602079998</v>
      </c>
      <c r="M802" s="144">
        <f t="shared" si="53"/>
        <v>199188.74</v>
      </c>
      <c r="N802" s="145" t="s">
        <v>1331</v>
      </c>
      <c r="O802" s="125"/>
    </row>
    <row r="803" spans="1:15" ht="15" customHeight="1" x14ac:dyDescent="0.3">
      <c r="A803" s="90" t="s">
        <v>225</v>
      </c>
      <c r="B803" s="90" t="s">
        <v>939</v>
      </c>
      <c r="C803" s="90" t="s">
        <v>940</v>
      </c>
      <c r="D803" s="90" t="s">
        <v>1447</v>
      </c>
      <c r="E803" s="90" t="s">
        <v>1448</v>
      </c>
      <c r="F803" s="90" t="s">
        <v>1449</v>
      </c>
      <c r="G803" s="89">
        <v>226682.98</v>
      </c>
      <c r="H803" s="141" t="str">
        <f t="shared" si="54"/>
        <v>410204750921</v>
      </c>
      <c r="I803" s="142">
        <v>0.11209999999999998</v>
      </c>
      <c r="J803" s="142" t="s">
        <v>1864</v>
      </c>
      <c r="K803" s="143">
        <f t="shared" si="51"/>
        <v>25411.162057999994</v>
      </c>
      <c r="L803" s="144">
        <f t="shared" si="52"/>
        <v>201271.81794200002</v>
      </c>
      <c r="M803" s="144">
        <f t="shared" si="53"/>
        <v>226682.98</v>
      </c>
      <c r="N803" s="145" t="s">
        <v>1331</v>
      </c>
      <c r="O803" s="125"/>
    </row>
    <row r="804" spans="1:15" ht="15" customHeight="1" x14ac:dyDescent="0.3">
      <c r="A804" s="90" t="s">
        <v>225</v>
      </c>
      <c r="B804" s="90" t="s">
        <v>686</v>
      </c>
      <c r="C804" s="90" t="s">
        <v>687</v>
      </c>
      <c r="D804" s="90" t="s">
        <v>1590</v>
      </c>
      <c r="E804" s="90" t="s">
        <v>1591</v>
      </c>
      <c r="F804" s="90" t="s">
        <v>1592</v>
      </c>
      <c r="G804" s="89">
        <v>228031.08000000005</v>
      </c>
      <c r="H804" s="141" t="str">
        <f t="shared" si="54"/>
        <v>131004720921</v>
      </c>
      <c r="I804" s="142">
        <v>0.11209999999999998</v>
      </c>
      <c r="J804" s="142" t="s">
        <v>1864</v>
      </c>
      <c r="K804" s="143">
        <f t="shared" si="51"/>
        <v>25562.284068000001</v>
      </c>
      <c r="L804" s="144">
        <f t="shared" si="52"/>
        <v>202468.79593200004</v>
      </c>
      <c r="M804" s="144">
        <f t="shared" si="53"/>
        <v>228031.08000000005</v>
      </c>
      <c r="N804" s="145" t="s">
        <v>1331</v>
      </c>
      <c r="O804" s="125"/>
    </row>
    <row r="805" spans="1:15" ht="15" customHeight="1" x14ac:dyDescent="0.3">
      <c r="A805" s="90" t="s">
        <v>225</v>
      </c>
      <c r="B805" s="90" t="s">
        <v>1466</v>
      </c>
      <c r="C805" s="90" t="s">
        <v>1467</v>
      </c>
      <c r="D805" s="90" t="s">
        <v>1329</v>
      </c>
      <c r="E805" s="90" t="s">
        <v>704</v>
      </c>
      <c r="F805" s="90" t="s">
        <v>1330</v>
      </c>
      <c r="G805" s="89">
        <v>236170.32</v>
      </c>
      <c r="H805" s="141" t="str">
        <f t="shared" si="54"/>
        <v>313001505921</v>
      </c>
      <c r="I805" s="142">
        <v>0.11208</v>
      </c>
      <c r="J805" s="142" t="s">
        <v>1862</v>
      </c>
      <c r="K805" s="143">
        <f t="shared" si="51"/>
        <v>26469.969465599999</v>
      </c>
      <c r="L805" s="144">
        <f t="shared" si="52"/>
        <v>209700.3505344</v>
      </c>
      <c r="M805" s="144">
        <f t="shared" si="53"/>
        <v>236170.32</v>
      </c>
      <c r="N805" s="145" t="s">
        <v>1331</v>
      </c>
      <c r="O805" s="125"/>
    </row>
    <row r="806" spans="1:15" ht="15" customHeight="1" x14ac:dyDescent="0.3">
      <c r="A806" s="90" t="s">
        <v>225</v>
      </c>
      <c r="B806" s="90" t="s">
        <v>1029</v>
      </c>
      <c r="C806" s="90" t="s">
        <v>1030</v>
      </c>
      <c r="D806" s="90" t="s">
        <v>1357</v>
      </c>
      <c r="E806" s="90" t="s">
        <v>1358</v>
      </c>
      <c r="F806" s="90" t="s">
        <v>1359</v>
      </c>
      <c r="G806" s="89">
        <v>238774.25999999998</v>
      </c>
      <c r="H806" s="141" t="str">
        <f t="shared" si="54"/>
        <v>410504760921</v>
      </c>
      <c r="I806" s="142">
        <v>0.11209999999999998</v>
      </c>
      <c r="J806" s="142" t="s">
        <v>1864</v>
      </c>
      <c r="K806" s="143">
        <f t="shared" si="51"/>
        <v>26766.594545999993</v>
      </c>
      <c r="L806" s="144">
        <f t="shared" si="52"/>
        <v>212007.665454</v>
      </c>
      <c r="M806" s="144">
        <f t="shared" si="53"/>
        <v>238774.26</v>
      </c>
      <c r="N806" s="145" t="s">
        <v>1331</v>
      </c>
      <c r="O806" s="125"/>
    </row>
    <row r="807" spans="1:15" ht="15" customHeight="1" x14ac:dyDescent="0.3">
      <c r="A807" s="90" t="s">
        <v>225</v>
      </c>
      <c r="B807" s="90" t="s">
        <v>1598</v>
      </c>
      <c r="C807" s="90" t="s">
        <v>1599</v>
      </c>
      <c r="D807" s="90" t="s">
        <v>1329</v>
      </c>
      <c r="E807" s="90" t="s">
        <v>704</v>
      </c>
      <c r="F807" s="90" t="s">
        <v>1330</v>
      </c>
      <c r="G807" s="89">
        <v>248964.29</v>
      </c>
      <c r="H807" s="141" t="str">
        <f t="shared" si="54"/>
        <v>510501505921</v>
      </c>
      <c r="I807" s="142">
        <v>0.11209999999999998</v>
      </c>
      <c r="J807" s="142" t="s">
        <v>1864</v>
      </c>
      <c r="K807" s="143">
        <f t="shared" si="51"/>
        <v>27908.896908999996</v>
      </c>
      <c r="L807" s="144">
        <f t="shared" si="52"/>
        <v>221055.39309100001</v>
      </c>
      <c r="M807" s="144">
        <f t="shared" si="53"/>
        <v>248964.29</v>
      </c>
      <c r="N807" s="145" t="s">
        <v>1331</v>
      </c>
      <c r="O807" s="125"/>
    </row>
    <row r="808" spans="1:15" ht="15" customHeight="1" x14ac:dyDescent="0.3">
      <c r="A808" s="90" t="s">
        <v>225</v>
      </c>
      <c r="B808" s="90" t="s">
        <v>1600</v>
      </c>
      <c r="C808" s="90" t="s">
        <v>1601</v>
      </c>
      <c r="D808" s="90" t="s">
        <v>1602</v>
      </c>
      <c r="E808" s="90" t="s">
        <v>1603</v>
      </c>
      <c r="F808" s="90" t="s">
        <v>1604</v>
      </c>
      <c r="G808" s="89">
        <v>299159.08</v>
      </c>
      <c r="H808" s="141" t="str">
        <f t="shared" si="54"/>
        <v>510451207921</v>
      </c>
      <c r="I808" s="142">
        <v>0.11209999999999998</v>
      </c>
      <c r="J808" s="142" t="s">
        <v>1864</v>
      </c>
      <c r="K808" s="143">
        <f t="shared" si="51"/>
        <v>33535.732867999992</v>
      </c>
      <c r="L808" s="144">
        <f t="shared" si="52"/>
        <v>265623.34713200002</v>
      </c>
      <c r="M808" s="144">
        <f t="shared" si="53"/>
        <v>299159.08</v>
      </c>
      <c r="N808" s="145" t="s">
        <v>1331</v>
      </c>
      <c r="O808" s="125"/>
    </row>
    <row r="809" spans="1:15" ht="15" customHeight="1" x14ac:dyDescent="0.3">
      <c r="A809" s="90" t="s">
        <v>225</v>
      </c>
      <c r="B809" s="90" t="s">
        <v>939</v>
      </c>
      <c r="C809" s="90" t="s">
        <v>940</v>
      </c>
      <c r="D809" s="90" t="s">
        <v>1357</v>
      </c>
      <c r="E809" s="90" t="s">
        <v>1358</v>
      </c>
      <c r="F809" s="90" t="s">
        <v>1359</v>
      </c>
      <c r="G809" s="89">
        <v>301289.98</v>
      </c>
      <c r="H809" s="141" t="str">
        <f t="shared" si="54"/>
        <v>410204760921</v>
      </c>
      <c r="I809" s="142">
        <v>0.11209999999999998</v>
      </c>
      <c r="J809" s="142" t="s">
        <v>1864</v>
      </c>
      <c r="K809" s="143">
        <f t="shared" si="51"/>
        <v>33774.606757999994</v>
      </c>
      <c r="L809" s="144">
        <f t="shared" si="52"/>
        <v>267515.373242</v>
      </c>
      <c r="M809" s="144">
        <f t="shared" si="53"/>
        <v>301289.98</v>
      </c>
      <c r="N809" s="145" t="s">
        <v>1331</v>
      </c>
      <c r="O809" s="125"/>
    </row>
    <row r="810" spans="1:15" ht="15" customHeight="1" x14ac:dyDescent="0.3">
      <c r="A810" s="90" t="s">
        <v>225</v>
      </c>
      <c r="B810" s="90" t="s">
        <v>1301</v>
      </c>
      <c r="C810" s="90" t="s">
        <v>1302</v>
      </c>
      <c r="D810" s="90" t="s">
        <v>1329</v>
      </c>
      <c r="E810" s="90" t="s">
        <v>704</v>
      </c>
      <c r="F810" s="90" t="s">
        <v>1330</v>
      </c>
      <c r="G810" s="89">
        <v>316414.25</v>
      </c>
      <c r="H810" s="141" t="str">
        <f t="shared" si="54"/>
        <v>340001505921</v>
      </c>
      <c r="I810" s="142">
        <v>0.11208</v>
      </c>
      <c r="J810" s="142" t="s">
        <v>1862</v>
      </c>
      <c r="K810" s="143">
        <f t="shared" si="51"/>
        <v>35463.709139999999</v>
      </c>
      <c r="L810" s="144">
        <f t="shared" si="52"/>
        <v>280950.54086000001</v>
      </c>
      <c r="M810" s="144">
        <f t="shared" si="53"/>
        <v>316414.25</v>
      </c>
      <c r="N810" s="145" t="s">
        <v>1331</v>
      </c>
      <c r="O810" s="125"/>
    </row>
    <row r="811" spans="1:15" ht="15" customHeight="1" x14ac:dyDescent="0.3">
      <c r="A811" s="90" t="s">
        <v>225</v>
      </c>
      <c r="B811" s="90" t="s">
        <v>1445</v>
      </c>
      <c r="C811" s="90" t="s">
        <v>1446</v>
      </c>
      <c r="D811" s="90" t="s">
        <v>1329</v>
      </c>
      <c r="E811" s="90" t="s">
        <v>704</v>
      </c>
      <c r="F811" s="90" t="s">
        <v>1330</v>
      </c>
      <c r="G811" s="89">
        <v>316417.84999999998</v>
      </c>
      <c r="H811" s="141" t="str">
        <f t="shared" si="54"/>
        <v>410701505921</v>
      </c>
      <c r="I811" s="142">
        <v>0.11209999999999998</v>
      </c>
      <c r="J811" s="142" t="s">
        <v>1864</v>
      </c>
      <c r="K811" s="143">
        <f t="shared" si="51"/>
        <v>35470.440984999994</v>
      </c>
      <c r="L811" s="144">
        <f t="shared" si="52"/>
        <v>280947.40901499998</v>
      </c>
      <c r="M811" s="144">
        <f t="shared" si="53"/>
        <v>316417.84999999998</v>
      </c>
      <c r="N811" s="145" t="s">
        <v>1331</v>
      </c>
      <c r="O811" s="125"/>
    </row>
    <row r="812" spans="1:15" ht="15" customHeight="1" x14ac:dyDescent="0.3">
      <c r="A812" s="90" t="s">
        <v>225</v>
      </c>
      <c r="B812" s="90" t="s">
        <v>939</v>
      </c>
      <c r="C812" s="90" t="s">
        <v>940</v>
      </c>
      <c r="D812" s="90" t="s">
        <v>1463</v>
      </c>
      <c r="E812" s="90" t="s">
        <v>1464</v>
      </c>
      <c r="F812" s="90" t="s">
        <v>1465</v>
      </c>
      <c r="G812" s="89">
        <v>321679.49999999994</v>
      </c>
      <c r="H812" s="141" t="str">
        <f t="shared" si="54"/>
        <v>410204735921</v>
      </c>
      <c r="I812" s="142">
        <v>0.11209999999999998</v>
      </c>
      <c r="J812" s="142" t="s">
        <v>1864</v>
      </c>
      <c r="K812" s="143">
        <f t="shared" si="51"/>
        <v>36060.271949999988</v>
      </c>
      <c r="L812" s="144">
        <f t="shared" si="52"/>
        <v>285619.22804999998</v>
      </c>
      <c r="M812" s="144">
        <f t="shared" si="53"/>
        <v>321679.49999999994</v>
      </c>
      <c r="N812" s="145" t="s">
        <v>1331</v>
      </c>
      <c r="O812" s="125"/>
    </row>
    <row r="813" spans="1:15" ht="15" customHeight="1" x14ac:dyDescent="0.3">
      <c r="A813" s="90" t="s">
        <v>225</v>
      </c>
      <c r="B813" s="90" t="s">
        <v>939</v>
      </c>
      <c r="C813" s="90" t="s">
        <v>940</v>
      </c>
      <c r="D813" s="90" t="s">
        <v>1489</v>
      </c>
      <c r="E813" s="90" t="s">
        <v>1490</v>
      </c>
      <c r="F813" s="90" t="s">
        <v>1491</v>
      </c>
      <c r="G813" s="89">
        <v>328424.27</v>
      </c>
      <c r="H813" s="141" t="str">
        <f t="shared" si="54"/>
        <v>410201596921</v>
      </c>
      <c r="I813" s="142">
        <v>0.11209999999999998</v>
      </c>
      <c r="J813" s="142" t="s">
        <v>1864</v>
      </c>
      <c r="K813" s="143">
        <f t="shared" si="51"/>
        <v>36816.360666999994</v>
      </c>
      <c r="L813" s="144">
        <f t="shared" si="52"/>
        <v>291607.90933300002</v>
      </c>
      <c r="M813" s="144">
        <f t="shared" si="53"/>
        <v>328424.27</v>
      </c>
      <c r="N813" s="145" t="s">
        <v>1331</v>
      </c>
      <c r="O813" s="125"/>
    </row>
    <row r="814" spans="1:15" ht="15" customHeight="1" x14ac:dyDescent="0.3">
      <c r="A814" s="90" t="s">
        <v>225</v>
      </c>
      <c r="B814" s="90" t="s">
        <v>782</v>
      </c>
      <c r="C814" s="90" t="s">
        <v>783</v>
      </c>
      <c r="D814" s="90" t="s">
        <v>1329</v>
      </c>
      <c r="E814" s="90" t="s">
        <v>704</v>
      </c>
      <c r="F814" s="90" t="s">
        <v>1330</v>
      </c>
      <c r="G814" s="89">
        <v>394133.08</v>
      </c>
      <c r="H814" s="141" t="str">
        <f t="shared" si="54"/>
        <v>163001505921</v>
      </c>
      <c r="I814" s="142">
        <v>0.11209999999999998</v>
      </c>
      <c r="J814" s="142" t="s">
        <v>1864</v>
      </c>
      <c r="K814" s="143">
        <f t="shared" si="51"/>
        <v>44182.318267999995</v>
      </c>
      <c r="L814" s="144">
        <f t="shared" si="52"/>
        <v>349950.76173200004</v>
      </c>
      <c r="M814" s="144">
        <f t="shared" si="53"/>
        <v>394133.08</v>
      </c>
      <c r="N814" s="145" t="s">
        <v>1331</v>
      </c>
      <c r="O814" s="125"/>
    </row>
    <row r="815" spans="1:15" ht="15" customHeight="1" x14ac:dyDescent="0.3">
      <c r="A815" s="90" t="s">
        <v>225</v>
      </c>
      <c r="B815" s="90" t="s">
        <v>1605</v>
      </c>
      <c r="C815" s="90" t="s">
        <v>1606</v>
      </c>
      <c r="D815" s="90" t="s">
        <v>1329</v>
      </c>
      <c r="E815" s="90" t="s">
        <v>704</v>
      </c>
      <c r="F815" s="90" t="s">
        <v>1330</v>
      </c>
      <c r="G815" s="89">
        <v>404043.63999999996</v>
      </c>
      <c r="H815" s="141" t="str">
        <f t="shared" si="54"/>
        <v>480101505921</v>
      </c>
      <c r="I815" s="142">
        <v>0.11209999999999998</v>
      </c>
      <c r="J815" s="142" t="s">
        <v>1864</v>
      </c>
      <c r="K815" s="143">
        <f t="shared" si="51"/>
        <v>45293.292043999987</v>
      </c>
      <c r="L815" s="144">
        <f t="shared" si="52"/>
        <v>358750.34795599995</v>
      </c>
      <c r="M815" s="144">
        <f t="shared" si="53"/>
        <v>404043.63999999996</v>
      </c>
      <c r="N815" s="145" t="s">
        <v>1331</v>
      </c>
      <c r="O815" s="125"/>
    </row>
    <row r="816" spans="1:15" ht="15" customHeight="1" x14ac:dyDescent="0.3">
      <c r="A816" s="90" t="s">
        <v>225</v>
      </c>
      <c r="B816" s="90" t="s">
        <v>1301</v>
      </c>
      <c r="C816" s="90" t="s">
        <v>1302</v>
      </c>
      <c r="D816" s="90" t="s">
        <v>1442</v>
      </c>
      <c r="E816" s="90" t="s">
        <v>1443</v>
      </c>
      <c r="F816" s="90" t="s">
        <v>1444</v>
      </c>
      <c r="G816" s="89">
        <v>433619.57</v>
      </c>
      <c r="H816" s="141" t="str">
        <f t="shared" si="54"/>
        <v>340004536921</v>
      </c>
      <c r="I816" s="142">
        <v>0.11208</v>
      </c>
      <c r="J816" s="142" t="s">
        <v>1862</v>
      </c>
      <c r="K816" s="143">
        <f t="shared" si="51"/>
        <v>48600.081405600002</v>
      </c>
      <c r="L816" s="144">
        <f t="shared" si="52"/>
        <v>385019.4885944</v>
      </c>
      <c r="M816" s="144">
        <f t="shared" si="53"/>
        <v>433619.57</v>
      </c>
      <c r="N816" s="145" t="s">
        <v>1331</v>
      </c>
      <c r="O816" s="125"/>
    </row>
    <row r="817" spans="1:15" ht="15" customHeight="1" x14ac:dyDescent="0.3">
      <c r="A817" s="90" t="s">
        <v>225</v>
      </c>
      <c r="B817" s="90" t="s">
        <v>1607</v>
      </c>
      <c r="C817" s="90" t="s">
        <v>1608</v>
      </c>
      <c r="D817" s="90" t="s">
        <v>1329</v>
      </c>
      <c r="E817" s="90" t="s">
        <v>704</v>
      </c>
      <c r="F817" s="90" t="s">
        <v>1330</v>
      </c>
      <c r="G817" s="89">
        <v>457290.85999999993</v>
      </c>
      <c r="H817" s="141" t="str">
        <f t="shared" si="54"/>
        <v>420401505921</v>
      </c>
      <c r="I817" s="142">
        <v>0.11209999999999998</v>
      </c>
      <c r="J817" s="142" t="s">
        <v>1864</v>
      </c>
      <c r="K817" s="143">
        <f t="shared" si="51"/>
        <v>51262.305405999985</v>
      </c>
      <c r="L817" s="144">
        <f t="shared" si="52"/>
        <v>406028.55459399993</v>
      </c>
      <c r="M817" s="144">
        <f t="shared" si="53"/>
        <v>457290.85999999993</v>
      </c>
      <c r="N817" s="145" t="s">
        <v>1331</v>
      </c>
      <c r="O817" s="125"/>
    </row>
    <row r="818" spans="1:15" ht="15" customHeight="1" x14ac:dyDescent="0.3">
      <c r="A818" s="90" t="s">
        <v>225</v>
      </c>
      <c r="B818" s="90" t="s">
        <v>1506</v>
      </c>
      <c r="C818" s="90" t="s">
        <v>1507</v>
      </c>
      <c r="D818" s="90" t="s">
        <v>1329</v>
      </c>
      <c r="E818" s="90" t="s">
        <v>704</v>
      </c>
      <c r="F818" s="90" t="s">
        <v>1330</v>
      </c>
      <c r="G818" s="89">
        <v>465515.91000000003</v>
      </c>
      <c r="H818" s="141" t="str">
        <f t="shared" si="54"/>
        <v>420501505921</v>
      </c>
      <c r="I818" s="142">
        <v>0.11208</v>
      </c>
      <c r="J818" s="142" t="s">
        <v>1862</v>
      </c>
      <c r="K818" s="143">
        <f t="shared" si="51"/>
        <v>52175.023192800007</v>
      </c>
      <c r="L818" s="144">
        <f t="shared" si="52"/>
        <v>413340.88680720003</v>
      </c>
      <c r="M818" s="144">
        <f t="shared" si="53"/>
        <v>465515.91000000003</v>
      </c>
      <c r="N818" s="145" t="s">
        <v>1331</v>
      </c>
      <c r="O818" s="125"/>
    </row>
    <row r="819" spans="1:15" ht="15" customHeight="1" x14ac:dyDescent="0.3">
      <c r="A819" s="90" t="s">
        <v>225</v>
      </c>
      <c r="B819" s="90" t="s">
        <v>1440</v>
      </c>
      <c r="C819" s="90" t="s">
        <v>1441</v>
      </c>
      <c r="D819" s="90" t="s">
        <v>1329</v>
      </c>
      <c r="E819" s="90" t="s">
        <v>704</v>
      </c>
      <c r="F819" s="90" t="s">
        <v>1330</v>
      </c>
      <c r="G819" s="89">
        <v>478869.64</v>
      </c>
      <c r="H819" s="141" t="str">
        <f t="shared" si="54"/>
        <v>311001505921</v>
      </c>
      <c r="I819" s="142">
        <v>0.11209999999999998</v>
      </c>
      <c r="J819" s="142" t="s">
        <v>1864</v>
      </c>
      <c r="K819" s="143">
        <f t="shared" si="51"/>
        <v>53681.286643999993</v>
      </c>
      <c r="L819" s="144">
        <f t="shared" si="52"/>
        <v>425188.35335600004</v>
      </c>
      <c r="M819" s="144">
        <f t="shared" si="53"/>
        <v>478869.64</v>
      </c>
      <c r="N819" s="145" t="s">
        <v>1331</v>
      </c>
      <c r="O819" s="125"/>
    </row>
    <row r="820" spans="1:15" ht="15" customHeight="1" x14ac:dyDescent="0.3">
      <c r="A820" s="90" t="s">
        <v>225</v>
      </c>
      <c r="B820" s="90" t="s">
        <v>1598</v>
      </c>
      <c r="C820" s="90" t="s">
        <v>1599</v>
      </c>
      <c r="D820" s="90" t="s">
        <v>1602</v>
      </c>
      <c r="E820" s="90" t="s">
        <v>1603</v>
      </c>
      <c r="F820" s="90" t="s">
        <v>1604</v>
      </c>
      <c r="G820" s="89">
        <v>490189.22</v>
      </c>
      <c r="H820" s="141" t="str">
        <f t="shared" si="54"/>
        <v>510501207921</v>
      </c>
      <c r="I820" s="142">
        <v>0.11209999999999998</v>
      </c>
      <c r="J820" s="142" t="s">
        <v>1864</v>
      </c>
      <c r="K820" s="143">
        <f t="shared" si="51"/>
        <v>54950.211561999982</v>
      </c>
      <c r="L820" s="144">
        <f t="shared" si="52"/>
        <v>435239.00843799999</v>
      </c>
      <c r="M820" s="144">
        <f t="shared" si="53"/>
        <v>490189.22</v>
      </c>
      <c r="N820" s="145" t="s">
        <v>1331</v>
      </c>
      <c r="O820" s="125"/>
    </row>
    <row r="821" spans="1:15" ht="15" customHeight="1" x14ac:dyDescent="0.3">
      <c r="A821" s="90" t="s">
        <v>225</v>
      </c>
      <c r="B821" s="90" t="s">
        <v>1445</v>
      </c>
      <c r="C821" s="90" t="s">
        <v>1446</v>
      </c>
      <c r="D821" s="90" t="s">
        <v>1544</v>
      </c>
      <c r="E821" s="90" t="s">
        <v>1545</v>
      </c>
      <c r="F821" s="90" t="s">
        <v>1546</v>
      </c>
      <c r="G821" s="89">
        <v>506882.44999999995</v>
      </c>
      <c r="H821" s="141" t="str">
        <f t="shared" si="54"/>
        <v>410704710921</v>
      </c>
      <c r="I821" s="142">
        <v>0.11209999999999998</v>
      </c>
      <c r="J821" s="142" t="s">
        <v>1864</v>
      </c>
      <c r="K821" s="143">
        <f t="shared" si="51"/>
        <v>56821.522644999983</v>
      </c>
      <c r="L821" s="144">
        <f t="shared" si="52"/>
        <v>450060.92735499999</v>
      </c>
      <c r="M821" s="144">
        <f t="shared" si="53"/>
        <v>506882.44999999995</v>
      </c>
      <c r="N821" s="145" t="s">
        <v>1331</v>
      </c>
      <c r="O821" s="125"/>
    </row>
    <row r="822" spans="1:15" ht="15" customHeight="1" x14ac:dyDescent="0.3">
      <c r="A822" s="90" t="s">
        <v>225</v>
      </c>
      <c r="B822" s="90" t="s">
        <v>1609</v>
      </c>
      <c r="C822" s="90" t="s">
        <v>1610</v>
      </c>
      <c r="D822" s="90" t="s">
        <v>1329</v>
      </c>
      <c r="E822" s="90" t="s">
        <v>704</v>
      </c>
      <c r="F822" s="90" t="s">
        <v>1330</v>
      </c>
      <c r="G822" s="89">
        <v>518512.18000000005</v>
      </c>
      <c r="H822" s="141" t="str">
        <f t="shared" si="54"/>
        <v>830301505921</v>
      </c>
      <c r="I822" s="142">
        <v>0.11209999999999998</v>
      </c>
      <c r="J822" s="142" t="s">
        <v>1864</v>
      </c>
      <c r="K822" s="143">
        <f t="shared" si="51"/>
        <v>58125.215377999994</v>
      </c>
      <c r="L822" s="144">
        <f t="shared" si="52"/>
        <v>460386.96462200006</v>
      </c>
      <c r="M822" s="144">
        <f t="shared" si="53"/>
        <v>518512.18000000005</v>
      </c>
      <c r="N822" s="145" t="s">
        <v>1331</v>
      </c>
      <c r="O822" s="125"/>
    </row>
    <row r="823" spans="1:15" ht="15" customHeight="1" x14ac:dyDescent="0.3">
      <c r="A823" s="90" t="s">
        <v>225</v>
      </c>
      <c r="B823" s="90" t="s">
        <v>1172</v>
      </c>
      <c r="C823" s="90" t="s">
        <v>1173</v>
      </c>
      <c r="D823" s="90" t="s">
        <v>1329</v>
      </c>
      <c r="E823" s="90" t="s">
        <v>704</v>
      </c>
      <c r="F823" s="90" t="s">
        <v>1330</v>
      </c>
      <c r="G823" s="89">
        <v>538464.41</v>
      </c>
      <c r="H823" s="141" t="str">
        <f t="shared" si="54"/>
        <v>420181505921</v>
      </c>
      <c r="I823" s="142">
        <v>0.11209999999999998</v>
      </c>
      <c r="J823" s="142" t="s">
        <v>1864</v>
      </c>
      <c r="K823" s="143">
        <f t="shared" si="51"/>
        <v>60361.860360999992</v>
      </c>
      <c r="L823" s="144">
        <f t="shared" si="52"/>
        <v>478102.54963900003</v>
      </c>
      <c r="M823" s="144">
        <f t="shared" si="53"/>
        <v>538464.41</v>
      </c>
      <c r="N823" s="145" t="s">
        <v>1331</v>
      </c>
      <c r="O823" s="125"/>
    </row>
    <row r="824" spans="1:15" ht="15" customHeight="1" x14ac:dyDescent="0.3">
      <c r="A824" s="90" t="s">
        <v>225</v>
      </c>
      <c r="B824" s="90" t="s">
        <v>826</v>
      </c>
      <c r="C824" s="90" t="s">
        <v>827</v>
      </c>
      <c r="D824" s="90" t="s">
        <v>1583</v>
      </c>
      <c r="E824" s="90" t="s">
        <v>1584</v>
      </c>
      <c r="F824" s="90" t="s">
        <v>1585</v>
      </c>
      <c r="G824" s="89">
        <v>576910.80999999994</v>
      </c>
      <c r="H824" s="141" t="str">
        <f t="shared" si="54"/>
        <v>162006600921</v>
      </c>
      <c r="I824" s="142">
        <v>0.11209999999999998</v>
      </c>
      <c r="J824" s="142" t="s">
        <v>1864</v>
      </c>
      <c r="K824" s="143">
        <f t="shared" si="51"/>
        <v>64671.701800999981</v>
      </c>
      <c r="L824" s="144">
        <f t="shared" si="52"/>
        <v>512239.10819899995</v>
      </c>
      <c r="M824" s="144">
        <f t="shared" si="53"/>
        <v>576910.80999999994</v>
      </c>
      <c r="N824" s="145" t="s">
        <v>1331</v>
      </c>
      <c r="O824" s="125"/>
    </row>
    <row r="825" spans="1:15" ht="15" customHeight="1" x14ac:dyDescent="0.3">
      <c r="A825" s="90" t="s">
        <v>225</v>
      </c>
      <c r="B825" s="90" t="s">
        <v>900</v>
      </c>
      <c r="C825" s="90" t="s">
        <v>901</v>
      </c>
      <c r="D825" s="90" t="s">
        <v>1329</v>
      </c>
      <c r="E825" s="90" t="s">
        <v>704</v>
      </c>
      <c r="F825" s="90" t="s">
        <v>1330</v>
      </c>
      <c r="G825" s="89">
        <v>595186.47</v>
      </c>
      <c r="H825" s="141" t="str">
        <f t="shared" si="54"/>
        <v>135251505921</v>
      </c>
      <c r="I825" s="142">
        <v>0.11160000000000003</v>
      </c>
      <c r="J825" s="142" t="s">
        <v>1882</v>
      </c>
      <c r="K825" s="143">
        <f t="shared" si="51"/>
        <v>66422.810052000015</v>
      </c>
      <c r="L825" s="144">
        <f t="shared" si="52"/>
        <v>528763.65994799999</v>
      </c>
      <c r="M825" s="144">
        <f t="shared" si="53"/>
        <v>595186.47</v>
      </c>
      <c r="N825" s="145" t="s">
        <v>1331</v>
      </c>
      <c r="O825" s="125"/>
    </row>
    <row r="826" spans="1:15" ht="15" customHeight="1" x14ac:dyDescent="0.3">
      <c r="A826" s="90" t="s">
        <v>225</v>
      </c>
      <c r="B826" s="90" t="s">
        <v>1392</v>
      </c>
      <c r="C826" s="90" t="s">
        <v>1393</v>
      </c>
      <c r="D826" s="90" t="s">
        <v>1329</v>
      </c>
      <c r="E826" s="90" t="s">
        <v>704</v>
      </c>
      <c r="F826" s="90" t="s">
        <v>1330</v>
      </c>
      <c r="G826" s="89">
        <v>614956.82000000007</v>
      </c>
      <c r="H826" s="141" t="str">
        <f t="shared" si="54"/>
        <v>420201505921</v>
      </c>
      <c r="I826" s="142">
        <v>0.11209999999999998</v>
      </c>
      <c r="J826" s="142" t="s">
        <v>1864</v>
      </c>
      <c r="K826" s="143">
        <f t="shared" si="51"/>
        <v>68936.659521999987</v>
      </c>
      <c r="L826" s="144">
        <f t="shared" si="52"/>
        <v>546020.16047800006</v>
      </c>
      <c r="M826" s="144">
        <f t="shared" si="53"/>
        <v>614956.82000000007</v>
      </c>
      <c r="N826" s="145" t="s">
        <v>1331</v>
      </c>
      <c r="O826" s="125"/>
    </row>
    <row r="827" spans="1:15" ht="15" customHeight="1" x14ac:dyDescent="0.3">
      <c r="A827" s="90" t="s">
        <v>225</v>
      </c>
      <c r="B827" s="90" t="s">
        <v>949</v>
      </c>
      <c r="C827" s="90" t="s">
        <v>950</v>
      </c>
      <c r="D827" s="90" t="s">
        <v>1329</v>
      </c>
      <c r="E827" s="90" t="s">
        <v>704</v>
      </c>
      <c r="F827" s="90" t="s">
        <v>1330</v>
      </c>
      <c r="G827" s="89">
        <v>620442.04999999993</v>
      </c>
      <c r="H827" s="141" t="str">
        <f t="shared" si="54"/>
        <v>510201505921</v>
      </c>
      <c r="I827" s="142">
        <v>0.11209999999999998</v>
      </c>
      <c r="J827" s="142" t="s">
        <v>1864</v>
      </c>
      <c r="K827" s="143">
        <f t="shared" si="51"/>
        <v>69551.553804999974</v>
      </c>
      <c r="L827" s="144">
        <f t="shared" si="52"/>
        <v>550890.4961949999</v>
      </c>
      <c r="M827" s="144">
        <f t="shared" si="53"/>
        <v>620442.04999999981</v>
      </c>
      <c r="N827" s="145" t="s">
        <v>1331</v>
      </c>
      <c r="O827" s="125"/>
    </row>
    <row r="828" spans="1:15" ht="15" customHeight="1" x14ac:dyDescent="0.3">
      <c r="A828" s="90" t="s">
        <v>225</v>
      </c>
      <c r="B828" s="90" t="s">
        <v>1212</v>
      </c>
      <c r="C828" s="90" t="s">
        <v>1213</v>
      </c>
      <c r="D828" s="90" t="s">
        <v>1329</v>
      </c>
      <c r="E828" s="90" t="s">
        <v>704</v>
      </c>
      <c r="F828" s="90" t="s">
        <v>1330</v>
      </c>
      <c r="G828" s="89">
        <v>632817.39999999979</v>
      </c>
      <c r="H828" s="141" t="str">
        <f t="shared" si="54"/>
        <v>550101505921</v>
      </c>
      <c r="I828" s="142">
        <v>0.11209999999999998</v>
      </c>
      <c r="J828" s="142" t="s">
        <v>1864</v>
      </c>
      <c r="K828" s="143">
        <f t="shared" si="51"/>
        <v>70938.830539999966</v>
      </c>
      <c r="L828" s="144">
        <f t="shared" si="52"/>
        <v>561878.5694599998</v>
      </c>
      <c r="M828" s="144">
        <f t="shared" si="53"/>
        <v>632817.39999999979</v>
      </c>
      <c r="N828" s="145" t="s">
        <v>1331</v>
      </c>
      <c r="O828" s="125"/>
    </row>
    <row r="829" spans="1:15" ht="15" customHeight="1" x14ac:dyDescent="0.3">
      <c r="A829" s="90" t="s">
        <v>225</v>
      </c>
      <c r="B829" s="90" t="s">
        <v>1205</v>
      </c>
      <c r="C829" s="90" t="s">
        <v>1206</v>
      </c>
      <c r="D829" s="90" t="s">
        <v>1329</v>
      </c>
      <c r="E829" s="90" t="s">
        <v>704</v>
      </c>
      <c r="F829" s="90" t="s">
        <v>1330</v>
      </c>
      <c r="G829" s="89">
        <v>634551.6</v>
      </c>
      <c r="H829" s="141" t="str">
        <f t="shared" si="54"/>
        <v>155081505921</v>
      </c>
      <c r="I829" s="142">
        <v>0.11209999999999998</v>
      </c>
      <c r="J829" s="142" t="s">
        <v>1864</v>
      </c>
      <c r="K829" s="143">
        <f t="shared" si="51"/>
        <v>71133.234359999988</v>
      </c>
      <c r="L829" s="144">
        <f t="shared" si="52"/>
        <v>563418.36563999997</v>
      </c>
      <c r="M829" s="144">
        <f t="shared" si="53"/>
        <v>634551.6</v>
      </c>
      <c r="N829" s="145" t="s">
        <v>1331</v>
      </c>
      <c r="O829" s="125"/>
    </row>
    <row r="830" spans="1:15" ht="15" customHeight="1" x14ac:dyDescent="0.3">
      <c r="A830" s="90" t="s">
        <v>225</v>
      </c>
      <c r="B830" s="90" t="s">
        <v>1289</v>
      </c>
      <c r="C830" s="90" t="s">
        <v>1290</v>
      </c>
      <c r="D830" s="90" t="s">
        <v>1329</v>
      </c>
      <c r="E830" s="90" t="s">
        <v>704</v>
      </c>
      <c r="F830" s="90" t="s">
        <v>1330</v>
      </c>
      <c r="G830" s="89">
        <v>649473.25</v>
      </c>
      <c r="H830" s="141" t="str">
        <f t="shared" si="54"/>
        <v>420141505921</v>
      </c>
      <c r="I830" s="142">
        <v>0.11209999999999998</v>
      </c>
      <c r="J830" s="142" t="s">
        <v>1864</v>
      </c>
      <c r="K830" s="143">
        <f t="shared" si="51"/>
        <v>72805.951324999987</v>
      </c>
      <c r="L830" s="144">
        <f t="shared" si="52"/>
        <v>576667.29867499997</v>
      </c>
      <c r="M830" s="144">
        <f t="shared" si="53"/>
        <v>649473.25</v>
      </c>
      <c r="N830" s="145" t="s">
        <v>1331</v>
      </c>
      <c r="O830" s="125"/>
    </row>
    <row r="831" spans="1:15" ht="15" customHeight="1" x14ac:dyDescent="0.3">
      <c r="A831" s="90" t="s">
        <v>225</v>
      </c>
      <c r="B831" s="90" t="s">
        <v>954</v>
      </c>
      <c r="C831" s="90" t="s">
        <v>955</v>
      </c>
      <c r="D831" s="90" t="s">
        <v>1329</v>
      </c>
      <c r="E831" s="90" t="s">
        <v>704</v>
      </c>
      <c r="F831" s="90" t="s">
        <v>1330</v>
      </c>
      <c r="G831" s="89">
        <v>655967.6</v>
      </c>
      <c r="H831" s="141" t="str">
        <f t="shared" si="54"/>
        <v>164001505921</v>
      </c>
      <c r="I831" s="142">
        <v>0.11209999999999998</v>
      </c>
      <c r="J831" s="142" t="s">
        <v>1864</v>
      </c>
      <c r="K831" s="143">
        <f t="shared" si="51"/>
        <v>73533.96795999998</v>
      </c>
      <c r="L831" s="144">
        <f t="shared" si="52"/>
        <v>582433.63204000005</v>
      </c>
      <c r="M831" s="144">
        <f t="shared" si="53"/>
        <v>655967.60000000009</v>
      </c>
      <c r="N831" s="145" t="s">
        <v>1331</v>
      </c>
      <c r="O831" s="125"/>
    </row>
    <row r="832" spans="1:15" ht="15" customHeight="1" x14ac:dyDescent="0.3">
      <c r="A832" s="90" t="s">
        <v>225</v>
      </c>
      <c r="B832" s="90" t="s">
        <v>1611</v>
      </c>
      <c r="C832" s="90" t="s">
        <v>1612</v>
      </c>
      <c r="D832" s="90" t="s">
        <v>1329</v>
      </c>
      <c r="E832" s="90" t="s">
        <v>704</v>
      </c>
      <c r="F832" s="90" t="s">
        <v>1330</v>
      </c>
      <c r="G832" s="89">
        <v>658298.05000000005</v>
      </c>
      <c r="H832" s="141" t="str">
        <f t="shared" si="54"/>
        <v>790031505921</v>
      </c>
      <c r="I832" s="142">
        <v>0.11209999999999998</v>
      </c>
      <c r="J832" s="142" t="s">
        <v>1864</v>
      </c>
      <c r="K832" s="143">
        <f t="shared" si="51"/>
        <v>73795.211404999995</v>
      </c>
      <c r="L832" s="144">
        <f t="shared" si="52"/>
        <v>584502.8385950001</v>
      </c>
      <c r="M832" s="144">
        <f t="shared" si="53"/>
        <v>658298.05000000005</v>
      </c>
      <c r="N832" s="145" t="s">
        <v>1331</v>
      </c>
      <c r="O832" s="125"/>
    </row>
    <row r="833" spans="1:15" ht="15" customHeight="1" x14ac:dyDescent="0.3">
      <c r="A833" s="90" t="s">
        <v>225</v>
      </c>
      <c r="B833" s="90" t="s">
        <v>954</v>
      </c>
      <c r="C833" s="90" t="s">
        <v>955</v>
      </c>
      <c r="D833" s="90" t="s">
        <v>1613</v>
      </c>
      <c r="E833" s="90" t="s">
        <v>1614</v>
      </c>
      <c r="F833" s="90" t="s">
        <v>1615</v>
      </c>
      <c r="G833" s="89">
        <v>677538.05999999994</v>
      </c>
      <c r="H833" s="141" t="str">
        <f t="shared" si="54"/>
        <v>164004930921</v>
      </c>
      <c r="I833" s="142">
        <v>0.11209999999999998</v>
      </c>
      <c r="J833" s="142" t="s">
        <v>1864</v>
      </c>
      <c r="K833" s="143">
        <f t="shared" si="51"/>
        <v>75952.016525999978</v>
      </c>
      <c r="L833" s="144">
        <f t="shared" si="52"/>
        <v>601586.04347399995</v>
      </c>
      <c r="M833" s="144">
        <f t="shared" si="53"/>
        <v>677538.05999999994</v>
      </c>
      <c r="N833" s="145" t="s">
        <v>1331</v>
      </c>
      <c r="O833" s="125"/>
    </row>
    <row r="834" spans="1:15" ht="15" customHeight="1" x14ac:dyDescent="0.3">
      <c r="A834" s="90" t="s">
        <v>225</v>
      </c>
      <c r="B834" s="90" t="s">
        <v>1355</v>
      </c>
      <c r="C834" s="90" t="s">
        <v>1356</v>
      </c>
      <c r="D834" s="90" t="s">
        <v>1329</v>
      </c>
      <c r="E834" s="90" t="s">
        <v>704</v>
      </c>
      <c r="F834" s="90" t="s">
        <v>1330</v>
      </c>
      <c r="G834" s="89">
        <v>687158.57000000007</v>
      </c>
      <c r="H834" s="141" t="str">
        <f t="shared" si="54"/>
        <v>420101505921</v>
      </c>
      <c r="I834" s="142">
        <v>0.11209999999999998</v>
      </c>
      <c r="J834" s="142" t="s">
        <v>1864</v>
      </c>
      <c r="K834" s="143">
        <f t="shared" si="51"/>
        <v>77030.475696999987</v>
      </c>
      <c r="L834" s="144">
        <f t="shared" si="52"/>
        <v>610128.09430300002</v>
      </c>
      <c r="M834" s="144">
        <f t="shared" si="53"/>
        <v>687158.57000000007</v>
      </c>
      <c r="N834" s="145" t="s">
        <v>1331</v>
      </c>
      <c r="O834" s="125"/>
    </row>
    <row r="835" spans="1:15" ht="15" customHeight="1" x14ac:dyDescent="0.3">
      <c r="A835" s="90" t="s">
        <v>225</v>
      </c>
      <c r="B835" s="90" t="s">
        <v>686</v>
      </c>
      <c r="C835" s="90" t="s">
        <v>687</v>
      </c>
      <c r="D835" s="90" t="s">
        <v>1424</v>
      </c>
      <c r="E835" s="90" t="s">
        <v>1425</v>
      </c>
      <c r="F835" s="90" t="s">
        <v>1426</v>
      </c>
      <c r="G835" s="89">
        <v>693243.92999999993</v>
      </c>
      <c r="H835" s="141" t="str">
        <f t="shared" si="54"/>
        <v>131002588921</v>
      </c>
      <c r="I835" s="142">
        <v>0.11209999999999998</v>
      </c>
      <c r="J835" s="142" t="s">
        <v>1864</v>
      </c>
      <c r="K835" s="143">
        <f t="shared" si="51"/>
        <v>77712.644552999976</v>
      </c>
      <c r="L835" s="144">
        <f t="shared" si="52"/>
        <v>615531.28544699994</v>
      </c>
      <c r="M835" s="144">
        <f t="shared" si="53"/>
        <v>693243.92999999993</v>
      </c>
      <c r="N835" s="145" t="s">
        <v>1331</v>
      </c>
      <c r="O835" s="125"/>
    </row>
    <row r="836" spans="1:15" ht="15" customHeight="1" x14ac:dyDescent="0.3">
      <c r="A836" s="90" t="s">
        <v>225</v>
      </c>
      <c r="B836" s="90" t="s">
        <v>1616</v>
      </c>
      <c r="C836" s="90" t="s">
        <v>1617</v>
      </c>
      <c r="D836" s="90" t="s">
        <v>1329</v>
      </c>
      <c r="E836" s="90" t="s">
        <v>704</v>
      </c>
      <c r="F836" s="90" t="s">
        <v>1330</v>
      </c>
      <c r="G836" s="89">
        <v>716523.46000000008</v>
      </c>
      <c r="H836" s="141" t="str">
        <f t="shared" si="54"/>
        <v>430101505921</v>
      </c>
      <c r="I836" s="142">
        <v>0.11209999999999998</v>
      </c>
      <c r="J836" s="142" t="s">
        <v>1864</v>
      </c>
      <c r="K836" s="143">
        <f t="shared" si="51"/>
        <v>80322.279865999997</v>
      </c>
      <c r="L836" s="144">
        <f t="shared" si="52"/>
        <v>636201.18013400002</v>
      </c>
      <c r="M836" s="144">
        <f t="shared" si="53"/>
        <v>716523.46</v>
      </c>
      <c r="N836" s="145" t="s">
        <v>1331</v>
      </c>
      <c r="O836" s="125"/>
    </row>
    <row r="837" spans="1:15" ht="15" customHeight="1" x14ac:dyDescent="0.3">
      <c r="A837" s="90" t="s">
        <v>225</v>
      </c>
      <c r="B837" s="90" t="s">
        <v>676</v>
      </c>
      <c r="C837" s="90" t="s">
        <v>677</v>
      </c>
      <c r="D837" s="90" t="s">
        <v>1618</v>
      </c>
      <c r="E837" s="90" t="s">
        <v>1619</v>
      </c>
      <c r="F837" s="90" t="s">
        <v>1620</v>
      </c>
      <c r="G837" s="89">
        <v>718846.88999999978</v>
      </c>
      <c r="H837" s="141" t="str">
        <f t="shared" si="54"/>
        <v>154101591921</v>
      </c>
      <c r="I837" s="142">
        <v>0.11208</v>
      </c>
      <c r="J837" s="142" t="s">
        <v>1862</v>
      </c>
      <c r="K837" s="143">
        <f t="shared" si="51"/>
        <v>80568.359431199977</v>
      </c>
      <c r="L837" s="144">
        <f t="shared" si="52"/>
        <v>638278.53056879982</v>
      </c>
      <c r="M837" s="144">
        <f t="shared" si="53"/>
        <v>718846.88999999978</v>
      </c>
      <c r="N837" s="145" t="s">
        <v>1331</v>
      </c>
      <c r="O837" s="125"/>
    </row>
    <row r="838" spans="1:15" ht="15" customHeight="1" x14ac:dyDescent="0.3">
      <c r="A838" s="90" t="s">
        <v>225</v>
      </c>
      <c r="B838" s="90" t="s">
        <v>686</v>
      </c>
      <c r="C838" s="90" t="s">
        <v>687</v>
      </c>
      <c r="D838" s="90" t="s">
        <v>1329</v>
      </c>
      <c r="E838" s="90" t="s">
        <v>704</v>
      </c>
      <c r="F838" s="90" t="s">
        <v>1330</v>
      </c>
      <c r="G838" s="89">
        <v>746406.17000000016</v>
      </c>
      <c r="H838" s="141" t="str">
        <f t="shared" si="54"/>
        <v>131001505921</v>
      </c>
      <c r="I838" s="142">
        <v>0.11209999999999998</v>
      </c>
      <c r="J838" s="142" t="s">
        <v>1864</v>
      </c>
      <c r="K838" s="143">
        <f t="shared" si="51"/>
        <v>83672.131657000005</v>
      </c>
      <c r="L838" s="144">
        <f t="shared" si="52"/>
        <v>662734.03834300011</v>
      </c>
      <c r="M838" s="144">
        <f t="shared" si="53"/>
        <v>746406.17000000016</v>
      </c>
      <c r="N838" s="145" t="s">
        <v>1331</v>
      </c>
      <c r="O838" s="125"/>
    </row>
    <row r="839" spans="1:15" ht="15" customHeight="1" x14ac:dyDescent="0.3">
      <c r="A839" s="90" t="s">
        <v>225</v>
      </c>
      <c r="B839" s="90" t="s">
        <v>1217</v>
      </c>
      <c r="C839" s="90" t="s">
        <v>1218</v>
      </c>
      <c r="D839" s="90" t="s">
        <v>1329</v>
      </c>
      <c r="E839" s="90" t="s">
        <v>704</v>
      </c>
      <c r="F839" s="90" t="s">
        <v>1330</v>
      </c>
      <c r="G839" s="89">
        <v>768202.91</v>
      </c>
      <c r="H839" s="141" t="str">
        <f t="shared" si="54"/>
        <v>520401505921</v>
      </c>
      <c r="I839" s="142">
        <v>0.11209999999999998</v>
      </c>
      <c r="J839" s="142" t="s">
        <v>1864</v>
      </c>
      <c r="K839" s="143">
        <f t="shared" si="51"/>
        <v>86115.546210999993</v>
      </c>
      <c r="L839" s="144">
        <f t="shared" si="52"/>
        <v>682087.36378900008</v>
      </c>
      <c r="M839" s="144">
        <f t="shared" si="53"/>
        <v>768202.91</v>
      </c>
      <c r="N839" s="145" t="s">
        <v>1331</v>
      </c>
      <c r="O839" s="125"/>
    </row>
    <row r="840" spans="1:15" ht="15" customHeight="1" x14ac:dyDescent="0.3">
      <c r="A840" s="90" t="s">
        <v>225</v>
      </c>
      <c r="B840" s="90" t="s">
        <v>700</v>
      </c>
      <c r="C840" s="90" t="s">
        <v>701</v>
      </c>
      <c r="D840" s="90" t="s">
        <v>1329</v>
      </c>
      <c r="E840" s="90" t="s">
        <v>704</v>
      </c>
      <c r="F840" s="90" t="s">
        <v>1330</v>
      </c>
      <c r="G840" s="89">
        <v>781295.72000000009</v>
      </c>
      <c r="H840" s="141" t="str">
        <f t="shared" si="54"/>
        <v>420161505921</v>
      </c>
      <c r="I840" s="142">
        <v>0.11209999999999998</v>
      </c>
      <c r="J840" s="142" t="s">
        <v>1864</v>
      </c>
      <c r="K840" s="143">
        <f t="shared" si="51"/>
        <v>87583.250211999999</v>
      </c>
      <c r="L840" s="144">
        <f t="shared" si="52"/>
        <v>693712.4697880001</v>
      </c>
      <c r="M840" s="144">
        <f t="shared" si="53"/>
        <v>781295.72000000009</v>
      </c>
      <c r="N840" s="145" t="s">
        <v>1331</v>
      </c>
      <c r="O840" s="125"/>
    </row>
    <row r="841" spans="1:15" ht="15" customHeight="1" x14ac:dyDescent="0.3">
      <c r="A841" s="90" t="s">
        <v>225</v>
      </c>
      <c r="B841" s="90" t="s">
        <v>686</v>
      </c>
      <c r="C841" s="90" t="s">
        <v>687</v>
      </c>
      <c r="D841" s="90" t="s">
        <v>1417</v>
      </c>
      <c r="E841" s="90" t="s">
        <v>1234</v>
      </c>
      <c r="F841" s="90" t="s">
        <v>1418</v>
      </c>
      <c r="G841" s="89">
        <v>800979.67999999982</v>
      </c>
      <c r="H841" s="141" t="str">
        <f t="shared" si="54"/>
        <v>131005020921</v>
      </c>
      <c r="I841" s="142">
        <v>0.11209999999999998</v>
      </c>
      <c r="J841" s="142" t="s">
        <v>1864</v>
      </c>
      <c r="K841" s="143">
        <f t="shared" si="51"/>
        <v>89789.822127999956</v>
      </c>
      <c r="L841" s="144">
        <f t="shared" si="52"/>
        <v>711189.85787199985</v>
      </c>
      <c r="M841" s="144">
        <f t="shared" si="53"/>
        <v>800979.67999999982</v>
      </c>
      <c r="N841" s="145" t="s">
        <v>1331</v>
      </c>
      <c r="O841" s="125"/>
    </row>
    <row r="842" spans="1:15" ht="15" customHeight="1" x14ac:dyDescent="0.3">
      <c r="A842" s="90" t="s">
        <v>225</v>
      </c>
      <c r="B842" s="90" t="s">
        <v>1210</v>
      </c>
      <c r="C842" s="90" t="s">
        <v>1211</v>
      </c>
      <c r="D842" s="90" t="s">
        <v>1329</v>
      </c>
      <c r="E842" s="90" t="s">
        <v>704</v>
      </c>
      <c r="F842" s="90" t="s">
        <v>1330</v>
      </c>
      <c r="G842" s="89">
        <v>848314.10000000009</v>
      </c>
      <c r="H842" s="141" t="str">
        <f t="shared" si="54"/>
        <v>113701505921</v>
      </c>
      <c r="I842" s="142">
        <v>0.11209999999999998</v>
      </c>
      <c r="J842" s="142" t="s">
        <v>1864</v>
      </c>
      <c r="K842" s="143">
        <f t="shared" si="51"/>
        <v>95096.010609999998</v>
      </c>
      <c r="L842" s="144">
        <f t="shared" si="52"/>
        <v>753218.0893900001</v>
      </c>
      <c r="M842" s="144">
        <f t="shared" si="53"/>
        <v>848314.10000000009</v>
      </c>
      <c r="N842" s="145" t="s">
        <v>1331</v>
      </c>
      <c r="O842" s="125"/>
    </row>
    <row r="843" spans="1:15" ht="15" customHeight="1" x14ac:dyDescent="0.3">
      <c r="A843" s="90" t="s">
        <v>225</v>
      </c>
      <c r="B843" s="90" t="s">
        <v>1621</v>
      </c>
      <c r="C843" s="90" t="s">
        <v>1622</v>
      </c>
      <c r="D843" s="90" t="s">
        <v>1329</v>
      </c>
      <c r="E843" s="90" t="s">
        <v>704</v>
      </c>
      <c r="F843" s="90" t="s">
        <v>1330</v>
      </c>
      <c r="G843" s="89">
        <v>849020.64</v>
      </c>
      <c r="H843" s="141" t="str">
        <f t="shared" si="54"/>
        <v>510601505921</v>
      </c>
      <c r="I843" s="142">
        <v>0.11209999999999998</v>
      </c>
      <c r="J843" s="142" t="s">
        <v>1864</v>
      </c>
      <c r="K843" s="143">
        <f t="shared" si="51"/>
        <v>95175.213743999979</v>
      </c>
      <c r="L843" s="144">
        <f t="shared" si="52"/>
        <v>753845.42625600006</v>
      </c>
      <c r="M843" s="144">
        <f t="shared" si="53"/>
        <v>849020.64</v>
      </c>
      <c r="N843" s="145" t="s">
        <v>1331</v>
      </c>
      <c r="O843" s="125"/>
    </row>
    <row r="844" spans="1:15" ht="15" customHeight="1" x14ac:dyDescent="0.3">
      <c r="A844" s="90" t="s">
        <v>225</v>
      </c>
      <c r="B844" s="90" t="s">
        <v>1623</v>
      </c>
      <c r="C844" s="90" t="s">
        <v>1624</v>
      </c>
      <c r="D844" s="90" t="s">
        <v>1625</v>
      </c>
      <c r="E844" s="90" t="s">
        <v>1626</v>
      </c>
      <c r="F844" s="90" t="s">
        <v>1627</v>
      </c>
      <c r="G844" s="89">
        <v>868436.13</v>
      </c>
      <c r="H844" s="141" t="str">
        <f t="shared" si="54"/>
        <v>851102365921</v>
      </c>
      <c r="I844" s="142">
        <v>0.11208</v>
      </c>
      <c r="J844" s="142" t="s">
        <v>1862</v>
      </c>
      <c r="K844" s="143">
        <f t="shared" si="51"/>
        <v>97334.321450400006</v>
      </c>
      <c r="L844" s="144">
        <f t="shared" si="52"/>
        <v>771101.80854959995</v>
      </c>
      <c r="M844" s="144">
        <f t="shared" si="53"/>
        <v>868436.13</v>
      </c>
      <c r="N844" s="145" t="s">
        <v>1331</v>
      </c>
      <c r="O844" s="125"/>
    </row>
    <row r="845" spans="1:15" ht="15" customHeight="1" x14ac:dyDescent="0.3">
      <c r="A845" s="90" t="s">
        <v>225</v>
      </c>
      <c r="B845" s="90" t="s">
        <v>1457</v>
      </c>
      <c r="C845" s="90" t="s">
        <v>1458</v>
      </c>
      <c r="D845" s="90" t="s">
        <v>1357</v>
      </c>
      <c r="E845" s="90" t="s">
        <v>1358</v>
      </c>
      <c r="F845" s="90" t="s">
        <v>1359</v>
      </c>
      <c r="G845" s="89">
        <v>886267.9</v>
      </c>
      <c r="H845" s="141" t="str">
        <f t="shared" si="54"/>
        <v>410104760921</v>
      </c>
      <c r="I845" s="142">
        <v>0.11160000000000003</v>
      </c>
      <c r="J845" s="142" t="s">
        <v>1882</v>
      </c>
      <c r="K845" s="143">
        <f t="shared" si="51"/>
        <v>98907.497640000031</v>
      </c>
      <c r="L845" s="144">
        <f t="shared" si="52"/>
        <v>787360.40235999995</v>
      </c>
      <c r="M845" s="144">
        <f t="shared" si="53"/>
        <v>886267.9</v>
      </c>
      <c r="N845" s="145" t="s">
        <v>1331</v>
      </c>
      <c r="O845" s="125"/>
    </row>
    <row r="846" spans="1:15" ht="15" customHeight="1" x14ac:dyDescent="0.3">
      <c r="A846" s="90" t="s">
        <v>225</v>
      </c>
      <c r="B846" s="90" t="s">
        <v>1628</v>
      </c>
      <c r="C846" s="90" t="s">
        <v>1629</v>
      </c>
      <c r="D846" s="90" t="s">
        <v>1329</v>
      </c>
      <c r="E846" s="90" t="s">
        <v>704</v>
      </c>
      <c r="F846" s="90" t="s">
        <v>1330</v>
      </c>
      <c r="G846" s="89">
        <v>945367.19000000006</v>
      </c>
      <c r="H846" s="141" t="str">
        <f t="shared" si="54"/>
        <v>725001505921</v>
      </c>
      <c r="I846" s="142">
        <v>0.11209999999999998</v>
      </c>
      <c r="J846" s="142" t="s">
        <v>1864</v>
      </c>
      <c r="K846" s="143">
        <f t="shared" si="51"/>
        <v>105975.66199899999</v>
      </c>
      <c r="L846" s="144">
        <f t="shared" si="52"/>
        <v>839391.52800100006</v>
      </c>
      <c r="M846" s="144">
        <f t="shared" si="53"/>
        <v>945367.19000000006</v>
      </c>
      <c r="N846" s="145" t="s">
        <v>1331</v>
      </c>
      <c r="O846" s="125"/>
    </row>
    <row r="847" spans="1:15" ht="15" customHeight="1" x14ac:dyDescent="0.3">
      <c r="A847" s="90" t="s">
        <v>225</v>
      </c>
      <c r="B847" s="90" t="s">
        <v>1224</v>
      </c>
      <c r="C847" s="90" t="s">
        <v>1225</v>
      </c>
      <c r="D847" s="90" t="s">
        <v>1329</v>
      </c>
      <c r="E847" s="90" t="s">
        <v>704</v>
      </c>
      <c r="F847" s="90" t="s">
        <v>1330</v>
      </c>
      <c r="G847" s="89">
        <v>953114.61</v>
      </c>
      <c r="H847" s="141" t="str">
        <f t="shared" si="54"/>
        <v>450101505921</v>
      </c>
      <c r="I847" s="142">
        <v>0.11209999999999998</v>
      </c>
      <c r="J847" s="142" t="s">
        <v>1864</v>
      </c>
      <c r="K847" s="143">
        <f t="shared" si="51"/>
        <v>106844.14778099998</v>
      </c>
      <c r="L847" s="144">
        <f t="shared" si="52"/>
        <v>846270.46221899998</v>
      </c>
      <c r="M847" s="144">
        <f t="shared" si="53"/>
        <v>953114.61</v>
      </c>
      <c r="N847" s="145" t="s">
        <v>1331</v>
      </c>
      <c r="O847" s="125"/>
    </row>
    <row r="848" spans="1:15" ht="15" customHeight="1" x14ac:dyDescent="0.3">
      <c r="A848" s="90" t="s">
        <v>225</v>
      </c>
      <c r="B848" s="90" t="s">
        <v>1630</v>
      </c>
      <c r="C848" s="90" t="s">
        <v>1631</v>
      </c>
      <c r="D848" s="90" t="s">
        <v>1329</v>
      </c>
      <c r="E848" s="90" t="s">
        <v>704</v>
      </c>
      <c r="F848" s="90" t="s">
        <v>1330</v>
      </c>
      <c r="G848" s="89">
        <v>994168.87</v>
      </c>
      <c r="H848" s="141" t="str">
        <f t="shared" si="54"/>
        <v>790001505921</v>
      </c>
      <c r="I848" s="142">
        <v>0.11209999999999998</v>
      </c>
      <c r="J848" s="142" t="s">
        <v>1864</v>
      </c>
      <c r="K848" s="143">
        <f t="shared" si="51"/>
        <v>111446.33032699997</v>
      </c>
      <c r="L848" s="144">
        <f t="shared" si="52"/>
        <v>882722.53967299999</v>
      </c>
      <c r="M848" s="144">
        <f t="shared" si="53"/>
        <v>994168.87</v>
      </c>
      <c r="N848" s="145" t="s">
        <v>1331</v>
      </c>
      <c r="O848" s="125"/>
    </row>
    <row r="849" spans="1:15" ht="15" customHeight="1" x14ac:dyDescent="0.3">
      <c r="A849" s="90" t="s">
        <v>225</v>
      </c>
      <c r="B849" s="90" t="s">
        <v>945</v>
      </c>
      <c r="C849" s="90" t="s">
        <v>946</v>
      </c>
      <c r="D849" s="90" t="s">
        <v>1329</v>
      </c>
      <c r="E849" s="90" t="s">
        <v>704</v>
      </c>
      <c r="F849" s="90" t="s">
        <v>1330</v>
      </c>
      <c r="G849" s="89">
        <v>1010761.11</v>
      </c>
      <c r="H849" s="141" t="str">
        <f t="shared" si="54"/>
        <v>520101505921</v>
      </c>
      <c r="I849" s="142">
        <v>0.11209999999999998</v>
      </c>
      <c r="J849" s="142" t="s">
        <v>1864</v>
      </c>
      <c r="K849" s="143">
        <f t="shared" si="51"/>
        <v>113306.32043099997</v>
      </c>
      <c r="L849" s="144">
        <f t="shared" si="52"/>
        <v>897454.78956900002</v>
      </c>
      <c r="M849" s="144">
        <f t="shared" si="53"/>
        <v>1010761.11</v>
      </c>
      <c r="N849" s="145" t="s">
        <v>1331</v>
      </c>
      <c r="O849" s="125"/>
    </row>
    <row r="850" spans="1:15" ht="15" customHeight="1" x14ac:dyDescent="0.3">
      <c r="A850" s="90" t="s">
        <v>225</v>
      </c>
      <c r="B850" s="90" t="s">
        <v>1632</v>
      </c>
      <c r="C850" s="90" t="s">
        <v>1633</v>
      </c>
      <c r="D850" s="90" t="s">
        <v>1329</v>
      </c>
      <c r="E850" s="90" t="s">
        <v>704</v>
      </c>
      <c r="F850" s="90" t="s">
        <v>1330</v>
      </c>
      <c r="G850" s="89">
        <v>1015705.6500000001</v>
      </c>
      <c r="H850" s="141" t="str">
        <f t="shared" si="54"/>
        <v>440101505921</v>
      </c>
      <c r="I850" s="142">
        <v>0.11209999999999998</v>
      </c>
      <c r="J850" s="142" t="s">
        <v>1864</v>
      </c>
      <c r="K850" s="143">
        <f t="shared" si="51"/>
        <v>113860.60336499999</v>
      </c>
      <c r="L850" s="144">
        <f t="shared" si="52"/>
        <v>901845.04663500015</v>
      </c>
      <c r="M850" s="144">
        <f t="shared" si="53"/>
        <v>1015705.6500000001</v>
      </c>
      <c r="N850" s="145" t="s">
        <v>1331</v>
      </c>
      <c r="O850" s="125"/>
    </row>
    <row r="851" spans="1:15" ht="15" customHeight="1" x14ac:dyDescent="0.3">
      <c r="A851" s="90" t="s">
        <v>225</v>
      </c>
      <c r="B851" s="90" t="s">
        <v>939</v>
      </c>
      <c r="C851" s="90" t="s">
        <v>940</v>
      </c>
      <c r="D851" s="90" t="s">
        <v>1329</v>
      </c>
      <c r="E851" s="90" t="s">
        <v>704</v>
      </c>
      <c r="F851" s="90" t="s">
        <v>1330</v>
      </c>
      <c r="G851" s="89">
        <v>1031100.4099999999</v>
      </c>
      <c r="H851" s="141" t="str">
        <f t="shared" si="54"/>
        <v>410201505921</v>
      </c>
      <c r="I851" s="142">
        <v>0.11209999999999998</v>
      </c>
      <c r="J851" s="142" t="s">
        <v>1864</v>
      </c>
      <c r="K851" s="143">
        <f t="shared" si="51"/>
        <v>115586.35596099996</v>
      </c>
      <c r="L851" s="144">
        <f t="shared" si="52"/>
        <v>915514.05403899995</v>
      </c>
      <c r="M851" s="144">
        <f t="shared" si="53"/>
        <v>1031100.4099999999</v>
      </c>
      <c r="N851" s="145" t="s">
        <v>1331</v>
      </c>
      <c r="O851" s="125"/>
    </row>
    <row r="852" spans="1:15" ht="15" customHeight="1" x14ac:dyDescent="0.3">
      <c r="A852" s="90" t="s">
        <v>225</v>
      </c>
      <c r="B852" s="90" t="s">
        <v>1634</v>
      </c>
      <c r="C852" s="90" t="s">
        <v>1635</v>
      </c>
      <c r="D852" s="90" t="s">
        <v>1636</v>
      </c>
      <c r="E852" s="90" t="s">
        <v>1637</v>
      </c>
      <c r="F852" s="90" t="s">
        <v>1638</v>
      </c>
      <c r="G852" s="89">
        <v>1140011.3500000001</v>
      </c>
      <c r="H852" s="141" t="str">
        <f t="shared" si="54"/>
        <v>853902476921</v>
      </c>
      <c r="I852" s="142">
        <v>0.11208</v>
      </c>
      <c r="J852" s="142" t="s">
        <v>1862</v>
      </c>
      <c r="K852" s="143">
        <f t="shared" si="51"/>
        <v>127772.47210800002</v>
      </c>
      <c r="L852" s="144">
        <f t="shared" si="52"/>
        <v>1012238.8778920001</v>
      </c>
      <c r="M852" s="144">
        <f t="shared" si="53"/>
        <v>1140011.3500000001</v>
      </c>
      <c r="N852" s="145" t="s">
        <v>1331</v>
      </c>
      <c r="O852" s="125"/>
    </row>
    <row r="853" spans="1:15" ht="15" customHeight="1" x14ac:dyDescent="0.3">
      <c r="A853" s="90" t="s">
        <v>225</v>
      </c>
      <c r="B853" s="90" t="s">
        <v>790</v>
      </c>
      <c r="C853" s="90" t="s">
        <v>791</v>
      </c>
      <c r="D853" s="90" t="s">
        <v>1336</v>
      </c>
      <c r="E853" s="90" t="s">
        <v>1337</v>
      </c>
      <c r="F853" s="90" t="s">
        <v>1338</v>
      </c>
      <c r="G853" s="89">
        <v>1292427.1000000003</v>
      </c>
      <c r="H853" s="141" t="str">
        <f t="shared" si="54"/>
        <v>510101590921</v>
      </c>
      <c r="I853" s="142">
        <v>0.11208</v>
      </c>
      <c r="J853" s="142" t="s">
        <v>1862</v>
      </c>
      <c r="K853" s="143">
        <f t="shared" si="51"/>
        <v>144855.22936800003</v>
      </c>
      <c r="L853" s="144">
        <f t="shared" si="52"/>
        <v>1147571.8706320003</v>
      </c>
      <c r="M853" s="144">
        <f t="shared" si="53"/>
        <v>1292427.1000000003</v>
      </c>
      <c r="N853" s="145" t="s">
        <v>1331</v>
      </c>
      <c r="O853" s="125"/>
    </row>
    <row r="854" spans="1:15" ht="15" customHeight="1" x14ac:dyDescent="0.3">
      <c r="A854" s="90" t="s">
        <v>225</v>
      </c>
      <c r="B854" s="90" t="s">
        <v>1445</v>
      </c>
      <c r="C854" s="90" t="s">
        <v>1446</v>
      </c>
      <c r="D854" s="90" t="s">
        <v>1590</v>
      </c>
      <c r="E854" s="90" t="s">
        <v>1591</v>
      </c>
      <c r="F854" s="90" t="s">
        <v>1592</v>
      </c>
      <c r="G854" s="89">
        <v>1324981.6000000001</v>
      </c>
      <c r="H854" s="141" t="str">
        <f t="shared" si="54"/>
        <v>410704720921</v>
      </c>
      <c r="I854" s="142">
        <v>0.11209999999999998</v>
      </c>
      <c r="J854" s="142" t="s">
        <v>308</v>
      </c>
      <c r="K854" s="143">
        <f t="shared" si="51"/>
        <v>148530.43735999998</v>
      </c>
      <c r="L854" s="144">
        <f t="shared" si="52"/>
        <v>1176451.1626400002</v>
      </c>
      <c r="M854" s="144">
        <f t="shared" si="53"/>
        <v>1324981.6000000001</v>
      </c>
      <c r="N854" s="145" t="s">
        <v>1331</v>
      </c>
      <c r="O854" s="125"/>
    </row>
    <row r="855" spans="1:15" ht="15" customHeight="1" x14ac:dyDescent="0.3">
      <c r="A855" s="90" t="s">
        <v>225</v>
      </c>
      <c r="B855" s="90" t="s">
        <v>939</v>
      </c>
      <c r="C855" s="90" t="s">
        <v>940</v>
      </c>
      <c r="D855" s="90" t="s">
        <v>1374</v>
      </c>
      <c r="E855" s="90" t="s">
        <v>1375</v>
      </c>
      <c r="F855" s="90" t="s">
        <v>1376</v>
      </c>
      <c r="G855" s="89">
        <v>1398176.36</v>
      </c>
      <c r="H855" s="141" t="str">
        <f t="shared" si="54"/>
        <v>410204705921</v>
      </c>
      <c r="I855" s="142">
        <v>0.11209999999999998</v>
      </c>
      <c r="J855" s="142" t="s">
        <v>1864</v>
      </c>
      <c r="K855" s="143">
        <f t="shared" si="51"/>
        <v>156735.56995599999</v>
      </c>
      <c r="L855" s="144">
        <f t="shared" si="52"/>
        <v>1241440.7900440001</v>
      </c>
      <c r="M855" s="144">
        <f t="shared" si="53"/>
        <v>1398176.36</v>
      </c>
      <c r="N855" s="145" t="s">
        <v>1331</v>
      </c>
      <c r="O855" s="125"/>
    </row>
    <row r="856" spans="1:15" ht="15" customHeight="1" x14ac:dyDescent="0.3">
      <c r="A856" s="90" t="s">
        <v>225</v>
      </c>
      <c r="B856" s="90" t="s">
        <v>1419</v>
      </c>
      <c r="C856" s="90" t="s">
        <v>1420</v>
      </c>
      <c r="D856" s="90" t="s">
        <v>1329</v>
      </c>
      <c r="E856" s="90" t="s">
        <v>704</v>
      </c>
      <c r="F856" s="90" t="s">
        <v>1330</v>
      </c>
      <c r="G856" s="89">
        <v>1501820.05</v>
      </c>
      <c r="H856" s="141" t="str">
        <f t="shared" si="54"/>
        <v>540101505921</v>
      </c>
      <c r="I856" s="142">
        <v>0.11209999999999998</v>
      </c>
      <c r="J856" s="142" t="s">
        <v>1864</v>
      </c>
      <c r="K856" s="143">
        <f t="shared" ref="K856:K919" si="55">G856*I856</f>
        <v>168354.02760499998</v>
      </c>
      <c r="L856" s="144">
        <f t="shared" ref="L856:L919" si="56">G856-K856</f>
        <v>1333466.0223950001</v>
      </c>
      <c r="M856" s="144">
        <f t="shared" ref="M856:M919" si="57">K856+L856</f>
        <v>1501820.05</v>
      </c>
      <c r="N856" s="145" t="s">
        <v>1331</v>
      </c>
      <c r="O856" s="125"/>
    </row>
    <row r="857" spans="1:15" ht="15" customHeight="1" x14ac:dyDescent="0.3">
      <c r="A857" s="90" t="s">
        <v>225</v>
      </c>
      <c r="B857" s="90" t="s">
        <v>1639</v>
      </c>
      <c r="C857" s="90" t="s">
        <v>1640</v>
      </c>
      <c r="D857" s="90" t="s">
        <v>1329</v>
      </c>
      <c r="E857" s="90" t="s">
        <v>704</v>
      </c>
      <c r="F857" s="90" t="s">
        <v>1330</v>
      </c>
      <c r="G857" s="89">
        <v>1711779.15</v>
      </c>
      <c r="H857" s="141" t="str">
        <f t="shared" ref="H857:H920" si="58">CONCATENATE(B857,RIGHT(D857,4),A857)</f>
        <v>530101505921</v>
      </c>
      <c r="I857" s="142">
        <v>0.30000000000000004</v>
      </c>
      <c r="J857" s="142" t="s">
        <v>1892</v>
      </c>
      <c r="K857" s="143">
        <f t="shared" si="55"/>
        <v>513533.74500000005</v>
      </c>
      <c r="L857" s="144">
        <f t="shared" si="56"/>
        <v>1198245.4049999998</v>
      </c>
      <c r="M857" s="144">
        <f t="shared" si="57"/>
        <v>1711779.15</v>
      </c>
      <c r="N857" s="145" t="s">
        <v>1331</v>
      </c>
      <c r="O857" s="125"/>
    </row>
    <row r="858" spans="1:15" ht="15" customHeight="1" x14ac:dyDescent="0.3">
      <c r="A858" s="90" t="s">
        <v>225</v>
      </c>
      <c r="B858" s="90" t="s">
        <v>1455</v>
      </c>
      <c r="C858" s="90" t="s">
        <v>1456</v>
      </c>
      <c r="D858" s="90" t="s">
        <v>1471</v>
      </c>
      <c r="E858" s="90" t="s">
        <v>1472</v>
      </c>
      <c r="F858" s="90" t="s">
        <v>1473</v>
      </c>
      <c r="G858" s="89">
        <v>1804143.2</v>
      </c>
      <c r="H858" s="141" t="str">
        <f t="shared" si="58"/>
        <v>420122553921</v>
      </c>
      <c r="I858" s="142">
        <v>0.11209999999999998</v>
      </c>
      <c r="J858" s="142" t="s">
        <v>1864</v>
      </c>
      <c r="K858" s="143">
        <f t="shared" si="55"/>
        <v>202244.45271999994</v>
      </c>
      <c r="L858" s="144">
        <f t="shared" si="56"/>
        <v>1601898.74728</v>
      </c>
      <c r="M858" s="144">
        <f t="shared" si="57"/>
        <v>1804143.2</v>
      </c>
      <c r="N858" s="145" t="s">
        <v>1331</v>
      </c>
      <c r="O858" s="125"/>
    </row>
    <row r="859" spans="1:15" ht="15" customHeight="1" x14ac:dyDescent="0.3">
      <c r="A859" s="90" t="s">
        <v>225</v>
      </c>
      <c r="B859" s="90" t="s">
        <v>1641</v>
      </c>
      <c r="C859" s="90" t="s">
        <v>1642</v>
      </c>
      <c r="D859" s="90" t="s">
        <v>1643</v>
      </c>
      <c r="E859" s="90" t="s">
        <v>1644</v>
      </c>
      <c r="F859" s="90" t="s">
        <v>1638</v>
      </c>
      <c r="G859" s="89">
        <v>1964475.1600000001</v>
      </c>
      <c r="H859" s="141" t="str">
        <f t="shared" si="58"/>
        <v>851202475921</v>
      </c>
      <c r="I859" s="142">
        <v>0.11208</v>
      </c>
      <c r="J859" s="142" t="s">
        <v>1862</v>
      </c>
      <c r="K859" s="143">
        <f t="shared" si="55"/>
        <v>220178.3759328</v>
      </c>
      <c r="L859" s="144">
        <f t="shared" si="56"/>
        <v>1744296.7840672</v>
      </c>
      <c r="M859" s="144">
        <f t="shared" si="57"/>
        <v>1964475.1600000001</v>
      </c>
      <c r="N859" s="145" t="s">
        <v>1331</v>
      </c>
      <c r="O859" s="125"/>
    </row>
    <row r="860" spans="1:15" ht="15" customHeight="1" x14ac:dyDescent="0.3">
      <c r="A860" s="90" t="s">
        <v>225</v>
      </c>
      <c r="B860" s="90" t="s">
        <v>1029</v>
      </c>
      <c r="C860" s="90" t="s">
        <v>1030</v>
      </c>
      <c r="D860" s="90" t="s">
        <v>1329</v>
      </c>
      <c r="E860" s="90" t="s">
        <v>704</v>
      </c>
      <c r="F860" s="90" t="s">
        <v>1330</v>
      </c>
      <c r="G860" s="89">
        <v>2066533.7100000002</v>
      </c>
      <c r="H860" s="141" t="str">
        <f t="shared" si="58"/>
        <v>410501505921</v>
      </c>
      <c r="I860" s="142">
        <v>0.11209999999999998</v>
      </c>
      <c r="J860" s="142" t="s">
        <v>1864</v>
      </c>
      <c r="K860" s="143">
        <f t="shared" si="55"/>
        <v>231658.42889099999</v>
      </c>
      <c r="L860" s="144">
        <f t="shared" si="56"/>
        <v>1834875.2811090001</v>
      </c>
      <c r="M860" s="144">
        <f t="shared" si="57"/>
        <v>2066533.71</v>
      </c>
      <c r="N860" s="145" t="s">
        <v>1331</v>
      </c>
      <c r="O860" s="125"/>
    </row>
    <row r="861" spans="1:15" ht="15" customHeight="1" x14ac:dyDescent="0.3">
      <c r="A861" s="90" t="s">
        <v>225</v>
      </c>
      <c r="B861" s="90" t="s">
        <v>939</v>
      </c>
      <c r="C861" s="90" t="s">
        <v>940</v>
      </c>
      <c r="D861" s="90" t="s">
        <v>1590</v>
      </c>
      <c r="E861" s="90" t="s">
        <v>1591</v>
      </c>
      <c r="F861" s="90" t="s">
        <v>1592</v>
      </c>
      <c r="G861" s="89">
        <v>2351556.8699999996</v>
      </c>
      <c r="H861" s="141" t="str">
        <f t="shared" si="58"/>
        <v>410204720921</v>
      </c>
      <c r="I861" s="142">
        <v>0.11209999999999998</v>
      </c>
      <c r="J861" s="142" t="s">
        <v>1864</v>
      </c>
      <c r="K861" s="143">
        <f t="shared" si="55"/>
        <v>263609.52512699988</v>
      </c>
      <c r="L861" s="144">
        <f t="shared" si="56"/>
        <v>2087947.3448729997</v>
      </c>
      <c r="M861" s="144">
        <f t="shared" si="57"/>
        <v>2351556.8699999996</v>
      </c>
      <c r="N861" s="145" t="s">
        <v>1331</v>
      </c>
      <c r="O861" s="125"/>
    </row>
    <row r="862" spans="1:15" ht="15" customHeight="1" x14ac:dyDescent="0.3">
      <c r="A862" s="90" t="s">
        <v>225</v>
      </c>
      <c r="B862" s="90" t="s">
        <v>1165</v>
      </c>
      <c r="C862" s="90" t="s">
        <v>1166</v>
      </c>
      <c r="D862" s="90" t="s">
        <v>1329</v>
      </c>
      <c r="E862" s="90" t="s">
        <v>704</v>
      </c>
      <c r="F862" s="90" t="s">
        <v>1330</v>
      </c>
      <c r="G862" s="89">
        <v>3198759.11</v>
      </c>
      <c r="H862" s="141" t="str">
        <f t="shared" si="58"/>
        <v>420301505921</v>
      </c>
      <c r="I862" s="142">
        <v>0.11209999999999998</v>
      </c>
      <c r="J862" s="142" t="s">
        <v>1864</v>
      </c>
      <c r="K862" s="143">
        <f t="shared" si="55"/>
        <v>358580.8962309999</v>
      </c>
      <c r="L862" s="144">
        <f t="shared" si="56"/>
        <v>2840178.213769</v>
      </c>
      <c r="M862" s="144">
        <f t="shared" si="57"/>
        <v>3198759.11</v>
      </c>
      <c r="N862" s="145" t="s">
        <v>1331</v>
      </c>
      <c r="O862" s="125"/>
    </row>
    <row r="863" spans="1:15" ht="15" customHeight="1" x14ac:dyDescent="0.3">
      <c r="A863" s="90" t="s">
        <v>225</v>
      </c>
      <c r="B863" s="90" t="s">
        <v>978</v>
      </c>
      <c r="C863" s="90" t="s">
        <v>979</v>
      </c>
      <c r="D863" s="90" t="s">
        <v>1329</v>
      </c>
      <c r="E863" s="90" t="s">
        <v>704</v>
      </c>
      <c r="F863" s="90" t="s">
        <v>1330</v>
      </c>
      <c r="G863" s="89">
        <v>4202673.9400000004</v>
      </c>
      <c r="H863" s="141" t="str">
        <f t="shared" si="58"/>
        <v>410401505921</v>
      </c>
      <c r="I863" s="142">
        <v>0.11209999999999998</v>
      </c>
      <c r="J863" s="142" t="s">
        <v>1864</v>
      </c>
      <c r="K863" s="143">
        <f t="shared" si="55"/>
        <v>471119.74867399997</v>
      </c>
      <c r="L863" s="144">
        <f t="shared" si="56"/>
        <v>3731554.1913260003</v>
      </c>
      <c r="M863" s="144">
        <f t="shared" si="57"/>
        <v>4202673.9400000004</v>
      </c>
      <c r="N863" s="145" t="s">
        <v>1331</v>
      </c>
      <c r="O863" s="125"/>
    </row>
    <row r="864" spans="1:15" ht="15" customHeight="1" x14ac:dyDescent="0.3">
      <c r="A864" s="90" t="s">
        <v>225</v>
      </c>
      <c r="B864" s="90" t="s">
        <v>1645</v>
      </c>
      <c r="C864" s="90" t="s">
        <v>1646</v>
      </c>
      <c r="D864" s="90" t="s">
        <v>1329</v>
      </c>
      <c r="E864" s="90" t="s">
        <v>704</v>
      </c>
      <c r="F864" s="90" t="s">
        <v>1330</v>
      </c>
      <c r="G864" s="89">
        <v>5449746.1600000001</v>
      </c>
      <c r="H864" s="141" t="str">
        <f t="shared" si="58"/>
        <v>790021505921</v>
      </c>
      <c r="I864" s="142">
        <v>0.11209999999999998</v>
      </c>
      <c r="J864" s="142" t="s">
        <v>1864</v>
      </c>
      <c r="K864" s="143">
        <f t="shared" si="55"/>
        <v>610916.54453599988</v>
      </c>
      <c r="L864" s="144">
        <f t="shared" si="56"/>
        <v>4838829.615464</v>
      </c>
      <c r="M864" s="144">
        <f t="shared" si="57"/>
        <v>5449746.1600000001</v>
      </c>
      <c r="N864" s="145" t="s">
        <v>1331</v>
      </c>
      <c r="O864" s="125"/>
    </row>
    <row r="865" spans="1:15" ht="15" customHeight="1" x14ac:dyDescent="0.3">
      <c r="A865" s="90" t="s">
        <v>227</v>
      </c>
      <c r="B865" s="90" t="s">
        <v>1647</v>
      </c>
      <c r="C865" s="90" t="s">
        <v>1648</v>
      </c>
      <c r="D865" s="90" t="s">
        <v>1649</v>
      </c>
      <c r="E865" s="90" t="s">
        <v>1136</v>
      </c>
      <c r="F865" s="90" t="s">
        <v>1650</v>
      </c>
      <c r="G865" s="89">
        <v>-13990922</v>
      </c>
      <c r="H865" s="141" t="str">
        <f t="shared" si="58"/>
        <v>840992010922</v>
      </c>
      <c r="I865" s="142">
        <v>0.13025999999999999</v>
      </c>
      <c r="J865" s="142" t="s">
        <v>1893</v>
      </c>
      <c r="K865" s="143">
        <f t="shared" si="55"/>
        <v>-1822457.4997199997</v>
      </c>
      <c r="L865" s="144">
        <f t="shared" si="56"/>
        <v>-12168464.50028</v>
      </c>
      <c r="M865" s="144">
        <f t="shared" si="57"/>
        <v>-13990922</v>
      </c>
      <c r="N865" s="145" t="s">
        <v>1651</v>
      </c>
      <c r="O865" s="125"/>
    </row>
    <row r="866" spans="1:15" ht="15" customHeight="1" x14ac:dyDescent="0.3">
      <c r="A866" s="90" t="s">
        <v>227</v>
      </c>
      <c r="B866" s="90" t="s">
        <v>1652</v>
      </c>
      <c r="C866" s="90" t="s">
        <v>1653</v>
      </c>
      <c r="D866" s="90" t="s">
        <v>1654</v>
      </c>
      <c r="E866" s="90" t="s">
        <v>1655</v>
      </c>
      <c r="F866" s="90" t="s">
        <v>1656</v>
      </c>
      <c r="G866" s="89">
        <v>-6079946.0499999998</v>
      </c>
      <c r="H866" s="141" t="str">
        <f t="shared" si="58"/>
        <v>853103180922</v>
      </c>
      <c r="I866" s="142">
        <v>0.11208</v>
      </c>
      <c r="J866" s="142" t="s">
        <v>1862</v>
      </c>
      <c r="K866" s="143">
        <f t="shared" si="55"/>
        <v>-681440.35328399995</v>
      </c>
      <c r="L866" s="144">
        <f t="shared" si="56"/>
        <v>-5398505.6967159994</v>
      </c>
      <c r="M866" s="144">
        <f t="shared" si="57"/>
        <v>-6079946.0499999989</v>
      </c>
      <c r="N866" s="145" t="s">
        <v>1651</v>
      </c>
      <c r="O866" s="125"/>
    </row>
    <row r="867" spans="1:15" ht="15" customHeight="1" x14ac:dyDescent="0.3">
      <c r="A867" s="90" t="s">
        <v>227</v>
      </c>
      <c r="B867" s="90" t="s">
        <v>1332</v>
      </c>
      <c r="C867" s="90" t="s">
        <v>1333</v>
      </c>
      <c r="D867" s="90" t="s">
        <v>1657</v>
      </c>
      <c r="E867" s="90" t="s">
        <v>1658</v>
      </c>
      <c r="F867" s="90" t="s">
        <v>1659</v>
      </c>
      <c r="G867" s="89">
        <v>-201107.72999999998</v>
      </c>
      <c r="H867" s="141" t="str">
        <f t="shared" si="58"/>
        <v>840892426922</v>
      </c>
      <c r="I867" s="142">
        <v>0.11209999999999998</v>
      </c>
      <c r="J867" s="142" t="s">
        <v>308</v>
      </c>
      <c r="K867" s="143">
        <f t="shared" si="55"/>
        <v>-22544.176532999994</v>
      </c>
      <c r="L867" s="144">
        <f t="shared" si="56"/>
        <v>-178563.55346699999</v>
      </c>
      <c r="M867" s="144">
        <f t="shared" si="57"/>
        <v>-201107.72999999998</v>
      </c>
      <c r="N867" s="145" t="s">
        <v>1651</v>
      </c>
      <c r="O867" s="125"/>
    </row>
    <row r="868" spans="1:15" ht="15" customHeight="1" x14ac:dyDescent="0.3">
      <c r="A868" s="90" t="s">
        <v>229</v>
      </c>
      <c r="B868" s="90" t="s">
        <v>1660</v>
      </c>
      <c r="C868" s="90" t="s">
        <v>1661</v>
      </c>
      <c r="D868" s="90" t="s">
        <v>1662</v>
      </c>
      <c r="E868" s="90" t="s">
        <v>1663</v>
      </c>
      <c r="F868" s="90" t="s">
        <v>1664</v>
      </c>
      <c r="G868" s="89">
        <v>3182476.4</v>
      </c>
      <c r="H868" s="141" t="str">
        <f t="shared" si="58"/>
        <v>510252380924</v>
      </c>
      <c r="I868" s="142">
        <v>0.11209999999999998</v>
      </c>
      <c r="J868" s="142" t="s">
        <v>1864</v>
      </c>
      <c r="K868" s="143">
        <f t="shared" si="55"/>
        <v>356755.60443999991</v>
      </c>
      <c r="L868" s="144">
        <f t="shared" si="56"/>
        <v>2825720.79556</v>
      </c>
      <c r="M868" s="144">
        <f t="shared" si="57"/>
        <v>3182476.4</v>
      </c>
      <c r="N868" s="145" t="s">
        <v>1665</v>
      </c>
      <c r="O868" s="125"/>
    </row>
    <row r="869" spans="1:15" ht="15" customHeight="1" x14ac:dyDescent="0.3">
      <c r="A869" s="90" t="s">
        <v>231</v>
      </c>
      <c r="B869" s="90" t="s">
        <v>1666</v>
      </c>
      <c r="C869" s="90" t="s">
        <v>1667</v>
      </c>
      <c r="D869" s="90" t="s">
        <v>1668</v>
      </c>
      <c r="E869" s="90" t="s">
        <v>1669</v>
      </c>
      <c r="F869" s="90" t="s">
        <v>1670</v>
      </c>
      <c r="G869" s="89">
        <v>-20000</v>
      </c>
      <c r="H869" s="141" t="str">
        <f t="shared" si="58"/>
        <v>510304980925</v>
      </c>
      <c r="I869" s="142">
        <v>0.11209999999999998</v>
      </c>
      <c r="J869" s="142" t="s">
        <v>1864</v>
      </c>
      <c r="K869" s="143">
        <f t="shared" si="55"/>
        <v>-2241.9999999999995</v>
      </c>
      <c r="L869" s="144">
        <f t="shared" si="56"/>
        <v>-17758</v>
      </c>
      <c r="M869" s="144">
        <f t="shared" si="57"/>
        <v>-20000</v>
      </c>
      <c r="N869" s="145" t="s">
        <v>1671</v>
      </c>
      <c r="O869" s="125"/>
    </row>
    <row r="870" spans="1:15" ht="15" customHeight="1" x14ac:dyDescent="0.3">
      <c r="A870" s="90" t="s">
        <v>231</v>
      </c>
      <c r="B870" s="90" t="s">
        <v>819</v>
      </c>
      <c r="C870" s="90" t="s">
        <v>820</v>
      </c>
      <c r="D870" s="90" t="s">
        <v>1672</v>
      </c>
      <c r="E870" s="90" t="s">
        <v>704</v>
      </c>
      <c r="F870" s="90" t="s">
        <v>1673</v>
      </c>
      <c r="G870" s="89">
        <v>120</v>
      </c>
      <c r="H870" s="141" t="str">
        <f t="shared" si="58"/>
        <v>135101505925</v>
      </c>
      <c r="I870" s="142">
        <v>0.11160000000000003</v>
      </c>
      <c r="J870" s="142" t="s">
        <v>1872</v>
      </c>
      <c r="K870" s="143">
        <f t="shared" si="55"/>
        <v>13.392000000000003</v>
      </c>
      <c r="L870" s="144">
        <f t="shared" si="56"/>
        <v>106.608</v>
      </c>
      <c r="M870" s="144">
        <f t="shared" si="57"/>
        <v>120</v>
      </c>
      <c r="N870" s="145" t="s">
        <v>1671</v>
      </c>
      <c r="O870" s="125"/>
    </row>
    <row r="871" spans="1:15" ht="15" customHeight="1" x14ac:dyDescent="0.3">
      <c r="A871" s="90" t="s">
        <v>231</v>
      </c>
      <c r="B871" s="90" t="s">
        <v>939</v>
      </c>
      <c r="C871" s="90" t="s">
        <v>940</v>
      </c>
      <c r="D871" s="90" t="s">
        <v>1672</v>
      </c>
      <c r="E871" s="90" t="s">
        <v>704</v>
      </c>
      <c r="F871" s="90" t="s">
        <v>1673</v>
      </c>
      <c r="G871" s="89">
        <v>281.13</v>
      </c>
      <c r="H871" s="141" t="str">
        <f t="shared" si="58"/>
        <v>410201505925</v>
      </c>
      <c r="I871" s="142">
        <v>0.11209999999999998</v>
      </c>
      <c r="J871" s="142" t="s">
        <v>1864</v>
      </c>
      <c r="K871" s="143">
        <f t="shared" si="55"/>
        <v>31.514672999999995</v>
      </c>
      <c r="L871" s="144">
        <f t="shared" si="56"/>
        <v>249.61532700000001</v>
      </c>
      <c r="M871" s="144">
        <f t="shared" si="57"/>
        <v>281.13</v>
      </c>
      <c r="N871" s="145" t="s">
        <v>1671</v>
      </c>
      <c r="O871" s="125"/>
    </row>
    <row r="872" spans="1:15" ht="15" customHeight="1" x14ac:dyDescent="0.3">
      <c r="A872" s="90" t="s">
        <v>231</v>
      </c>
      <c r="B872" s="90" t="s">
        <v>1660</v>
      </c>
      <c r="C872" s="90" t="s">
        <v>1661</v>
      </c>
      <c r="D872" s="90" t="s">
        <v>1674</v>
      </c>
      <c r="E872" s="90" t="s">
        <v>1675</v>
      </c>
      <c r="F872" s="90" t="s">
        <v>1676</v>
      </c>
      <c r="G872" s="89">
        <v>2116.1999999999998</v>
      </c>
      <c r="H872" s="141" t="str">
        <f t="shared" si="58"/>
        <v>510252455925</v>
      </c>
      <c r="I872" s="142">
        <v>0.11209999999999998</v>
      </c>
      <c r="J872" s="142" t="s">
        <v>1864</v>
      </c>
      <c r="K872" s="143">
        <f t="shared" si="55"/>
        <v>237.22601999999992</v>
      </c>
      <c r="L872" s="144">
        <f t="shared" si="56"/>
        <v>1878.97398</v>
      </c>
      <c r="M872" s="144">
        <f t="shared" si="57"/>
        <v>2116.1999999999998</v>
      </c>
      <c r="N872" s="145" t="s">
        <v>1671</v>
      </c>
      <c r="O872" s="125"/>
    </row>
    <row r="873" spans="1:15" ht="15" customHeight="1" x14ac:dyDescent="0.3">
      <c r="A873" s="90" t="s">
        <v>231</v>
      </c>
      <c r="B873" s="90" t="s">
        <v>949</v>
      </c>
      <c r="C873" s="90" t="s">
        <v>950</v>
      </c>
      <c r="D873" s="90" t="s">
        <v>1674</v>
      </c>
      <c r="E873" s="90" t="s">
        <v>1675</v>
      </c>
      <c r="F873" s="90" t="s">
        <v>1676</v>
      </c>
      <c r="G873" s="89">
        <v>8010.1</v>
      </c>
      <c r="H873" s="141" t="str">
        <f t="shared" si="58"/>
        <v>510202455925</v>
      </c>
      <c r="I873" s="142">
        <v>0.11209999999999998</v>
      </c>
      <c r="J873" s="142" t="s">
        <v>1864</v>
      </c>
      <c r="K873" s="143">
        <f t="shared" si="55"/>
        <v>897.93220999999983</v>
      </c>
      <c r="L873" s="144">
        <f t="shared" si="56"/>
        <v>7112.1677900000004</v>
      </c>
      <c r="M873" s="144">
        <f t="shared" si="57"/>
        <v>8010.1</v>
      </c>
      <c r="N873" s="145" t="s">
        <v>1671</v>
      </c>
      <c r="O873" s="125"/>
    </row>
    <row r="874" spans="1:15" ht="15" customHeight="1" x14ac:dyDescent="0.3">
      <c r="A874" s="90" t="s">
        <v>231</v>
      </c>
      <c r="B874" s="90" t="s">
        <v>949</v>
      </c>
      <c r="C874" s="90" t="s">
        <v>950</v>
      </c>
      <c r="D874" s="90" t="s">
        <v>1672</v>
      </c>
      <c r="E874" s="90" t="s">
        <v>704</v>
      </c>
      <c r="F874" s="90" t="s">
        <v>1673</v>
      </c>
      <c r="G874" s="89">
        <v>32110.52</v>
      </c>
      <c r="H874" s="141" t="str">
        <f t="shared" si="58"/>
        <v>510201505925</v>
      </c>
      <c r="I874" s="142">
        <v>0.11209999999999998</v>
      </c>
      <c r="J874" s="142" t="s">
        <v>1864</v>
      </c>
      <c r="K874" s="143">
        <f t="shared" si="55"/>
        <v>3599.5892919999992</v>
      </c>
      <c r="L874" s="144">
        <f t="shared" si="56"/>
        <v>28510.930708</v>
      </c>
      <c r="M874" s="144">
        <f t="shared" si="57"/>
        <v>32110.52</v>
      </c>
      <c r="N874" s="145" t="s">
        <v>1671</v>
      </c>
      <c r="O874" s="125"/>
    </row>
    <row r="875" spans="1:15" ht="15" customHeight="1" x14ac:dyDescent="0.3">
      <c r="A875" s="90" t="s">
        <v>231</v>
      </c>
      <c r="B875" s="90" t="s">
        <v>1666</v>
      </c>
      <c r="C875" s="90" t="s">
        <v>1667</v>
      </c>
      <c r="D875" s="90" t="s">
        <v>1677</v>
      </c>
      <c r="E875" s="90" t="s">
        <v>1678</v>
      </c>
      <c r="F875" s="90" t="s">
        <v>1679</v>
      </c>
      <c r="G875" s="89">
        <v>245106.77</v>
      </c>
      <c r="H875" s="141" t="str">
        <f t="shared" si="58"/>
        <v>510304985925</v>
      </c>
      <c r="I875" s="142">
        <v>0.11209999999999998</v>
      </c>
      <c r="J875" s="142" t="s">
        <v>1864</v>
      </c>
      <c r="K875" s="143">
        <f t="shared" si="55"/>
        <v>27476.468916999995</v>
      </c>
      <c r="L875" s="144">
        <f t="shared" si="56"/>
        <v>217630.301083</v>
      </c>
      <c r="M875" s="144">
        <f t="shared" si="57"/>
        <v>245106.77</v>
      </c>
      <c r="N875" s="145" t="s">
        <v>1671</v>
      </c>
      <c r="O875" s="125"/>
    </row>
    <row r="876" spans="1:15" ht="15" customHeight="1" x14ac:dyDescent="0.3">
      <c r="A876" s="90" t="s">
        <v>232</v>
      </c>
      <c r="B876" s="90" t="s">
        <v>1680</v>
      </c>
      <c r="C876" s="90" t="s">
        <v>1681</v>
      </c>
      <c r="D876" s="90" t="s">
        <v>1682</v>
      </c>
      <c r="E876" s="90" t="s">
        <v>1683</v>
      </c>
      <c r="F876" s="90" t="s">
        <v>1684</v>
      </c>
      <c r="G876" s="89">
        <v>-7171247</v>
      </c>
      <c r="H876" s="141" t="str">
        <f t="shared" si="58"/>
        <v>852409945926</v>
      </c>
      <c r="I876" s="142">
        <v>0</v>
      </c>
      <c r="J876" s="142" t="s">
        <v>1867</v>
      </c>
      <c r="K876" s="143">
        <f t="shared" si="55"/>
        <v>0</v>
      </c>
      <c r="L876" s="144">
        <f t="shared" si="56"/>
        <v>-7171247</v>
      </c>
      <c r="M876" s="144">
        <f t="shared" si="57"/>
        <v>-7171247</v>
      </c>
      <c r="N876" s="145" t="s">
        <v>1685</v>
      </c>
      <c r="O876" s="125"/>
    </row>
    <row r="877" spans="1:15" ht="15" customHeight="1" x14ac:dyDescent="0.3">
      <c r="A877" s="90" t="s">
        <v>232</v>
      </c>
      <c r="B877" s="90" t="s">
        <v>1680</v>
      </c>
      <c r="C877" s="90" t="s">
        <v>1681</v>
      </c>
      <c r="D877" s="90" t="s">
        <v>1686</v>
      </c>
      <c r="E877" s="90" t="s">
        <v>1687</v>
      </c>
      <c r="F877" s="90" t="s">
        <v>1688</v>
      </c>
      <c r="G877" s="89">
        <v>-2210008</v>
      </c>
      <c r="H877" s="141" t="str">
        <f t="shared" si="58"/>
        <v>852409940926</v>
      </c>
      <c r="I877" s="142">
        <v>0</v>
      </c>
      <c r="J877" s="142" t="s">
        <v>1867</v>
      </c>
      <c r="K877" s="143">
        <f t="shared" si="55"/>
        <v>0</v>
      </c>
      <c r="L877" s="144">
        <f t="shared" si="56"/>
        <v>-2210008</v>
      </c>
      <c r="M877" s="144">
        <f t="shared" si="57"/>
        <v>-2210008</v>
      </c>
      <c r="N877" s="145" t="s">
        <v>1685</v>
      </c>
      <c r="O877" s="125"/>
    </row>
    <row r="878" spans="1:15" ht="15" customHeight="1" x14ac:dyDescent="0.3">
      <c r="A878" s="90" t="s">
        <v>232</v>
      </c>
      <c r="B878" s="90" t="s">
        <v>1680</v>
      </c>
      <c r="C878" s="90" t="s">
        <v>1681</v>
      </c>
      <c r="D878" s="90" t="s">
        <v>1689</v>
      </c>
      <c r="E878" s="90" t="s">
        <v>1690</v>
      </c>
      <c r="F878" s="90" t="s">
        <v>1691</v>
      </c>
      <c r="G878" s="89">
        <v>-2022938</v>
      </c>
      <c r="H878" s="141" t="str">
        <f t="shared" si="58"/>
        <v>852405285926</v>
      </c>
      <c r="I878" s="142">
        <v>0</v>
      </c>
      <c r="J878" s="142" t="s">
        <v>1878</v>
      </c>
      <c r="K878" s="143">
        <f t="shared" si="55"/>
        <v>0</v>
      </c>
      <c r="L878" s="144">
        <f t="shared" si="56"/>
        <v>-2022938</v>
      </c>
      <c r="M878" s="144">
        <f t="shared" si="57"/>
        <v>-2022938</v>
      </c>
      <c r="N878" s="145" t="s">
        <v>1685</v>
      </c>
      <c r="O878" s="125"/>
    </row>
    <row r="879" spans="1:15" ht="15" customHeight="1" x14ac:dyDescent="0.3">
      <c r="A879" s="90" t="s">
        <v>232</v>
      </c>
      <c r="B879" s="90" t="s">
        <v>1692</v>
      </c>
      <c r="C879" s="90" t="s">
        <v>1693</v>
      </c>
      <c r="D879" s="90" t="s">
        <v>1694</v>
      </c>
      <c r="E879" s="90" t="s">
        <v>1695</v>
      </c>
      <c r="F879" s="90" t="s">
        <v>1696</v>
      </c>
      <c r="G879" s="89">
        <v>-76820.88</v>
      </c>
      <c r="H879" s="141" t="str">
        <f t="shared" si="58"/>
        <v>853604580926</v>
      </c>
      <c r="I879" s="142">
        <v>0.11208</v>
      </c>
      <c r="J879" s="142" t="s">
        <v>1862</v>
      </c>
      <c r="K879" s="143">
        <f t="shared" si="55"/>
        <v>-8610.0842303999998</v>
      </c>
      <c r="L879" s="144">
        <f t="shared" si="56"/>
        <v>-68210.795769600008</v>
      </c>
      <c r="M879" s="144">
        <f t="shared" si="57"/>
        <v>-76820.88</v>
      </c>
      <c r="N879" s="145" t="s">
        <v>1685</v>
      </c>
      <c r="O879" s="125"/>
    </row>
    <row r="880" spans="1:15" ht="15" customHeight="1" x14ac:dyDescent="0.3">
      <c r="A880" s="90" t="s">
        <v>232</v>
      </c>
      <c r="B880" s="90" t="s">
        <v>790</v>
      </c>
      <c r="C880" s="90" t="s">
        <v>791</v>
      </c>
      <c r="D880" s="90" t="s">
        <v>1697</v>
      </c>
      <c r="E880" s="90" t="s">
        <v>704</v>
      </c>
      <c r="F880" s="90" t="s">
        <v>1698</v>
      </c>
      <c r="G880" s="89">
        <v>18.71</v>
      </c>
      <c r="H880" s="141" t="str">
        <f t="shared" si="58"/>
        <v>510101505926</v>
      </c>
      <c r="I880" s="142">
        <v>0.11208</v>
      </c>
      <c r="J880" s="142" t="s">
        <v>1862</v>
      </c>
      <c r="K880" s="143">
        <f t="shared" si="55"/>
        <v>2.0970168</v>
      </c>
      <c r="L880" s="144">
        <f t="shared" si="56"/>
        <v>16.612983200000002</v>
      </c>
      <c r="M880" s="144">
        <f t="shared" si="57"/>
        <v>18.71</v>
      </c>
      <c r="N880" s="145" t="s">
        <v>1685</v>
      </c>
      <c r="O880" s="125"/>
    </row>
    <row r="881" spans="1:15" ht="15" customHeight="1" x14ac:dyDescent="0.3">
      <c r="A881" s="90" t="s">
        <v>232</v>
      </c>
      <c r="B881" s="90" t="s">
        <v>690</v>
      </c>
      <c r="C881" s="90" t="s">
        <v>691</v>
      </c>
      <c r="D881" s="90" t="s">
        <v>1699</v>
      </c>
      <c r="E881" s="90" t="s">
        <v>1700</v>
      </c>
      <c r="F881" s="90" t="s">
        <v>1701</v>
      </c>
      <c r="G881" s="89">
        <v>60.7</v>
      </c>
      <c r="H881" s="141" t="str">
        <f t="shared" si="58"/>
        <v>141004540926</v>
      </c>
      <c r="I881" s="142">
        <v>1.1399999999999966E-2</v>
      </c>
      <c r="J881" s="142" t="s">
        <v>1879</v>
      </c>
      <c r="K881" s="143">
        <f t="shared" si="55"/>
        <v>0.69197999999999793</v>
      </c>
      <c r="L881" s="144">
        <f t="shared" si="56"/>
        <v>60.008020000000002</v>
      </c>
      <c r="M881" s="144">
        <f t="shared" si="57"/>
        <v>60.7</v>
      </c>
      <c r="N881" s="145" t="s">
        <v>1685</v>
      </c>
      <c r="O881" s="125"/>
    </row>
    <row r="882" spans="1:15" ht="15" customHeight="1" x14ac:dyDescent="0.3">
      <c r="A882" s="90" t="s">
        <v>232</v>
      </c>
      <c r="B882" s="90" t="s">
        <v>639</v>
      </c>
      <c r="C882" s="90" t="s">
        <v>640</v>
      </c>
      <c r="D882" s="90" t="s">
        <v>1702</v>
      </c>
      <c r="E882" s="90" t="s">
        <v>1372</v>
      </c>
      <c r="F882" s="90" t="s">
        <v>1703</v>
      </c>
      <c r="G882" s="89">
        <v>423.94</v>
      </c>
      <c r="H882" s="141" t="str">
        <f t="shared" si="58"/>
        <v>161001570926</v>
      </c>
      <c r="I882" s="142">
        <v>0.11208</v>
      </c>
      <c r="J882" s="142" t="s">
        <v>1862</v>
      </c>
      <c r="K882" s="143">
        <f t="shared" si="55"/>
        <v>47.515195200000001</v>
      </c>
      <c r="L882" s="144">
        <f t="shared" si="56"/>
        <v>376.4248048</v>
      </c>
      <c r="M882" s="144">
        <f t="shared" si="57"/>
        <v>423.94</v>
      </c>
      <c r="N882" s="145" t="s">
        <v>1685</v>
      </c>
      <c r="O882" s="125"/>
    </row>
    <row r="883" spans="1:15" ht="15" customHeight="1" x14ac:dyDescent="0.3">
      <c r="A883" s="90" t="s">
        <v>232</v>
      </c>
      <c r="B883" s="90" t="s">
        <v>1301</v>
      </c>
      <c r="C883" s="90" t="s">
        <v>1302</v>
      </c>
      <c r="D883" s="90" t="s">
        <v>1697</v>
      </c>
      <c r="E883" s="90" t="s">
        <v>704</v>
      </c>
      <c r="F883" s="90" t="s">
        <v>1698</v>
      </c>
      <c r="G883" s="89">
        <v>550</v>
      </c>
      <c r="H883" s="141" t="str">
        <f t="shared" si="58"/>
        <v>340001505926</v>
      </c>
      <c r="I883" s="142">
        <v>0.11208</v>
      </c>
      <c r="J883" s="142" t="s">
        <v>1862</v>
      </c>
      <c r="K883" s="143">
        <f t="shared" si="55"/>
        <v>61.643999999999998</v>
      </c>
      <c r="L883" s="144">
        <f t="shared" si="56"/>
        <v>488.35599999999999</v>
      </c>
      <c r="M883" s="144">
        <f t="shared" si="57"/>
        <v>550</v>
      </c>
      <c r="N883" s="145" t="s">
        <v>1685</v>
      </c>
      <c r="O883" s="125"/>
    </row>
    <row r="884" spans="1:15" ht="15" customHeight="1" x14ac:dyDescent="0.3">
      <c r="A884" s="90" t="s">
        <v>232</v>
      </c>
      <c r="B884" s="90" t="s">
        <v>1523</v>
      </c>
      <c r="C884" s="90" t="s">
        <v>1524</v>
      </c>
      <c r="D884" s="90" t="s">
        <v>1704</v>
      </c>
      <c r="E884" s="90" t="s">
        <v>1526</v>
      </c>
      <c r="F884" s="90" t="s">
        <v>1705</v>
      </c>
      <c r="G884" s="89">
        <v>579.5</v>
      </c>
      <c r="H884" s="141" t="str">
        <f t="shared" si="58"/>
        <v>312004560926</v>
      </c>
      <c r="I884" s="142">
        <v>0.11208</v>
      </c>
      <c r="J884" s="142" t="s">
        <v>1862</v>
      </c>
      <c r="K884" s="143">
        <f t="shared" si="55"/>
        <v>64.950360000000003</v>
      </c>
      <c r="L884" s="144">
        <f t="shared" si="56"/>
        <v>514.54963999999995</v>
      </c>
      <c r="M884" s="144">
        <f t="shared" si="57"/>
        <v>579.5</v>
      </c>
      <c r="N884" s="145" t="s">
        <v>1685</v>
      </c>
      <c r="O884" s="125"/>
    </row>
    <row r="885" spans="1:15" ht="15" customHeight="1" x14ac:dyDescent="0.3">
      <c r="A885" s="90" t="s">
        <v>232</v>
      </c>
      <c r="B885" s="90" t="s">
        <v>1706</v>
      </c>
      <c r="C885" s="90" t="s">
        <v>1707</v>
      </c>
      <c r="D885" s="90" t="s">
        <v>1708</v>
      </c>
      <c r="E885" s="90" t="s">
        <v>1709</v>
      </c>
      <c r="F885" s="90" t="s">
        <v>1710</v>
      </c>
      <c r="G885" s="89">
        <v>743.6</v>
      </c>
      <c r="H885" s="141" t="str">
        <f t="shared" si="58"/>
        <v>325002200926</v>
      </c>
      <c r="I885" s="142">
        <v>0.11208</v>
      </c>
      <c r="J885" s="142" t="s">
        <v>1894</v>
      </c>
      <c r="K885" s="143">
        <f t="shared" si="55"/>
        <v>83.342687999999995</v>
      </c>
      <c r="L885" s="144">
        <f t="shared" si="56"/>
        <v>660.25731200000007</v>
      </c>
      <c r="M885" s="144">
        <f t="shared" si="57"/>
        <v>743.6</v>
      </c>
      <c r="N885" s="145" t="s">
        <v>1685</v>
      </c>
      <c r="O885" s="125"/>
    </row>
    <row r="886" spans="1:15" ht="15" customHeight="1" x14ac:dyDescent="0.3">
      <c r="A886" s="90" t="s">
        <v>232</v>
      </c>
      <c r="B886" s="90" t="s">
        <v>1301</v>
      </c>
      <c r="C886" s="90" t="s">
        <v>1302</v>
      </c>
      <c r="D886" s="90" t="s">
        <v>1711</v>
      </c>
      <c r="E886" s="90" t="s">
        <v>1443</v>
      </c>
      <c r="F886" s="90" t="s">
        <v>1712</v>
      </c>
      <c r="G886" s="89">
        <v>756</v>
      </c>
      <c r="H886" s="141" t="str">
        <f t="shared" si="58"/>
        <v>340004536926</v>
      </c>
      <c r="I886" s="142">
        <v>0.11208</v>
      </c>
      <c r="J886" s="142" t="s">
        <v>1862</v>
      </c>
      <c r="K886" s="143">
        <f t="shared" si="55"/>
        <v>84.732479999999995</v>
      </c>
      <c r="L886" s="144">
        <f t="shared" si="56"/>
        <v>671.26751999999999</v>
      </c>
      <c r="M886" s="144">
        <f t="shared" si="57"/>
        <v>756</v>
      </c>
      <c r="N886" s="145" t="s">
        <v>1685</v>
      </c>
      <c r="O886" s="125"/>
    </row>
    <row r="887" spans="1:15" ht="15" customHeight="1" x14ac:dyDescent="0.3">
      <c r="A887" s="90" t="s">
        <v>232</v>
      </c>
      <c r="B887" s="90" t="s">
        <v>1461</v>
      </c>
      <c r="C887" s="90" t="s">
        <v>1462</v>
      </c>
      <c r="D887" s="90" t="s">
        <v>1713</v>
      </c>
      <c r="E887" s="90" t="s">
        <v>1469</v>
      </c>
      <c r="F887" s="90" t="s">
        <v>1714</v>
      </c>
      <c r="G887" s="89">
        <v>767.77</v>
      </c>
      <c r="H887" s="141" t="str">
        <f t="shared" si="58"/>
        <v>320001672926</v>
      </c>
      <c r="I887" s="142">
        <v>0.11208</v>
      </c>
      <c r="J887" s="142" t="s">
        <v>1862</v>
      </c>
      <c r="K887" s="143">
        <f t="shared" si="55"/>
        <v>86.051661600000003</v>
      </c>
      <c r="L887" s="144">
        <f t="shared" si="56"/>
        <v>681.71833839999999</v>
      </c>
      <c r="M887" s="144">
        <f t="shared" si="57"/>
        <v>767.77</v>
      </c>
      <c r="N887" s="145" t="s">
        <v>1685</v>
      </c>
      <c r="O887" s="125"/>
    </row>
    <row r="888" spans="1:15" ht="15" customHeight="1" x14ac:dyDescent="0.3">
      <c r="A888" s="90" t="s">
        <v>232</v>
      </c>
      <c r="B888" s="90" t="s">
        <v>790</v>
      </c>
      <c r="C888" s="90" t="s">
        <v>791</v>
      </c>
      <c r="D888" s="90" t="s">
        <v>1715</v>
      </c>
      <c r="E888" s="90" t="s">
        <v>1504</v>
      </c>
      <c r="F888" s="90" t="s">
        <v>1716</v>
      </c>
      <c r="G888" s="89">
        <v>1008.35</v>
      </c>
      <c r="H888" s="141" t="str">
        <f t="shared" si="58"/>
        <v>510101560926</v>
      </c>
      <c r="I888" s="142">
        <v>0.11208</v>
      </c>
      <c r="J888" s="142" t="s">
        <v>1862</v>
      </c>
      <c r="K888" s="143">
        <f t="shared" si="55"/>
        <v>113.015868</v>
      </c>
      <c r="L888" s="144">
        <f t="shared" si="56"/>
        <v>895.33413200000007</v>
      </c>
      <c r="M888" s="144">
        <f t="shared" si="57"/>
        <v>1008.35</v>
      </c>
      <c r="N888" s="145" t="s">
        <v>1685</v>
      </c>
      <c r="O888" s="125"/>
    </row>
    <row r="889" spans="1:15" ht="15" customHeight="1" x14ac:dyDescent="0.3">
      <c r="A889" s="90" t="s">
        <v>232</v>
      </c>
      <c r="B889" s="90" t="s">
        <v>790</v>
      </c>
      <c r="C889" s="90" t="s">
        <v>791</v>
      </c>
      <c r="D889" s="90" t="s">
        <v>1717</v>
      </c>
      <c r="E889" s="90" t="s">
        <v>1487</v>
      </c>
      <c r="F889" s="90" t="s">
        <v>1718</v>
      </c>
      <c r="G889" s="89">
        <v>1681.92</v>
      </c>
      <c r="H889" s="141" t="str">
        <f t="shared" si="58"/>
        <v>510101595926</v>
      </c>
      <c r="I889" s="142">
        <v>0.11208</v>
      </c>
      <c r="J889" s="142" t="s">
        <v>1862</v>
      </c>
      <c r="K889" s="143">
        <f t="shared" si="55"/>
        <v>188.50959360000002</v>
      </c>
      <c r="L889" s="144">
        <f t="shared" si="56"/>
        <v>1493.4104064000001</v>
      </c>
      <c r="M889" s="144">
        <f t="shared" si="57"/>
        <v>1681.92</v>
      </c>
      <c r="N889" s="145" t="s">
        <v>1685</v>
      </c>
      <c r="O889" s="125"/>
    </row>
    <row r="890" spans="1:15" ht="15" customHeight="1" x14ac:dyDescent="0.3">
      <c r="A890" s="90" t="s">
        <v>232</v>
      </c>
      <c r="B890" s="90" t="s">
        <v>690</v>
      </c>
      <c r="C890" s="90" t="s">
        <v>691</v>
      </c>
      <c r="D890" s="90" t="s">
        <v>1719</v>
      </c>
      <c r="E890" s="90" t="s">
        <v>1337</v>
      </c>
      <c r="F890" s="90" t="s">
        <v>1720</v>
      </c>
      <c r="G890" s="89">
        <v>9048</v>
      </c>
      <c r="H890" s="141" t="str">
        <f t="shared" si="58"/>
        <v>141001590926</v>
      </c>
      <c r="I890" s="142">
        <v>1.1399999999999966E-2</v>
      </c>
      <c r="J890" s="142" t="s">
        <v>281</v>
      </c>
      <c r="K890" s="143">
        <f t="shared" si="55"/>
        <v>103.14719999999969</v>
      </c>
      <c r="L890" s="144">
        <f t="shared" si="56"/>
        <v>8944.8528000000006</v>
      </c>
      <c r="M890" s="144">
        <f t="shared" si="57"/>
        <v>9048</v>
      </c>
      <c r="N890" s="145" t="s">
        <v>1685</v>
      </c>
      <c r="O890" s="125"/>
    </row>
    <row r="891" spans="1:15" ht="15" customHeight="1" x14ac:dyDescent="0.3">
      <c r="A891" s="90" t="s">
        <v>232</v>
      </c>
      <c r="B891" s="90" t="s">
        <v>790</v>
      </c>
      <c r="C891" s="90" t="s">
        <v>791</v>
      </c>
      <c r="D891" s="90" t="s">
        <v>1719</v>
      </c>
      <c r="E891" s="90" t="s">
        <v>1337</v>
      </c>
      <c r="F891" s="90" t="s">
        <v>1720</v>
      </c>
      <c r="G891" s="89">
        <v>10009.9</v>
      </c>
      <c r="H891" s="141" t="str">
        <f t="shared" si="58"/>
        <v>510101590926</v>
      </c>
      <c r="I891" s="142">
        <v>0.11208</v>
      </c>
      <c r="J891" s="142" t="s">
        <v>1862</v>
      </c>
      <c r="K891" s="143">
        <f t="shared" si="55"/>
        <v>1121.909592</v>
      </c>
      <c r="L891" s="144">
        <f t="shared" si="56"/>
        <v>8887.9904079999997</v>
      </c>
      <c r="M891" s="144">
        <f t="shared" si="57"/>
        <v>10009.9</v>
      </c>
      <c r="N891" s="145" t="s">
        <v>1685</v>
      </c>
      <c r="O891" s="125"/>
    </row>
    <row r="892" spans="1:15" ht="15" customHeight="1" x14ac:dyDescent="0.3">
      <c r="A892" s="90" t="s">
        <v>232</v>
      </c>
      <c r="B892" s="90" t="s">
        <v>1301</v>
      </c>
      <c r="C892" s="90" t="s">
        <v>1302</v>
      </c>
      <c r="D892" s="90" t="s">
        <v>1721</v>
      </c>
      <c r="E892" s="90" t="s">
        <v>769</v>
      </c>
      <c r="F892" s="90" t="s">
        <v>1722</v>
      </c>
      <c r="G892" s="89">
        <v>39313.839999999997</v>
      </c>
      <c r="H892" s="141" t="str">
        <f t="shared" si="58"/>
        <v>340001670926</v>
      </c>
      <c r="I892" s="142">
        <v>0.11208</v>
      </c>
      <c r="J892" s="142" t="s">
        <v>1862</v>
      </c>
      <c r="K892" s="143">
        <f t="shared" si="55"/>
        <v>4406.2951871999994</v>
      </c>
      <c r="L892" s="144">
        <f t="shared" si="56"/>
        <v>34907.544812799999</v>
      </c>
      <c r="M892" s="144">
        <f t="shared" si="57"/>
        <v>39313.839999999997</v>
      </c>
      <c r="N892" s="145" t="s">
        <v>1685</v>
      </c>
      <c r="O892" s="125"/>
    </row>
    <row r="893" spans="1:15" ht="15" customHeight="1" x14ac:dyDescent="0.3">
      <c r="A893" s="90" t="s">
        <v>232</v>
      </c>
      <c r="B893" s="90" t="s">
        <v>1291</v>
      </c>
      <c r="C893" s="90" t="s">
        <v>1292</v>
      </c>
      <c r="D893" s="90" t="s">
        <v>1699</v>
      </c>
      <c r="E893" s="90" t="s">
        <v>1700</v>
      </c>
      <c r="F893" s="90" t="s">
        <v>1701</v>
      </c>
      <c r="G893" s="89">
        <v>45706.920000000006</v>
      </c>
      <c r="H893" s="141" t="str">
        <f t="shared" si="58"/>
        <v>520204540926</v>
      </c>
      <c r="I893" s="142">
        <v>0.11209999999999998</v>
      </c>
      <c r="J893" s="142" t="s">
        <v>308</v>
      </c>
      <c r="K893" s="143">
        <f t="shared" si="55"/>
        <v>5123.7457319999994</v>
      </c>
      <c r="L893" s="144">
        <f t="shared" si="56"/>
        <v>40583.174268000002</v>
      </c>
      <c r="M893" s="144">
        <f t="shared" si="57"/>
        <v>45706.92</v>
      </c>
      <c r="N893" s="145" t="s">
        <v>1685</v>
      </c>
      <c r="O893" s="125"/>
    </row>
    <row r="894" spans="1:15" ht="15" customHeight="1" x14ac:dyDescent="0.3">
      <c r="A894" s="90" t="s">
        <v>232</v>
      </c>
      <c r="B894" s="90" t="s">
        <v>1706</v>
      </c>
      <c r="C894" s="90" t="s">
        <v>1707</v>
      </c>
      <c r="D894" s="90" t="s">
        <v>1723</v>
      </c>
      <c r="E894" s="90" t="s">
        <v>1724</v>
      </c>
      <c r="F894" s="90" t="s">
        <v>1725</v>
      </c>
      <c r="G894" s="89">
        <v>81548.800000000003</v>
      </c>
      <c r="H894" s="141" t="str">
        <f t="shared" si="58"/>
        <v>325004625926</v>
      </c>
      <c r="I894" s="142">
        <v>0.11208</v>
      </c>
      <c r="J894" s="142" t="s">
        <v>1862</v>
      </c>
      <c r="K894" s="143">
        <f t="shared" si="55"/>
        <v>9139.989504000001</v>
      </c>
      <c r="L894" s="144">
        <f t="shared" si="56"/>
        <v>72408.810496000006</v>
      </c>
      <c r="M894" s="144">
        <f t="shared" si="57"/>
        <v>81548.800000000003</v>
      </c>
      <c r="N894" s="145" t="s">
        <v>1685</v>
      </c>
      <c r="O894" s="125"/>
    </row>
    <row r="895" spans="1:15" ht="15" customHeight="1" x14ac:dyDescent="0.3">
      <c r="A895" s="90" t="s">
        <v>232</v>
      </c>
      <c r="B895" s="90" t="s">
        <v>1726</v>
      </c>
      <c r="C895" s="90" t="s">
        <v>1727</v>
      </c>
      <c r="D895" s="90" t="s">
        <v>1697</v>
      </c>
      <c r="E895" s="90" t="s">
        <v>704</v>
      </c>
      <c r="F895" s="90" t="s">
        <v>1698</v>
      </c>
      <c r="G895" s="89">
        <v>111343.12</v>
      </c>
      <c r="H895" s="141" t="str">
        <f t="shared" si="58"/>
        <v>350001505926</v>
      </c>
      <c r="I895" s="142">
        <v>0.11208</v>
      </c>
      <c r="J895" s="142" t="s">
        <v>1862</v>
      </c>
      <c r="K895" s="143">
        <f t="shared" si="55"/>
        <v>12479.336889599999</v>
      </c>
      <c r="L895" s="144">
        <f t="shared" si="56"/>
        <v>98863.783110399992</v>
      </c>
      <c r="M895" s="144">
        <f t="shared" si="57"/>
        <v>111343.12</v>
      </c>
      <c r="N895" s="145" t="s">
        <v>1685</v>
      </c>
      <c r="O895" s="125"/>
    </row>
    <row r="896" spans="1:15" ht="15" customHeight="1" x14ac:dyDescent="0.3">
      <c r="A896" s="90" t="s">
        <v>232</v>
      </c>
      <c r="B896" s="90" t="s">
        <v>1621</v>
      </c>
      <c r="C896" s="90" t="s">
        <v>1622</v>
      </c>
      <c r="D896" s="90" t="s">
        <v>1697</v>
      </c>
      <c r="E896" s="90" t="s">
        <v>704</v>
      </c>
      <c r="F896" s="90" t="s">
        <v>1698</v>
      </c>
      <c r="G896" s="89">
        <v>114699.51000000001</v>
      </c>
      <c r="H896" s="141" t="str">
        <f t="shared" si="58"/>
        <v>510601505926</v>
      </c>
      <c r="I896" s="142">
        <v>0.11209999999999998</v>
      </c>
      <c r="J896" s="142" t="s">
        <v>308</v>
      </c>
      <c r="K896" s="143">
        <f t="shared" si="55"/>
        <v>12857.815070999999</v>
      </c>
      <c r="L896" s="144">
        <f t="shared" si="56"/>
        <v>101841.694929</v>
      </c>
      <c r="M896" s="144">
        <f t="shared" si="57"/>
        <v>114699.51000000001</v>
      </c>
      <c r="N896" s="145" t="s">
        <v>1685</v>
      </c>
      <c r="O896" s="125"/>
    </row>
    <row r="897" spans="1:15" ht="15" customHeight="1" x14ac:dyDescent="0.3">
      <c r="A897" s="90" t="s">
        <v>232</v>
      </c>
      <c r="B897" s="90" t="s">
        <v>1706</v>
      </c>
      <c r="C897" s="90" t="s">
        <v>1707</v>
      </c>
      <c r="D897" s="90" t="s">
        <v>1728</v>
      </c>
      <c r="E897" s="90" t="s">
        <v>1729</v>
      </c>
      <c r="F897" s="90" t="s">
        <v>1730</v>
      </c>
      <c r="G897" s="89">
        <v>150113.85999999999</v>
      </c>
      <c r="H897" s="141" t="str">
        <f t="shared" si="58"/>
        <v>325002593926</v>
      </c>
      <c r="I897" s="142">
        <v>0.11208</v>
      </c>
      <c r="J897" s="142" t="s">
        <v>1862</v>
      </c>
      <c r="K897" s="143">
        <f t="shared" si="55"/>
        <v>16824.761428799997</v>
      </c>
      <c r="L897" s="144">
        <f t="shared" si="56"/>
        <v>133289.09857119998</v>
      </c>
      <c r="M897" s="144">
        <f t="shared" si="57"/>
        <v>150113.85999999999</v>
      </c>
      <c r="N897" s="145" t="s">
        <v>1685</v>
      </c>
      <c r="O897" s="125"/>
    </row>
    <row r="898" spans="1:15" ht="15" customHeight="1" x14ac:dyDescent="0.3">
      <c r="A898" s="90" t="s">
        <v>232</v>
      </c>
      <c r="B898" s="90" t="s">
        <v>1466</v>
      </c>
      <c r="C898" s="90" t="s">
        <v>1467</v>
      </c>
      <c r="D898" s="90" t="s">
        <v>1697</v>
      </c>
      <c r="E898" s="90" t="s">
        <v>704</v>
      </c>
      <c r="F898" s="90" t="s">
        <v>1698</v>
      </c>
      <c r="G898" s="89">
        <v>281621.99</v>
      </c>
      <c r="H898" s="141" t="str">
        <f t="shared" si="58"/>
        <v>313001505926</v>
      </c>
      <c r="I898" s="142">
        <v>0.11208</v>
      </c>
      <c r="J898" s="142" t="s">
        <v>1862</v>
      </c>
      <c r="K898" s="143">
        <f t="shared" si="55"/>
        <v>31564.192639199999</v>
      </c>
      <c r="L898" s="144">
        <f t="shared" si="56"/>
        <v>250057.7973608</v>
      </c>
      <c r="M898" s="144">
        <f t="shared" si="57"/>
        <v>281621.99</v>
      </c>
      <c r="N898" s="145" t="s">
        <v>1685</v>
      </c>
      <c r="O898" s="125"/>
    </row>
    <row r="899" spans="1:15" ht="15" customHeight="1" x14ac:dyDescent="0.3">
      <c r="A899" s="90" t="s">
        <v>232</v>
      </c>
      <c r="B899" s="90" t="s">
        <v>1440</v>
      </c>
      <c r="C899" s="90" t="s">
        <v>1441</v>
      </c>
      <c r="D899" s="90" t="s">
        <v>1697</v>
      </c>
      <c r="E899" s="90" t="s">
        <v>704</v>
      </c>
      <c r="F899" s="90" t="s">
        <v>1698</v>
      </c>
      <c r="G899" s="89">
        <v>351214.83</v>
      </c>
      <c r="H899" s="141" t="str">
        <f t="shared" si="58"/>
        <v>311001505926</v>
      </c>
      <c r="I899" s="142">
        <v>0.11208</v>
      </c>
      <c r="J899" s="142" t="s">
        <v>1862</v>
      </c>
      <c r="K899" s="143">
        <f t="shared" si="55"/>
        <v>39364.158146400005</v>
      </c>
      <c r="L899" s="144">
        <f t="shared" si="56"/>
        <v>311850.67185360001</v>
      </c>
      <c r="M899" s="144">
        <f t="shared" si="57"/>
        <v>351214.83</v>
      </c>
      <c r="N899" s="145" t="s">
        <v>1685</v>
      </c>
      <c r="O899" s="125"/>
    </row>
    <row r="900" spans="1:15" ht="15" customHeight="1" x14ac:dyDescent="0.3">
      <c r="A900" s="90" t="s">
        <v>232</v>
      </c>
      <c r="B900" s="90" t="s">
        <v>1596</v>
      </c>
      <c r="C900" s="90" t="s">
        <v>1597</v>
      </c>
      <c r="D900" s="90" t="s">
        <v>1697</v>
      </c>
      <c r="E900" s="90" t="s">
        <v>704</v>
      </c>
      <c r="F900" s="90" t="s">
        <v>1698</v>
      </c>
      <c r="G900" s="89">
        <v>382721.84</v>
      </c>
      <c r="H900" s="141" t="str">
        <f t="shared" si="58"/>
        <v>330001505926</v>
      </c>
      <c r="I900" s="142">
        <v>0.11208</v>
      </c>
      <c r="J900" s="142" t="s">
        <v>1862</v>
      </c>
      <c r="K900" s="143">
        <f t="shared" si="55"/>
        <v>42895.463827200001</v>
      </c>
      <c r="L900" s="144">
        <f t="shared" si="56"/>
        <v>339826.37617280002</v>
      </c>
      <c r="M900" s="144">
        <f t="shared" si="57"/>
        <v>382721.84</v>
      </c>
      <c r="N900" s="145" t="s">
        <v>1685</v>
      </c>
      <c r="O900" s="125"/>
    </row>
    <row r="901" spans="1:15" ht="15" customHeight="1" x14ac:dyDescent="0.3">
      <c r="A901" s="90" t="s">
        <v>232</v>
      </c>
      <c r="B901" s="90" t="s">
        <v>1731</v>
      </c>
      <c r="C901" s="90" t="s">
        <v>1732</v>
      </c>
      <c r="D901" s="90" t="s">
        <v>1733</v>
      </c>
      <c r="E901" s="90" t="s">
        <v>1734</v>
      </c>
      <c r="F901" s="90" t="s">
        <v>1735</v>
      </c>
      <c r="G901" s="89">
        <v>703905.75</v>
      </c>
      <c r="H901" s="141" t="str">
        <f t="shared" si="58"/>
        <v>853709910926</v>
      </c>
      <c r="I901" s="142">
        <v>0.11208</v>
      </c>
      <c r="J901" s="142" t="s">
        <v>1894</v>
      </c>
      <c r="K901" s="143">
        <f t="shared" si="55"/>
        <v>78893.756460000004</v>
      </c>
      <c r="L901" s="144">
        <f t="shared" si="56"/>
        <v>625011.99353999994</v>
      </c>
      <c r="M901" s="144">
        <f t="shared" si="57"/>
        <v>703905.75</v>
      </c>
      <c r="N901" s="145" t="s">
        <v>1685</v>
      </c>
      <c r="O901" s="125"/>
    </row>
    <row r="902" spans="1:15" ht="15" customHeight="1" x14ac:dyDescent="0.3">
      <c r="A902" s="90" t="s">
        <v>232</v>
      </c>
      <c r="B902" s="90" t="s">
        <v>1736</v>
      </c>
      <c r="C902" s="90" t="s">
        <v>1737</v>
      </c>
      <c r="D902" s="90" t="s">
        <v>1738</v>
      </c>
      <c r="E902" s="90" t="s">
        <v>1739</v>
      </c>
      <c r="F902" s="90" t="s">
        <v>1740</v>
      </c>
      <c r="G902" s="89">
        <v>1783022.1099999999</v>
      </c>
      <c r="H902" s="141" t="str">
        <f t="shared" si="58"/>
        <v>853802101926</v>
      </c>
      <c r="I902" s="142">
        <v>0.11208</v>
      </c>
      <c r="J902" s="142" t="s">
        <v>1862</v>
      </c>
      <c r="K902" s="143">
        <f t="shared" si="55"/>
        <v>199841.11808879999</v>
      </c>
      <c r="L902" s="144">
        <f t="shared" si="56"/>
        <v>1583180.9919111999</v>
      </c>
      <c r="M902" s="144">
        <f t="shared" si="57"/>
        <v>1783022.1099999999</v>
      </c>
      <c r="N902" s="145" t="s">
        <v>1685</v>
      </c>
      <c r="O902" s="125"/>
    </row>
    <row r="903" spans="1:15" ht="15" customHeight="1" x14ac:dyDescent="0.3">
      <c r="A903" s="90" t="s">
        <v>232</v>
      </c>
      <c r="B903" s="90" t="s">
        <v>1461</v>
      </c>
      <c r="C903" s="90" t="s">
        <v>1462</v>
      </c>
      <c r="D903" s="90" t="s">
        <v>1708</v>
      </c>
      <c r="E903" s="90" t="s">
        <v>1709</v>
      </c>
      <c r="F903" s="90" t="s">
        <v>1710</v>
      </c>
      <c r="G903" s="89">
        <v>1827701.8399999996</v>
      </c>
      <c r="H903" s="141" t="str">
        <f t="shared" si="58"/>
        <v>320002200926</v>
      </c>
      <c r="I903" s="142">
        <v>0.11208</v>
      </c>
      <c r="J903" s="142" t="s">
        <v>1862</v>
      </c>
      <c r="K903" s="143">
        <f t="shared" si="55"/>
        <v>204848.82222719997</v>
      </c>
      <c r="L903" s="144">
        <f t="shared" si="56"/>
        <v>1622853.0177727996</v>
      </c>
      <c r="M903" s="144">
        <f t="shared" si="57"/>
        <v>1827701.8399999996</v>
      </c>
      <c r="N903" s="145" t="s">
        <v>1685</v>
      </c>
      <c r="O903" s="125"/>
    </row>
    <row r="904" spans="1:15" ht="15" customHeight="1" x14ac:dyDescent="0.3">
      <c r="A904" s="90" t="s">
        <v>232</v>
      </c>
      <c r="B904" s="90" t="s">
        <v>1741</v>
      </c>
      <c r="C904" s="90" t="s">
        <v>1742</v>
      </c>
      <c r="D904" s="90" t="s">
        <v>1743</v>
      </c>
      <c r="E904" s="90" t="s">
        <v>1744</v>
      </c>
      <c r="F904" s="90" t="s">
        <v>1745</v>
      </c>
      <c r="G904" s="89">
        <v>10480537.469999999</v>
      </c>
      <c r="H904" s="141" t="str">
        <f t="shared" si="58"/>
        <v>853509920926</v>
      </c>
      <c r="I904" s="142">
        <v>0.11208</v>
      </c>
      <c r="J904" s="142" t="s">
        <v>1894</v>
      </c>
      <c r="K904" s="143">
        <f t="shared" si="55"/>
        <v>1174658.6396375999</v>
      </c>
      <c r="L904" s="144">
        <f t="shared" si="56"/>
        <v>9305878.8303623982</v>
      </c>
      <c r="M904" s="144">
        <f t="shared" si="57"/>
        <v>10480537.469999999</v>
      </c>
      <c r="N904" s="145" t="s">
        <v>1685</v>
      </c>
      <c r="O904" s="125"/>
    </row>
    <row r="905" spans="1:15" ht="15" customHeight="1" x14ac:dyDescent="0.3">
      <c r="A905" s="90" t="s">
        <v>235</v>
      </c>
      <c r="B905" s="90" t="s">
        <v>1419</v>
      </c>
      <c r="C905" s="90" t="s">
        <v>1420</v>
      </c>
      <c r="D905" s="90" t="s">
        <v>1746</v>
      </c>
      <c r="E905" s="90" t="s">
        <v>1747</v>
      </c>
      <c r="F905" s="90" t="s">
        <v>1748</v>
      </c>
      <c r="G905" s="89">
        <v>16.13</v>
      </c>
      <c r="H905" s="141" t="str">
        <f t="shared" si="58"/>
        <v>540105000930</v>
      </c>
      <c r="I905" s="142">
        <v>0.11209999999999998</v>
      </c>
      <c r="J905" s="142" t="s">
        <v>1864</v>
      </c>
      <c r="K905" s="143">
        <f t="shared" si="55"/>
        <v>1.8081729999999996</v>
      </c>
      <c r="L905" s="144">
        <f t="shared" si="56"/>
        <v>14.321826999999999</v>
      </c>
      <c r="M905" s="144">
        <f t="shared" si="57"/>
        <v>16.13</v>
      </c>
      <c r="N905" s="145" t="s">
        <v>1749</v>
      </c>
      <c r="O905" s="125"/>
    </row>
    <row r="906" spans="1:15" ht="15" customHeight="1" x14ac:dyDescent="0.3">
      <c r="A906" s="90" t="s">
        <v>235</v>
      </c>
      <c r="B906" s="90" t="s">
        <v>1224</v>
      </c>
      <c r="C906" s="90" t="s">
        <v>1225</v>
      </c>
      <c r="D906" s="90" t="s">
        <v>1750</v>
      </c>
      <c r="E906" s="90" t="s">
        <v>1407</v>
      </c>
      <c r="F906" s="90" t="s">
        <v>1751</v>
      </c>
      <c r="G906" s="89">
        <v>35.85</v>
      </c>
      <c r="H906" s="141" t="str">
        <f t="shared" si="58"/>
        <v>450104320930</v>
      </c>
      <c r="I906" s="142">
        <v>0.11209999999999998</v>
      </c>
      <c r="J906" s="142" t="s">
        <v>1864</v>
      </c>
      <c r="K906" s="143">
        <f t="shared" si="55"/>
        <v>4.0187849999999994</v>
      </c>
      <c r="L906" s="144">
        <f t="shared" si="56"/>
        <v>31.831215</v>
      </c>
      <c r="M906" s="144">
        <f t="shared" si="57"/>
        <v>35.85</v>
      </c>
      <c r="N906" s="145" t="s">
        <v>1749</v>
      </c>
      <c r="O906" s="125"/>
    </row>
    <row r="907" spans="1:15" ht="15" customHeight="1" x14ac:dyDescent="0.3">
      <c r="A907" s="90" t="s">
        <v>235</v>
      </c>
      <c r="B907" s="90" t="s">
        <v>1355</v>
      </c>
      <c r="C907" s="90" t="s">
        <v>1356</v>
      </c>
      <c r="D907" s="90" t="s">
        <v>1750</v>
      </c>
      <c r="E907" s="90" t="s">
        <v>1407</v>
      </c>
      <c r="F907" s="90" t="s">
        <v>1751</v>
      </c>
      <c r="G907" s="146">
        <v>136.94</v>
      </c>
      <c r="H907" s="141" t="str">
        <f t="shared" si="58"/>
        <v>420104320930</v>
      </c>
      <c r="I907" s="142">
        <v>0.11209999999999998</v>
      </c>
      <c r="J907" s="142" t="s">
        <v>308</v>
      </c>
      <c r="K907" s="143">
        <f t="shared" si="55"/>
        <v>15.350973999999997</v>
      </c>
      <c r="L907" s="144">
        <f t="shared" si="56"/>
        <v>121.589026</v>
      </c>
      <c r="M907" s="144">
        <f t="shared" si="57"/>
        <v>136.94</v>
      </c>
      <c r="N907" s="147" t="s">
        <v>1749</v>
      </c>
      <c r="O907" s="148"/>
    </row>
    <row r="908" spans="1:15" ht="15" customHeight="1" x14ac:dyDescent="0.3">
      <c r="A908" s="90" t="s">
        <v>235</v>
      </c>
      <c r="B908" s="90" t="s">
        <v>1539</v>
      </c>
      <c r="C908" s="90" t="s">
        <v>1540</v>
      </c>
      <c r="D908" s="90" t="s">
        <v>1750</v>
      </c>
      <c r="E908" s="90" t="s">
        <v>1407</v>
      </c>
      <c r="F908" s="90" t="s">
        <v>1751</v>
      </c>
      <c r="G908" s="89">
        <v>152.94</v>
      </c>
      <c r="H908" s="141" t="str">
        <f t="shared" si="58"/>
        <v>730004320930</v>
      </c>
      <c r="I908" s="142">
        <v>0.11209999999999998</v>
      </c>
      <c r="J908" s="142" t="s">
        <v>1884</v>
      </c>
      <c r="K908" s="143">
        <f t="shared" si="55"/>
        <v>17.144573999999995</v>
      </c>
      <c r="L908" s="144">
        <f t="shared" si="56"/>
        <v>135.79542599999999</v>
      </c>
      <c r="M908" s="144">
        <f t="shared" si="57"/>
        <v>152.94</v>
      </c>
      <c r="N908" s="145" t="s">
        <v>1749</v>
      </c>
      <c r="O908" s="125"/>
    </row>
    <row r="909" spans="1:15" ht="15" customHeight="1" x14ac:dyDescent="0.3">
      <c r="A909" s="90" t="s">
        <v>235</v>
      </c>
      <c r="B909" s="90" t="s">
        <v>1172</v>
      </c>
      <c r="C909" s="90" t="s">
        <v>1173</v>
      </c>
      <c r="D909" s="90" t="s">
        <v>1750</v>
      </c>
      <c r="E909" s="90" t="s">
        <v>1407</v>
      </c>
      <c r="F909" s="90" t="s">
        <v>1751</v>
      </c>
      <c r="G909" s="146">
        <v>154.57</v>
      </c>
      <c r="H909" s="141" t="str">
        <f t="shared" si="58"/>
        <v>420184320930</v>
      </c>
      <c r="I909" s="142">
        <v>0.11209999999999998</v>
      </c>
      <c r="J909" s="142" t="s">
        <v>308</v>
      </c>
      <c r="K909" s="143">
        <f t="shared" si="55"/>
        <v>17.327296999999994</v>
      </c>
      <c r="L909" s="144">
        <f t="shared" si="56"/>
        <v>137.24270300000001</v>
      </c>
      <c r="M909" s="144">
        <f t="shared" si="57"/>
        <v>154.57</v>
      </c>
      <c r="N909" s="147" t="s">
        <v>1749</v>
      </c>
      <c r="O909" s="148"/>
    </row>
    <row r="910" spans="1:15" ht="15" customHeight="1" x14ac:dyDescent="0.3">
      <c r="A910" s="90" t="s">
        <v>235</v>
      </c>
      <c r="B910" s="90" t="s">
        <v>1609</v>
      </c>
      <c r="C910" s="90" t="s">
        <v>1610</v>
      </c>
      <c r="D910" s="90" t="s">
        <v>1752</v>
      </c>
      <c r="E910" s="90" t="s">
        <v>1753</v>
      </c>
      <c r="F910" s="90" t="s">
        <v>1754</v>
      </c>
      <c r="G910" s="89">
        <v>19233.120000000003</v>
      </c>
      <c r="H910" s="141" t="str">
        <f t="shared" si="58"/>
        <v>830302105930</v>
      </c>
      <c r="I910" s="142">
        <v>0.11209999999999998</v>
      </c>
      <c r="J910" s="142" t="s">
        <v>1864</v>
      </c>
      <c r="K910" s="143">
        <f t="shared" si="55"/>
        <v>2156.0327520000001</v>
      </c>
      <c r="L910" s="144">
        <f t="shared" si="56"/>
        <v>17077.087248000003</v>
      </c>
      <c r="M910" s="144">
        <f t="shared" si="57"/>
        <v>19233.120000000003</v>
      </c>
      <c r="N910" s="145" t="s">
        <v>1749</v>
      </c>
      <c r="O910" s="125"/>
    </row>
    <row r="911" spans="1:15" ht="15" customHeight="1" x14ac:dyDescent="0.3">
      <c r="A911" s="90" t="s">
        <v>235</v>
      </c>
      <c r="B911" s="90" t="s">
        <v>1492</v>
      </c>
      <c r="C911" s="90" t="s">
        <v>1493</v>
      </c>
      <c r="D911" s="90" t="s">
        <v>1755</v>
      </c>
      <c r="E911" s="90" t="s">
        <v>1756</v>
      </c>
      <c r="F911" s="90" t="s">
        <v>1757</v>
      </c>
      <c r="G911" s="89">
        <v>22000</v>
      </c>
      <c r="H911" s="141" t="str">
        <f t="shared" si="58"/>
        <v>460202065930</v>
      </c>
      <c r="I911" s="142">
        <v>0.11209999999999998</v>
      </c>
      <c r="J911" s="142" t="s">
        <v>1864</v>
      </c>
      <c r="K911" s="143">
        <f t="shared" si="55"/>
        <v>2466.1999999999994</v>
      </c>
      <c r="L911" s="144">
        <f t="shared" si="56"/>
        <v>19533.8</v>
      </c>
      <c r="M911" s="144">
        <f t="shared" si="57"/>
        <v>22000</v>
      </c>
      <c r="N911" s="145" t="s">
        <v>1749</v>
      </c>
      <c r="O911" s="125"/>
    </row>
    <row r="912" spans="1:15" ht="15" customHeight="1" x14ac:dyDescent="0.3">
      <c r="A912" s="90" t="s">
        <v>235</v>
      </c>
      <c r="B912" s="90" t="s">
        <v>1492</v>
      </c>
      <c r="C912" s="90" t="s">
        <v>1493</v>
      </c>
      <c r="D912" s="90" t="s">
        <v>1758</v>
      </c>
      <c r="E912" s="90" t="s">
        <v>1759</v>
      </c>
      <c r="F912" s="90" t="s">
        <v>1760</v>
      </c>
      <c r="G912" s="89">
        <v>148027.18</v>
      </c>
      <c r="H912" s="141" t="str">
        <f t="shared" si="58"/>
        <v>460204290930</v>
      </c>
      <c r="I912" s="142">
        <v>0.11209999999999998</v>
      </c>
      <c r="J912" s="142" t="s">
        <v>1864</v>
      </c>
      <c r="K912" s="143">
        <f t="shared" si="55"/>
        <v>16593.846877999997</v>
      </c>
      <c r="L912" s="144">
        <f t="shared" si="56"/>
        <v>131433.33312199998</v>
      </c>
      <c r="M912" s="144">
        <f t="shared" si="57"/>
        <v>148027.18</v>
      </c>
      <c r="N912" s="145" t="s">
        <v>1749</v>
      </c>
      <c r="O912" s="125"/>
    </row>
    <row r="913" spans="1:15" ht="15" customHeight="1" x14ac:dyDescent="0.3">
      <c r="A913" s="90" t="s">
        <v>235</v>
      </c>
      <c r="B913" s="90" t="s">
        <v>1492</v>
      </c>
      <c r="C913" s="90" t="s">
        <v>1493</v>
      </c>
      <c r="D913" s="90" t="s">
        <v>1746</v>
      </c>
      <c r="E913" s="90" t="s">
        <v>1747</v>
      </c>
      <c r="F913" s="90" t="s">
        <v>1748</v>
      </c>
      <c r="G913" s="89">
        <v>207848.79</v>
      </c>
      <c r="H913" s="141" t="str">
        <f t="shared" si="58"/>
        <v>460205000930</v>
      </c>
      <c r="I913" s="142">
        <v>0.11209999999999998</v>
      </c>
      <c r="J913" s="142" t="s">
        <v>1864</v>
      </c>
      <c r="K913" s="143">
        <f t="shared" si="55"/>
        <v>23299.849358999996</v>
      </c>
      <c r="L913" s="144">
        <f t="shared" si="56"/>
        <v>184548.94064100002</v>
      </c>
      <c r="M913" s="144">
        <f t="shared" si="57"/>
        <v>207848.79</v>
      </c>
      <c r="N913" s="145" t="s">
        <v>1749</v>
      </c>
      <c r="O913" s="125"/>
    </row>
    <row r="914" spans="1:15" ht="15" customHeight="1" x14ac:dyDescent="0.3">
      <c r="A914" s="90" t="s">
        <v>235</v>
      </c>
      <c r="B914" s="90" t="s">
        <v>1761</v>
      </c>
      <c r="C914" s="90" t="s">
        <v>1762</v>
      </c>
      <c r="D914" s="90" t="s">
        <v>1752</v>
      </c>
      <c r="E914" s="90" t="s">
        <v>1753</v>
      </c>
      <c r="F914" s="90" t="s">
        <v>1754</v>
      </c>
      <c r="G914" s="89">
        <v>778399.75</v>
      </c>
      <c r="H914" s="141" t="str">
        <f t="shared" si="58"/>
        <v>129972105930</v>
      </c>
      <c r="I914" s="142">
        <v>0.11209999999999998</v>
      </c>
      <c r="J914" s="142" t="s">
        <v>1864</v>
      </c>
      <c r="K914" s="143">
        <f t="shared" si="55"/>
        <v>87258.611974999978</v>
      </c>
      <c r="L914" s="144">
        <f t="shared" si="56"/>
        <v>691141.13802499999</v>
      </c>
      <c r="M914" s="144">
        <f t="shared" si="57"/>
        <v>778399.75</v>
      </c>
      <c r="N914" s="145" t="s">
        <v>1749</v>
      </c>
      <c r="O914" s="125"/>
    </row>
    <row r="915" spans="1:15" ht="15" customHeight="1" x14ac:dyDescent="0.3">
      <c r="A915" s="90" t="s">
        <v>235</v>
      </c>
      <c r="B915" s="90" t="s">
        <v>1284</v>
      </c>
      <c r="C915" s="90" t="s">
        <v>1285</v>
      </c>
      <c r="D915" s="90" t="s">
        <v>1750</v>
      </c>
      <c r="E915" s="90" t="s">
        <v>1407</v>
      </c>
      <c r="F915" s="90" t="s">
        <v>1751</v>
      </c>
      <c r="G915" s="89">
        <v>2050977.6500000001</v>
      </c>
      <c r="H915" s="141" t="str">
        <f t="shared" si="58"/>
        <v>460104320930</v>
      </c>
      <c r="I915" s="142">
        <v>0.11209999999999998</v>
      </c>
      <c r="J915" s="142" t="s">
        <v>1864</v>
      </c>
      <c r="K915" s="143">
        <f t="shared" si="55"/>
        <v>229914.59456499998</v>
      </c>
      <c r="L915" s="144">
        <f t="shared" si="56"/>
        <v>1821063.0554350002</v>
      </c>
      <c r="M915" s="144">
        <f t="shared" si="57"/>
        <v>2050977.6500000001</v>
      </c>
      <c r="N915" s="145" t="s">
        <v>1749</v>
      </c>
      <c r="O915" s="125"/>
    </row>
    <row r="916" spans="1:15" ht="15" customHeight="1" x14ac:dyDescent="0.3">
      <c r="A916" s="90" t="s">
        <v>237</v>
      </c>
      <c r="B916" s="90" t="s">
        <v>1419</v>
      </c>
      <c r="C916" s="90" t="s">
        <v>1420</v>
      </c>
      <c r="D916" s="90" t="s">
        <v>1763</v>
      </c>
      <c r="E916" s="90" t="s">
        <v>942</v>
      </c>
      <c r="F916" s="90" t="s">
        <v>1764</v>
      </c>
      <c r="G916" s="89">
        <v>97.38</v>
      </c>
      <c r="H916" s="141" t="str">
        <f t="shared" si="58"/>
        <v>540101550931</v>
      </c>
      <c r="I916" s="142">
        <v>0.11209999999999998</v>
      </c>
      <c r="J916" s="142" t="s">
        <v>308</v>
      </c>
      <c r="K916" s="143">
        <f t="shared" si="55"/>
        <v>10.916297999999998</v>
      </c>
      <c r="L916" s="144">
        <f t="shared" si="56"/>
        <v>86.463701999999998</v>
      </c>
      <c r="M916" s="144">
        <f t="shared" si="57"/>
        <v>97.38</v>
      </c>
      <c r="N916" s="145" t="s">
        <v>1765</v>
      </c>
      <c r="O916" s="125"/>
    </row>
    <row r="917" spans="1:15" ht="15" customHeight="1" x14ac:dyDescent="0.3">
      <c r="A917" s="90" t="s">
        <v>237</v>
      </c>
      <c r="B917" s="90" t="s">
        <v>686</v>
      </c>
      <c r="C917" s="90" t="s">
        <v>687</v>
      </c>
      <c r="D917" s="90" t="s">
        <v>1766</v>
      </c>
      <c r="E917" s="90" t="s">
        <v>1767</v>
      </c>
      <c r="F917" s="90" t="s">
        <v>1768</v>
      </c>
      <c r="G917" s="89">
        <v>14395.560000000001</v>
      </c>
      <c r="H917" s="141" t="str">
        <f t="shared" si="58"/>
        <v>131005010931</v>
      </c>
      <c r="I917" s="142">
        <v>0.11209999999999998</v>
      </c>
      <c r="J917" s="142" t="s">
        <v>1864</v>
      </c>
      <c r="K917" s="143">
        <f t="shared" si="55"/>
        <v>1613.7422759999997</v>
      </c>
      <c r="L917" s="144">
        <f t="shared" si="56"/>
        <v>12781.817724000002</v>
      </c>
      <c r="M917" s="144">
        <f t="shared" si="57"/>
        <v>14395.560000000001</v>
      </c>
      <c r="N917" s="145" t="s">
        <v>1765</v>
      </c>
      <c r="O917" s="125"/>
    </row>
    <row r="918" spans="1:15" ht="15" customHeight="1" x14ac:dyDescent="0.3">
      <c r="A918" s="90" t="s">
        <v>237</v>
      </c>
      <c r="B918" s="90" t="s">
        <v>1266</v>
      </c>
      <c r="C918" s="90" t="s">
        <v>1267</v>
      </c>
      <c r="D918" s="90" t="s">
        <v>1769</v>
      </c>
      <c r="E918" s="90" t="s">
        <v>697</v>
      </c>
      <c r="F918" s="90" t="s">
        <v>1770</v>
      </c>
      <c r="G918" s="89">
        <v>30780</v>
      </c>
      <c r="H918" s="141" t="str">
        <f t="shared" si="58"/>
        <v>115401295931</v>
      </c>
      <c r="I918" s="142">
        <v>0.11160000000000003</v>
      </c>
      <c r="J918" s="142" t="s">
        <v>1871</v>
      </c>
      <c r="K918" s="143">
        <f t="shared" si="55"/>
        <v>3435.0480000000011</v>
      </c>
      <c r="L918" s="144">
        <f t="shared" si="56"/>
        <v>27344.951999999997</v>
      </c>
      <c r="M918" s="144">
        <f t="shared" si="57"/>
        <v>30780</v>
      </c>
      <c r="N918" s="145" t="s">
        <v>1765</v>
      </c>
      <c r="O918" s="125"/>
    </row>
    <row r="919" spans="1:15" ht="15" customHeight="1" x14ac:dyDescent="0.3">
      <c r="A919" s="90" t="s">
        <v>237</v>
      </c>
      <c r="B919" s="90" t="s">
        <v>1771</v>
      </c>
      <c r="C919" s="90" t="s">
        <v>1772</v>
      </c>
      <c r="D919" s="90" t="s">
        <v>1763</v>
      </c>
      <c r="E919" s="90" t="s">
        <v>942</v>
      </c>
      <c r="F919" s="90" t="s">
        <v>1764</v>
      </c>
      <c r="G919" s="89">
        <v>54590.82</v>
      </c>
      <c r="H919" s="141" t="str">
        <f t="shared" si="58"/>
        <v>161501550931</v>
      </c>
      <c r="I919" s="142">
        <v>0</v>
      </c>
      <c r="J919" s="142" t="s">
        <v>1863</v>
      </c>
      <c r="K919" s="143">
        <f t="shared" si="55"/>
        <v>0</v>
      </c>
      <c r="L919" s="144">
        <f t="shared" si="56"/>
        <v>54590.82</v>
      </c>
      <c r="M919" s="144">
        <f t="shared" si="57"/>
        <v>54590.82</v>
      </c>
      <c r="N919" s="145" t="s">
        <v>1765</v>
      </c>
      <c r="O919" s="125"/>
    </row>
    <row r="920" spans="1:15" ht="15" customHeight="1" x14ac:dyDescent="0.3">
      <c r="A920" s="90" t="s">
        <v>237</v>
      </c>
      <c r="B920" s="90" t="s">
        <v>639</v>
      </c>
      <c r="C920" s="90" t="s">
        <v>640</v>
      </c>
      <c r="D920" s="90" t="s">
        <v>1763</v>
      </c>
      <c r="E920" s="90" t="s">
        <v>942</v>
      </c>
      <c r="F920" s="90" t="s">
        <v>1764</v>
      </c>
      <c r="G920" s="89">
        <v>4675508.1499999994</v>
      </c>
      <c r="H920" s="141" t="str">
        <f t="shared" si="58"/>
        <v>161001550931</v>
      </c>
      <c r="I920" s="142">
        <v>0.11209999999999998</v>
      </c>
      <c r="J920" s="142" t="s">
        <v>1864</v>
      </c>
      <c r="K920" s="143">
        <f t="shared" ref="K920:K983" si="59">G920*I920</f>
        <v>524124.46361499984</v>
      </c>
      <c r="L920" s="144">
        <f t="shared" ref="L920:L983" si="60">G920-K920</f>
        <v>4151383.6863849997</v>
      </c>
      <c r="M920" s="144">
        <f t="shared" ref="M920:M983" si="61">K920+L920</f>
        <v>4675508.1499999994</v>
      </c>
      <c r="N920" s="145" t="s">
        <v>1765</v>
      </c>
      <c r="O920" s="125"/>
    </row>
    <row r="921" spans="1:15" ht="15" customHeight="1" x14ac:dyDescent="0.3">
      <c r="A921" s="90" t="s">
        <v>238</v>
      </c>
      <c r="B921" s="90" t="s">
        <v>639</v>
      </c>
      <c r="C921" s="90" t="s">
        <v>640</v>
      </c>
      <c r="D921" s="90" t="s">
        <v>1773</v>
      </c>
      <c r="E921" s="90" t="s">
        <v>1774</v>
      </c>
      <c r="F921" s="90" t="s">
        <v>1775</v>
      </c>
      <c r="G921" s="89">
        <v>-43513.7</v>
      </c>
      <c r="H921" s="141" t="str">
        <f t="shared" ref="H921:H984" si="62">CONCATENATE(B921,RIGHT(D921,4),A921)</f>
        <v>161004363935</v>
      </c>
      <c r="I921" s="142">
        <v>0.11160000000000003</v>
      </c>
      <c r="J921" s="142" t="s">
        <v>1882</v>
      </c>
      <c r="K921" s="143">
        <f t="shared" si="59"/>
        <v>-4856.128920000001</v>
      </c>
      <c r="L921" s="144">
        <f t="shared" si="60"/>
        <v>-38657.571079999994</v>
      </c>
      <c r="M921" s="144">
        <f t="shared" si="61"/>
        <v>-43513.7</v>
      </c>
      <c r="N921" s="145" t="s">
        <v>1776</v>
      </c>
      <c r="O921" s="125"/>
    </row>
    <row r="922" spans="1:15" ht="15" customHeight="1" x14ac:dyDescent="0.3">
      <c r="A922" s="90" t="s">
        <v>238</v>
      </c>
      <c r="B922" s="90" t="s">
        <v>1777</v>
      </c>
      <c r="C922" s="90" t="s">
        <v>1778</v>
      </c>
      <c r="D922" s="90" t="s">
        <v>1779</v>
      </c>
      <c r="E922" s="90" t="s">
        <v>1395</v>
      </c>
      <c r="F922" s="90" t="s">
        <v>1780</v>
      </c>
      <c r="G922" s="89">
        <v>11.25</v>
      </c>
      <c r="H922" s="141" t="str">
        <f t="shared" si="62"/>
        <v>161301500935</v>
      </c>
      <c r="I922" s="142">
        <v>0</v>
      </c>
      <c r="J922" s="142" t="s">
        <v>1863</v>
      </c>
      <c r="K922" s="143">
        <f t="shared" si="59"/>
        <v>0</v>
      </c>
      <c r="L922" s="144">
        <f t="shared" si="60"/>
        <v>11.25</v>
      </c>
      <c r="M922" s="144">
        <f t="shared" si="61"/>
        <v>11.25</v>
      </c>
      <c r="N922" s="145" t="s">
        <v>1776</v>
      </c>
      <c r="O922" s="125"/>
    </row>
    <row r="923" spans="1:15" ht="15" customHeight="1" x14ac:dyDescent="0.3">
      <c r="A923" s="90" t="s">
        <v>238</v>
      </c>
      <c r="B923" s="90" t="s">
        <v>639</v>
      </c>
      <c r="C923" s="90" t="s">
        <v>640</v>
      </c>
      <c r="D923" s="90" t="s">
        <v>1781</v>
      </c>
      <c r="E923" s="90" t="s">
        <v>1782</v>
      </c>
      <c r="F923" s="90" t="s">
        <v>1783</v>
      </c>
      <c r="G923" s="89">
        <v>22.78</v>
      </c>
      <c r="H923" s="141" t="str">
        <f t="shared" si="62"/>
        <v>161004385935</v>
      </c>
      <c r="I923" s="142">
        <v>0</v>
      </c>
      <c r="J923" s="142" t="s">
        <v>1863</v>
      </c>
      <c r="K923" s="143">
        <f t="shared" si="59"/>
        <v>0</v>
      </c>
      <c r="L923" s="144">
        <f t="shared" si="60"/>
        <v>22.78</v>
      </c>
      <c r="M923" s="144">
        <f t="shared" si="61"/>
        <v>22.78</v>
      </c>
      <c r="N923" s="145" t="s">
        <v>1776</v>
      </c>
      <c r="O923" s="125"/>
    </row>
    <row r="924" spans="1:15" ht="15" customHeight="1" x14ac:dyDescent="0.3">
      <c r="A924" s="90" t="s">
        <v>238</v>
      </c>
      <c r="B924" s="90" t="s">
        <v>819</v>
      </c>
      <c r="C924" s="90" t="s">
        <v>820</v>
      </c>
      <c r="D924" s="90" t="s">
        <v>1784</v>
      </c>
      <c r="E924" s="90" t="s">
        <v>1767</v>
      </c>
      <c r="F924" s="90" t="s">
        <v>1785</v>
      </c>
      <c r="G924" s="89">
        <v>24.95</v>
      </c>
      <c r="H924" s="141" t="str">
        <f t="shared" si="62"/>
        <v>135105010935</v>
      </c>
      <c r="I924" s="142">
        <v>0.11160000000000003</v>
      </c>
      <c r="J924" s="142" t="s">
        <v>1871</v>
      </c>
      <c r="K924" s="143">
        <f t="shared" si="59"/>
        <v>2.7844200000000008</v>
      </c>
      <c r="L924" s="144">
        <f t="shared" si="60"/>
        <v>22.165579999999999</v>
      </c>
      <c r="M924" s="144">
        <f t="shared" si="61"/>
        <v>24.95</v>
      </c>
      <c r="N924" s="145" t="s">
        <v>1776</v>
      </c>
      <c r="O924" s="125"/>
    </row>
    <row r="925" spans="1:15" ht="15" customHeight="1" x14ac:dyDescent="0.3">
      <c r="A925" s="90" t="s">
        <v>238</v>
      </c>
      <c r="B925" s="90" t="s">
        <v>763</v>
      </c>
      <c r="C925" s="90" t="s">
        <v>764</v>
      </c>
      <c r="D925" s="90" t="s">
        <v>1786</v>
      </c>
      <c r="E925" s="90" t="s">
        <v>1787</v>
      </c>
      <c r="F925" s="90" t="s">
        <v>1788</v>
      </c>
      <c r="G925" s="89">
        <v>55.13</v>
      </c>
      <c r="H925" s="141" t="str">
        <f t="shared" si="62"/>
        <v>155204355935</v>
      </c>
      <c r="I925" s="142">
        <v>0.11209999999999998</v>
      </c>
      <c r="J925" s="142" t="s">
        <v>1864</v>
      </c>
      <c r="K925" s="143">
        <f t="shared" si="59"/>
        <v>6.1800729999999993</v>
      </c>
      <c r="L925" s="144">
        <f t="shared" si="60"/>
        <v>48.949927000000002</v>
      </c>
      <c r="M925" s="144">
        <f t="shared" si="61"/>
        <v>55.13</v>
      </c>
      <c r="N925" s="145" t="s">
        <v>1776</v>
      </c>
      <c r="O925" s="125"/>
    </row>
    <row r="926" spans="1:15" ht="15" customHeight="1" x14ac:dyDescent="0.3">
      <c r="A926" s="90" t="s">
        <v>238</v>
      </c>
      <c r="B926" s="90" t="s">
        <v>686</v>
      </c>
      <c r="C926" s="90" t="s">
        <v>687</v>
      </c>
      <c r="D926" s="90" t="s">
        <v>1789</v>
      </c>
      <c r="E926" s="90" t="s">
        <v>1790</v>
      </c>
      <c r="F926" s="90" t="s">
        <v>1791</v>
      </c>
      <c r="G926" s="89">
        <v>58.32</v>
      </c>
      <c r="H926" s="141" t="str">
        <f t="shared" si="62"/>
        <v>131005105935</v>
      </c>
      <c r="I926" s="142">
        <v>0.11209999999999998</v>
      </c>
      <c r="J926" s="142" t="s">
        <v>1864</v>
      </c>
      <c r="K926" s="143">
        <f t="shared" si="59"/>
        <v>6.5376719999999988</v>
      </c>
      <c r="L926" s="144">
        <f t="shared" si="60"/>
        <v>51.782328</v>
      </c>
      <c r="M926" s="144">
        <f t="shared" si="61"/>
        <v>58.32</v>
      </c>
      <c r="N926" s="145" t="s">
        <v>1776</v>
      </c>
      <c r="O926" s="125"/>
    </row>
    <row r="927" spans="1:15" ht="15" customHeight="1" x14ac:dyDescent="0.3">
      <c r="A927" s="90" t="s">
        <v>238</v>
      </c>
      <c r="B927" s="90" t="s">
        <v>826</v>
      </c>
      <c r="C927" s="90" t="s">
        <v>827</v>
      </c>
      <c r="D927" s="90" t="s">
        <v>1792</v>
      </c>
      <c r="E927" s="90" t="s">
        <v>1793</v>
      </c>
      <c r="F927" s="90" t="s">
        <v>1794</v>
      </c>
      <c r="G927" s="89">
        <v>63</v>
      </c>
      <c r="H927" s="141" t="str">
        <f t="shared" si="62"/>
        <v>162004360935</v>
      </c>
      <c r="I927" s="142">
        <v>0.11209999999999998</v>
      </c>
      <c r="J927" s="142" t="s">
        <v>1864</v>
      </c>
      <c r="K927" s="143">
        <f t="shared" si="59"/>
        <v>7.0622999999999987</v>
      </c>
      <c r="L927" s="144">
        <f t="shared" si="60"/>
        <v>55.9377</v>
      </c>
      <c r="M927" s="144">
        <f t="shared" si="61"/>
        <v>63</v>
      </c>
      <c r="N927" s="145" t="s">
        <v>1776</v>
      </c>
      <c r="O927" s="125"/>
    </row>
    <row r="928" spans="1:15" ht="15" customHeight="1" x14ac:dyDescent="0.3">
      <c r="A928" s="90" t="s">
        <v>238</v>
      </c>
      <c r="B928" s="90" t="s">
        <v>690</v>
      </c>
      <c r="C928" s="90" t="s">
        <v>691</v>
      </c>
      <c r="D928" s="90" t="s">
        <v>1795</v>
      </c>
      <c r="E928" s="90" t="s">
        <v>1796</v>
      </c>
      <c r="F928" s="90" t="s">
        <v>1797</v>
      </c>
      <c r="G928" s="89">
        <v>75</v>
      </c>
      <c r="H928" s="141" t="str">
        <f t="shared" si="62"/>
        <v>141001045935</v>
      </c>
      <c r="I928" s="142">
        <v>1.1399999999999966E-2</v>
      </c>
      <c r="J928" s="142" t="s">
        <v>281</v>
      </c>
      <c r="K928" s="143">
        <f t="shared" si="59"/>
        <v>0.85499999999999743</v>
      </c>
      <c r="L928" s="144">
        <f t="shared" si="60"/>
        <v>74.144999999999996</v>
      </c>
      <c r="M928" s="144">
        <f t="shared" si="61"/>
        <v>75</v>
      </c>
      <c r="N928" s="145" t="s">
        <v>1776</v>
      </c>
      <c r="O928" s="125"/>
    </row>
    <row r="929" spans="1:15" ht="15" customHeight="1" x14ac:dyDescent="0.3">
      <c r="A929" s="90" t="s">
        <v>238</v>
      </c>
      <c r="B929" s="90" t="s">
        <v>1266</v>
      </c>
      <c r="C929" s="90" t="s">
        <v>1267</v>
      </c>
      <c r="D929" s="90" t="s">
        <v>1779</v>
      </c>
      <c r="E929" s="90" t="s">
        <v>1395</v>
      </c>
      <c r="F929" s="90" t="s">
        <v>1780</v>
      </c>
      <c r="G929" s="89">
        <v>78.400000000000006</v>
      </c>
      <c r="H929" s="141" t="str">
        <f t="shared" si="62"/>
        <v>115401500935</v>
      </c>
      <c r="I929" s="142">
        <v>0.11160000000000003</v>
      </c>
      <c r="J929" s="142" t="s">
        <v>1871</v>
      </c>
      <c r="K929" s="143">
        <f t="shared" si="59"/>
        <v>8.7494400000000034</v>
      </c>
      <c r="L929" s="144">
        <f t="shared" si="60"/>
        <v>69.650559999999999</v>
      </c>
      <c r="M929" s="144">
        <f t="shared" si="61"/>
        <v>78.400000000000006</v>
      </c>
      <c r="N929" s="145" t="s">
        <v>1776</v>
      </c>
      <c r="O929" s="125"/>
    </row>
    <row r="930" spans="1:15" ht="15" customHeight="1" x14ac:dyDescent="0.3">
      <c r="A930" s="90" t="s">
        <v>238</v>
      </c>
      <c r="B930" s="90" t="s">
        <v>676</v>
      </c>
      <c r="C930" s="90" t="s">
        <v>677</v>
      </c>
      <c r="D930" s="90" t="s">
        <v>1798</v>
      </c>
      <c r="E930" s="90" t="s">
        <v>697</v>
      </c>
      <c r="F930" s="90" t="s">
        <v>1799</v>
      </c>
      <c r="G930" s="89">
        <v>102.6</v>
      </c>
      <c r="H930" s="141" t="str">
        <f t="shared" si="62"/>
        <v>154101295935</v>
      </c>
      <c r="I930" s="142">
        <v>0.11208</v>
      </c>
      <c r="J930" s="142" t="s">
        <v>1862</v>
      </c>
      <c r="K930" s="143">
        <f t="shared" si="59"/>
        <v>11.499407999999999</v>
      </c>
      <c r="L930" s="144">
        <f t="shared" si="60"/>
        <v>91.100591999999992</v>
      </c>
      <c r="M930" s="144">
        <f t="shared" si="61"/>
        <v>102.6</v>
      </c>
      <c r="N930" s="145" t="s">
        <v>1776</v>
      </c>
      <c r="O930" s="125"/>
    </row>
    <row r="931" spans="1:15" ht="15" customHeight="1" x14ac:dyDescent="0.3">
      <c r="A931" s="90" t="s">
        <v>238</v>
      </c>
      <c r="B931" s="90" t="s">
        <v>639</v>
      </c>
      <c r="C931" s="90" t="s">
        <v>640</v>
      </c>
      <c r="D931" s="90" t="s">
        <v>1800</v>
      </c>
      <c r="E931" s="90" t="s">
        <v>704</v>
      </c>
      <c r="F931" s="90" t="s">
        <v>1801</v>
      </c>
      <c r="G931" s="89">
        <v>104</v>
      </c>
      <c r="H931" s="141" t="str">
        <f t="shared" si="62"/>
        <v>161001505935</v>
      </c>
      <c r="I931" s="142">
        <v>0.11209999999999998</v>
      </c>
      <c r="J931" s="142" t="s">
        <v>1864</v>
      </c>
      <c r="K931" s="143">
        <f t="shared" si="59"/>
        <v>11.658399999999997</v>
      </c>
      <c r="L931" s="144">
        <f t="shared" si="60"/>
        <v>92.3416</v>
      </c>
      <c r="M931" s="144">
        <f t="shared" si="61"/>
        <v>104</v>
      </c>
      <c r="N931" s="145" t="s">
        <v>1776</v>
      </c>
      <c r="O931" s="125"/>
    </row>
    <row r="932" spans="1:15" ht="15" customHeight="1" x14ac:dyDescent="0.3">
      <c r="A932" s="90" t="s">
        <v>238</v>
      </c>
      <c r="B932" s="90" t="s">
        <v>639</v>
      </c>
      <c r="C932" s="90" t="s">
        <v>640</v>
      </c>
      <c r="D932" s="90" t="s">
        <v>1802</v>
      </c>
      <c r="E932" s="90" t="s">
        <v>1234</v>
      </c>
      <c r="F932" s="90" t="s">
        <v>1803</v>
      </c>
      <c r="G932" s="89">
        <v>124.98</v>
      </c>
      <c r="H932" s="141" t="str">
        <f t="shared" si="62"/>
        <v>161005020935</v>
      </c>
      <c r="I932" s="142">
        <v>0.11209999999999998</v>
      </c>
      <c r="J932" s="142" t="s">
        <v>1884</v>
      </c>
      <c r="K932" s="143">
        <f t="shared" si="59"/>
        <v>14.010257999999997</v>
      </c>
      <c r="L932" s="144">
        <f t="shared" si="60"/>
        <v>110.96974200000001</v>
      </c>
      <c r="M932" s="144">
        <f t="shared" si="61"/>
        <v>124.98</v>
      </c>
      <c r="N932" s="145" t="s">
        <v>1776</v>
      </c>
      <c r="O932" s="125"/>
    </row>
    <row r="933" spans="1:15" ht="15" customHeight="1" x14ac:dyDescent="0.3">
      <c r="A933" s="90" t="s">
        <v>238</v>
      </c>
      <c r="B933" s="90" t="s">
        <v>1600</v>
      </c>
      <c r="C933" s="90" t="s">
        <v>1601</v>
      </c>
      <c r="D933" s="90" t="s">
        <v>1792</v>
      </c>
      <c r="E933" s="90" t="s">
        <v>1793</v>
      </c>
      <c r="F933" s="90" t="s">
        <v>1794</v>
      </c>
      <c r="G933" s="89">
        <v>136.37</v>
      </c>
      <c r="H933" s="141" t="str">
        <f t="shared" si="62"/>
        <v>510454360935</v>
      </c>
      <c r="I933" s="142">
        <v>0.11209999999999998</v>
      </c>
      <c r="J933" s="142" t="s">
        <v>1864</v>
      </c>
      <c r="K933" s="143">
        <f t="shared" si="59"/>
        <v>15.287076999999998</v>
      </c>
      <c r="L933" s="144">
        <f t="shared" si="60"/>
        <v>121.08292300000001</v>
      </c>
      <c r="M933" s="144">
        <f t="shared" si="61"/>
        <v>136.37</v>
      </c>
      <c r="N933" s="145" t="s">
        <v>1776</v>
      </c>
      <c r="O933" s="125"/>
    </row>
    <row r="934" spans="1:15" ht="15" customHeight="1" x14ac:dyDescent="0.3">
      <c r="A934" s="90" t="s">
        <v>238</v>
      </c>
      <c r="B934" s="90" t="s">
        <v>1804</v>
      </c>
      <c r="C934" s="90" t="s">
        <v>1805</v>
      </c>
      <c r="D934" s="90" t="s">
        <v>1800</v>
      </c>
      <c r="E934" s="90" t="s">
        <v>704</v>
      </c>
      <c r="F934" s="90" t="s">
        <v>1801</v>
      </c>
      <c r="G934" s="89">
        <v>165</v>
      </c>
      <c r="H934" s="141" t="str">
        <f t="shared" si="62"/>
        <v>161051505935</v>
      </c>
      <c r="I934" s="142">
        <v>0</v>
      </c>
      <c r="J934" s="142" t="s">
        <v>1878</v>
      </c>
      <c r="K934" s="143">
        <f t="shared" si="59"/>
        <v>0</v>
      </c>
      <c r="L934" s="144">
        <f t="shared" si="60"/>
        <v>165</v>
      </c>
      <c r="M934" s="144">
        <f t="shared" si="61"/>
        <v>165</v>
      </c>
      <c r="N934" s="145" t="s">
        <v>1776</v>
      </c>
      <c r="O934" s="125"/>
    </row>
    <row r="935" spans="1:15" ht="15" customHeight="1" x14ac:dyDescent="0.3">
      <c r="A935" s="90" t="s">
        <v>238</v>
      </c>
      <c r="B935" s="90" t="s">
        <v>649</v>
      </c>
      <c r="C935" s="90" t="s">
        <v>650</v>
      </c>
      <c r="D935" s="90" t="s">
        <v>1792</v>
      </c>
      <c r="E935" s="90" t="s">
        <v>1793</v>
      </c>
      <c r="F935" s="90" t="s">
        <v>1794</v>
      </c>
      <c r="G935" s="89">
        <v>260.05</v>
      </c>
      <c r="H935" s="141" t="str">
        <f t="shared" si="62"/>
        <v>116004360935</v>
      </c>
      <c r="I935" s="142">
        <v>0.10419999999999996</v>
      </c>
      <c r="J935" s="142" t="s">
        <v>1861</v>
      </c>
      <c r="K935" s="143">
        <f t="shared" si="59"/>
        <v>27.09720999999999</v>
      </c>
      <c r="L935" s="144">
        <f t="shared" si="60"/>
        <v>232.95279000000002</v>
      </c>
      <c r="M935" s="144">
        <f t="shared" si="61"/>
        <v>260.05</v>
      </c>
      <c r="N935" s="145" t="s">
        <v>1776</v>
      </c>
      <c r="O935" s="125"/>
    </row>
    <row r="936" spans="1:15" ht="15" customHeight="1" x14ac:dyDescent="0.3">
      <c r="A936" s="90" t="s">
        <v>238</v>
      </c>
      <c r="B936" s="90" t="s">
        <v>1806</v>
      </c>
      <c r="C936" s="90" t="s">
        <v>1807</v>
      </c>
      <c r="D936" s="90" t="s">
        <v>1808</v>
      </c>
      <c r="E936" s="90" t="s">
        <v>1809</v>
      </c>
      <c r="F936" s="90" t="s">
        <v>1810</v>
      </c>
      <c r="G936" s="89">
        <v>280.87</v>
      </c>
      <c r="H936" s="141" t="str">
        <f t="shared" si="62"/>
        <v>161904380935</v>
      </c>
      <c r="I936" s="142">
        <v>0</v>
      </c>
      <c r="J936" s="142" t="s">
        <v>1878</v>
      </c>
      <c r="K936" s="143">
        <f t="shared" si="59"/>
        <v>0</v>
      </c>
      <c r="L936" s="144">
        <f t="shared" si="60"/>
        <v>280.87</v>
      </c>
      <c r="M936" s="144">
        <f t="shared" si="61"/>
        <v>280.87</v>
      </c>
      <c r="N936" s="145" t="s">
        <v>1776</v>
      </c>
      <c r="O936" s="125"/>
    </row>
    <row r="937" spans="1:15" ht="15" customHeight="1" x14ac:dyDescent="0.3">
      <c r="A937" s="90" t="s">
        <v>238</v>
      </c>
      <c r="B937" s="90" t="s">
        <v>1811</v>
      </c>
      <c r="C937" s="90" t="s">
        <v>1812</v>
      </c>
      <c r="D937" s="90" t="s">
        <v>1800</v>
      </c>
      <c r="E937" s="90" t="s">
        <v>704</v>
      </c>
      <c r="F937" s="90" t="s">
        <v>1801</v>
      </c>
      <c r="G937" s="89">
        <v>291.27999999999997</v>
      </c>
      <c r="H937" s="141" t="str">
        <f t="shared" si="62"/>
        <v>161601505935</v>
      </c>
      <c r="I937" s="142">
        <v>0</v>
      </c>
      <c r="J937" s="142" t="s">
        <v>1863</v>
      </c>
      <c r="K937" s="143">
        <f t="shared" si="59"/>
        <v>0</v>
      </c>
      <c r="L937" s="144">
        <f t="shared" si="60"/>
        <v>291.27999999999997</v>
      </c>
      <c r="M937" s="144">
        <f t="shared" si="61"/>
        <v>291.27999999999997</v>
      </c>
      <c r="N937" s="145" t="s">
        <v>1776</v>
      </c>
      <c r="O937" s="125"/>
    </row>
    <row r="938" spans="1:15" ht="15" customHeight="1" x14ac:dyDescent="0.3">
      <c r="A938" s="90" t="s">
        <v>238</v>
      </c>
      <c r="B938" s="90" t="s">
        <v>1813</v>
      </c>
      <c r="C938" s="90" t="s">
        <v>1814</v>
      </c>
      <c r="D938" s="90" t="s">
        <v>1792</v>
      </c>
      <c r="E938" s="90" t="s">
        <v>1793</v>
      </c>
      <c r="F938" s="90" t="s">
        <v>1794</v>
      </c>
      <c r="G938" s="89">
        <v>317.60000000000002</v>
      </c>
      <c r="H938" s="141" t="str">
        <f t="shared" si="62"/>
        <v>161354360935</v>
      </c>
      <c r="I938" s="142">
        <v>0.11209999999999998</v>
      </c>
      <c r="J938" s="142" t="s">
        <v>1864</v>
      </c>
      <c r="K938" s="143">
        <f t="shared" si="59"/>
        <v>35.602959999999996</v>
      </c>
      <c r="L938" s="144">
        <f t="shared" si="60"/>
        <v>281.99704000000003</v>
      </c>
      <c r="M938" s="144">
        <f t="shared" si="61"/>
        <v>317.60000000000002</v>
      </c>
      <c r="N938" s="145" t="s">
        <v>1776</v>
      </c>
      <c r="O938" s="125"/>
    </row>
    <row r="939" spans="1:15" ht="15" customHeight="1" x14ac:dyDescent="0.3">
      <c r="A939" s="90" t="s">
        <v>238</v>
      </c>
      <c r="B939" s="90" t="s">
        <v>690</v>
      </c>
      <c r="C939" s="90" t="s">
        <v>691</v>
      </c>
      <c r="D939" s="90" t="s">
        <v>1815</v>
      </c>
      <c r="E939" s="90" t="s">
        <v>1816</v>
      </c>
      <c r="F939" s="90" t="s">
        <v>1817</v>
      </c>
      <c r="G939" s="89">
        <v>331.71</v>
      </c>
      <c r="H939" s="141" t="str">
        <f t="shared" si="62"/>
        <v>141005155935</v>
      </c>
      <c r="I939" s="142">
        <v>1.1399999999999966E-2</v>
      </c>
      <c r="J939" s="142" t="s">
        <v>281</v>
      </c>
      <c r="K939" s="143">
        <f t="shared" si="59"/>
        <v>3.7814939999999884</v>
      </c>
      <c r="L939" s="144">
        <f t="shared" si="60"/>
        <v>327.92850599999997</v>
      </c>
      <c r="M939" s="144">
        <f t="shared" si="61"/>
        <v>331.71</v>
      </c>
      <c r="N939" s="145" t="s">
        <v>1776</v>
      </c>
      <c r="O939" s="125"/>
    </row>
    <row r="940" spans="1:15" ht="15" customHeight="1" x14ac:dyDescent="0.3">
      <c r="A940" s="90" t="s">
        <v>238</v>
      </c>
      <c r="B940" s="90" t="s">
        <v>739</v>
      </c>
      <c r="C940" s="90" t="s">
        <v>740</v>
      </c>
      <c r="D940" s="90" t="s">
        <v>1779</v>
      </c>
      <c r="E940" s="90" t="s">
        <v>1395</v>
      </c>
      <c r="F940" s="90" t="s">
        <v>1780</v>
      </c>
      <c r="G940" s="89">
        <v>372.01</v>
      </c>
      <c r="H940" s="141" t="str">
        <f t="shared" si="62"/>
        <v>155061500935</v>
      </c>
      <c r="I940" s="142">
        <v>0</v>
      </c>
      <c r="J940" s="142" t="s">
        <v>1863</v>
      </c>
      <c r="K940" s="143">
        <f t="shared" si="59"/>
        <v>0</v>
      </c>
      <c r="L940" s="144">
        <f t="shared" si="60"/>
        <v>372.01</v>
      </c>
      <c r="M940" s="144">
        <f t="shared" si="61"/>
        <v>372.01</v>
      </c>
      <c r="N940" s="145" t="s">
        <v>1776</v>
      </c>
      <c r="O940" s="125"/>
    </row>
    <row r="941" spans="1:15" ht="15" customHeight="1" x14ac:dyDescent="0.3">
      <c r="A941" s="90" t="s">
        <v>238</v>
      </c>
      <c r="B941" s="90" t="s">
        <v>688</v>
      </c>
      <c r="C941" s="90" t="s">
        <v>689</v>
      </c>
      <c r="D941" s="90" t="s">
        <v>1792</v>
      </c>
      <c r="E941" s="90" t="s">
        <v>1793</v>
      </c>
      <c r="F941" s="90" t="s">
        <v>1794</v>
      </c>
      <c r="G941" s="89">
        <v>373.67</v>
      </c>
      <c r="H941" s="141" t="str">
        <f t="shared" si="62"/>
        <v>111004360935</v>
      </c>
      <c r="I941" s="142">
        <v>0.11209999999999998</v>
      </c>
      <c r="J941" s="142" t="s">
        <v>1864</v>
      </c>
      <c r="K941" s="143">
        <f t="shared" si="59"/>
        <v>41.888406999999994</v>
      </c>
      <c r="L941" s="144">
        <f t="shared" si="60"/>
        <v>331.78159300000004</v>
      </c>
      <c r="M941" s="144">
        <f t="shared" si="61"/>
        <v>373.67</v>
      </c>
      <c r="N941" s="145" t="s">
        <v>1776</v>
      </c>
      <c r="O941" s="125"/>
    </row>
    <row r="942" spans="1:15" ht="15" customHeight="1" x14ac:dyDescent="0.3">
      <c r="A942" s="90" t="s">
        <v>238</v>
      </c>
      <c r="B942" s="90" t="s">
        <v>947</v>
      </c>
      <c r="C942" s="90" t="s">
        <v>948</v>
      </c>
      <c r="D942" s="90" t="s">
        <v>1792</v>
      </c>
      <c r="E942" s="90" t="s">
        <v>1793</v>
      </c>
      <c r="F942" s="90" t="s">
        <v>1794</v>
      </c>
      <c r="G942" s="89">
        <v>384.49</v>
      </c>
      <c r="H942" s="141" t="str">
        <f t="shared" si="62"/>
        <v>161704360935</v>
      </c>
      <c r="I942" s="142">
        <v>0.25149999999999995</v>
      </c>
      <c r="J942" s="142" t="s">
        <v>1895</v>
      </c>
      <c r="K942" s="143">
        <f t="shared" si="59"/>
        <v>96.699234999999987</v>
      </c>
      <c r="L942" s="144">
        <f t="shared" si="60"/>
        <v>287.79076500000002</v>
      </c>
      <c r="M942" s="144">
        <f t="shared" si="61"/>
        <v>384.49</v>
      </c>
      <c r="N942" s="145" t="s">
        <v>1776</v>
      </c>
      <c r="O942" s="125"/>
    </row>
    <row r="943" spans="1:15" ht="15" customHeight="1" x14ac:dyDescent="0.3">
      <c r="A943" s="90" t="s">
        <v>238</v>
      </c>
      <c r="B943" s="90" t="s">
        <v>688</v>
      </c>
      <c r="C943" s="90" t="s">
        <v>689</v>
      </c>
      <c r="D943" s="90" t="s">
        <v>1818</v>
      </c>
      <c r="E943" s="90" t="s">
        <v>923</v>
      </c>
      <c r="F943" s="90" t="s">
        <v>1819</v>
      </c>
      <c r="G943" s="89">
        <v>422</v>
      </c>
      <c r="H943" s="141" t="str">
        <f t="shared" si="62"/>
        <v>111001440935</v>
      </c>
      <c r="I943" s="142">
        <v>0.11209999999999998</v>
      </c>
      <c r="J943" s="142" t="s">
        <v>1864</v>
      </c>
      <c r="K943" s="143">
        <f t="shared" si="59"/>
        <v>47.30619999999999</v>
      </c>
      <c r="L943" s="144">
        <f t="shared" si="60"/>
        <v>374.69380000000001</v>
      </c>
      <c r="M943" s="144">
        <f t="shared" si="61"/>
        <v>422</v>
      </c>
      <c r="N943" s="145" t="s">
        <v>1776</v>
      </c>
      <c r="O943" s="125"/>
    </row>
    <row r="944" spans="1:15" ht="15" customHeight="1" x14ac:dyDescent="0.3">
      <c r="A944" s="90" t="s">
        <v>238</v>
      </c>
      <c r="B944" s="90" t="s">
        <v>819</v>
      </c>
      <c r="C944" s="90" t="s">
        <v>820</v>
      </c>
      <c r="D944" s="90" t="s">
        <v>1795</v>
      </c>
      <c r="E944" s="90" t="s">
        <v>1796</v>
      </c>
      <c r="F944" s="90" t="s">
        <v>1797</v>
      </c>
      <c r="G944" s="89">
        <v>523.03</v>
      </c>
      <c r="H944" s="141" t="str">
        <f t="shared" si="62"/>
        <v>135101045935</v>
      </c>
      <c r="I944" s="142">
        <v>0.11209999999999998</v>
      </c>
      <c r="J944" s="142" t="s">
        <v>1864</v>
      </c>
      <c r="K944" s="143">
        <f t="shared" si="59"/>
        <v>58.631662999999982</v>
      </c>
      <c r="L944" s="144">
        <f t="shared" si="60"/>
        <v>464.39833699999997</v>
      </c>
      <c r="M944" s="144">
        <f t="shared" si="61"/>
        <v>523.03</v>
      </c>
      <c r="N944" s="145" t="s">
        <v>1776</v>
      </c>
      <c r="O944" s="125"/>
    </row>
    <row r="945" spans="1:15" ht="15" customHeight="1" x14ac:dyDescent="0.3">
      <c r="A945" s="90" t="s">
        <v>238</v>
      </c>
      <c r="B945" s="90" t="s">
        <v>1078</v>
      </c>
      <c r="C945" s="90" t="s">
        <v>1079</v>
      </c>
      <c r="D945" s="90" t="s">
        <v>1820</v>
      </c>
      <c r="E945" s="90" t="s">
        <v>917</v>
      </c>
      <c r="F945" s="90" t="s">
        <v>1821</v>
      </c>
      <c r="G945" s="89">
        <v>562.09</v>
      </c>
      <c r="H945" s="141" t="str">
        <f t="shared" si="62"/>
        <v>120111580935</v>
      </c>
      <c r="I945" s="142">
        <v>0.11160000000000003</v>
      </c>
      <c r="J945" s="142" t="s">
        <v>1871</v>
      </c>
      <c r="K945" s="143">
        <f t="shared" si="59"/>
        <v>62.729244000000023</v>
      </c>
      <c r="L945" s="144">
        <f t="shared" si="60"/>
        <v>499.36075600000004</v>
      </c>
      <c r="M945" s="144">
        <f t="shared" si="61"/>
        <v>562.09</v>
      </c>
      <c r="N945" s="145" t="s">
        <v>1776</v>
      </c>
      <c r="O945" s="125"/>
    </row>
    <row r="946" spans="1:15" ht="15" customHeight="1" x14ac:dyDescent="0.3">
      <c r="A946" s="90" t="s">
        <v>238</v>
      </c>
      <c r="B946" s="90" t="s">
        <v>690</v>
      </c>
      <c r="C946" s="90" t="s">
        <v>691</v>
      </c>
      <c r="D946" s="90" t="s">
        <v>1820</v>
      </c>
      <c r="E946" s="90" t="s">
        <v>917</v>
      </c>
      <c r="F946" s="90" t="s">
        <v>1821</v>
      </c>
      <c r="G946" s="89">
        <v>858.48</v>
      </c>
      <c r="H946" s="141" t="str">
        <f t="shared" si="62"/>
        <v>141001580935</v>
      </c>
      <c r="I946" s="142">
        <v>1.1399999999999966E-2</v>
      </c>
      <c r="J946" s="142" t="s">
        <v>281</v>
      </c>
      <c r="K946" s="143">
        <f t="shared" si="59"/>
        <v>9.786671999999971</v>
      </c>
      <c r="L946" s="144">
        <f t="shared" si="60"/>
        <v>848.69332800000007</v>
      </c>
      <c r="M946" s="144">
        <f t="shared" si="61"/>
        <v>858.48</v>
      </c>
      <c r="N946" s="145" t="s">
        <v>1776</v>
      </c>
      <c r="O946" s="125"/>
    </row>
    <row r="947" spans="1:15" ht="15" customHeight="1" x14ac:dyDescent="0.3">
      <c r="A947" s="90" t="s">
        <v>238</v>
      </c>
      <c r="B947" s="90" t="s">
        <v>819</v>
      </c>
      <c r="C947" s="90" t="s">
        <v>820</v>
      </c>
      <c r="D947" s="90" t="s">
        <v>1820</v>
      </c>
      <c r="E947" s="90" t="s">
        <v>917</v>
      </c>
      <c r="F947" s="90" t="s">
        <v>1821</v>
      </c>
      <c r="G947" s="89">
        <v>976.11000000000013</v>
      </c>
      <c r="H947" s="141" t="str">
        <f t="shared" si="62"/>
        <v>135101580935</v>
      </c>
      <c r="I947" s="142">
        <v>0.11160000000000003</v>
      </c>
      <c r="J947" s="142" t="s">
        <v>1871</v>
      </c>
      <c r="K947" s="143">
        <f t="shared" si="59"/>
        <v>108.93387600000004</v>
      </c>
      <c r="L947" s="144">
        <f t="shared" si="60"/>
        <v>867.17612400000007</v>
      </c>
      <c r="M947" s="144">
        <f t="shared" si="61"/>
        <v>976.11000000000013</v>
      </c>
      <c r="N947" s="145" t="s">
        <v>1776</v>
      </c>
      <c r="O947" s="125"/>
    </row>
    <row r="948" spans="1:15" ht="15" customHeight="1" x14ac:dyDescent="0.3">
      <c r="A948" s="90" t="s">
        <v>238</v>
      </c>
      <c r="B948" s="90" t="s">
        <v>939</v>
      </c>
      <c r="C948" s="90" t="s">
        <v>940</v>
      </c>
      <c r="D948" s="90" t="s">
        <v>1800</v>
      </c>
      <c r="E948" s="90" t="s">
        <v>704</v>
      </c>
      <c r="F948" s="90" t="s">
        <v>1801</v>
      </c>
      <c r="G948" s="89">
        <v>1042.92</v>
      </c>
      <c r="H948" s="141" t="str">
        <f t="shared" si="62"/>
        <v>410201505935</v>
      </c>
      <c r="I948" s="142">
        <v>0.11209999999999998</v>
      </c>
      <c r="J948" s="142" t="s">
        <v>308</v>
      </c>
      <c r="K948" s="143">
        <f t="shared" si="59"/>
        <v>116.91133199999999</v>
      </c>
      <c r="L948" s="144">
        <f t="shared" si="60"/>
        <v>926.00866800000006</v>
      </c>
      <c r="M948" s="144">
        <f t="shared" si="61"/>
        <v>1042.92</v>
      </c>
      <c r="N948" s="145" t="s">
        <v>1776</v>
      </c>
      <c r="O948" s="125"/>
    </row>
    <row r="949" spans="1:15" ht="15" customHeight="1" x14ac:dyDescent="0.3">
      <c r="A949" s="90" t="s">
        <v>238</v>
      </c>
      <c r="B949" s="90" t="s">
        <v>690</v>
      </c>
      <c r="C949" s="90" t="s">
        <v>691</v>
      </c>
      <c r="D949" s="90" t="s">
        <v>1779</v>
      </c>
      <c r="E949" s="90" t="s">
        <v>1395</v>
      </c>
      <c r="F949" s="90" t="s">
        <v>1780</v>
      </c>
      <c r="G949" s="89">
        <v>1089.21</v>
      </c>
      <c r="H949" s="141" t="str">
        <f t="shared" si="62"/>
        <v>141001500935</v>
      </c>
      <c r="I949" s="142">
        <v>1.1399999999999966E-2</v>
      </c>
      <c r="J949" s="142" t="s">
        <v>281</v>
      </c>
      <c r="K949" s="143">
        <f t="shared" si="59"/>
        <v>12.416993999999963</v>
      </c>
      <c r="L949" s="144">
        <f t="shared" si="60"/>
        <v>1076.7930060000001</v>
      </c>
      <c r="M949" s="144">
        <f t="shared" si="61"/>
        <v>1089.21</v>
      </c>
      <c r="N949" s="145" t="s">
        <v>1776</v>
      </c>
      <c r="O949" s="125"/>
    </row>
    <row r="950" spans="1:15" ht="15" customHeight="1" x14ac:dyDescent="0.3">
      <c r="A950" s="90" t="s">
        <v>238</v>
      </c>
      <c r="B950" s="90" t="s">
        <v>739</v>
      </c>
      <c r="C950" s="90" t="s">
        <v>740</v>
      </c>
      <c r="D950" s="90" t="s">
        <v>1820</v>
      </c>
      <c r="E950" s="90" t="s">
        <v>917</v>
      </c>
      <c r="F950" s="90" t="s">
        <v>1821</v>
      </c>
      <c r="G950" s="89">
        <v>1114.03</v>
      </c>
      <c r="H950" s="141" t="str">
        <f t="shared" si="62"/>
        <v>155061580935</v>
      </c>
      <c r="I950" s="142">
        <v>0</v>
      </c>
      <c r="J950" s="142" t="s">
        <v>1863</v>
      </c>
      <c r="K950" s="143">
        <f t="shared" si="59"/>
        <v>0</v>
      </c>
      <c r="L950" s="144">
        <f t="shared" si="60"/>
        <v>1114.03</v>
      </c>
      <c r="M950" s="144">
        <f t="shared" si="61"/>
        <v>1114.03</v>
      </c>
      <c r="N950" s="145" t="s">
        <v>1776</v>
      </c>
      <c r="O950" s="125"/>
    </row>
    <row r="951" spans="1:15" ht="15" customHeight="1" x14ac:dyDescent="0.3">
      <c r="A951" s="90" t="s">
        <v>238</v>
      </c>
      <c r="B951" s="90" t="s">
        <v>1806</v>
      </c>
      <c r="C951" s="90" t="s">
        <v>1807</v>
      </c>
      <c r="D951" s="90" t="s">
        <v>1792</v>
      </c>
      <c r="E951" s="90" t="s">
        <v>1793</v>
      </c>
      <c r="F951" s="90" t="s">
        <v>1794</v>
      </c>
      <c r="G951" s="89">
        <v>1250</v>
      </c>
      <c r="H951" s="141" t="str">
        <f t="shared" si="62"/>
        <v>161904360935</v>
      </c>
      <c r="I951" s="142">
        <v>0.11160000000000003</v>
      </c>
      <c r="J951" s="142" t="s">
        <v>1882</v>
      </c>
      <c r="K951" s="143">
        <f t="shared" si="59"/>
        <v>139.50000000000003</v>
      </c>
      <c r="L951" s="144">
        <f t="shared" si="60"/>
        <v>1110.5</v>
      </c>
      <c r="M951" s="144">
        <f t="shared" si="61"/>
        <v>1250</v>
      </c>
      <c r="N951" s="145" t="s">
        <v>1776</v>
      </c>
      <c r="O951" s="125"/>
    </row>
    <row r="952" spans="1:15" ht="15" customHeight="1" x14ac:dyDescent="0.3">
      <c r="A952" s="90" t="s">
        <v>238</v>
      </c>
      <c r="B952" s="90" t="s">
        <v>639</v>
      </c>
      <c r="C952" s="90" t="s">
        <v>640</v>
      </c>
      <c r="D952" s="90" t="s">
        <v>1822</v>
      </c>
      <c r="E952" s="90" t="s">
        <v>1823</v>
      </c>
      <c r="F952" s="90" t="s">
        <v>1824</v>
      </c>
      <c r="G952" s="89">
        <v>1501.77</v>
      </c>
      <c r="H952" s="141" t="str">
        <f t="shared" si="62"/>
        <v>161005195935</v>
      </c>
      <c r="I952" s="142">
        <v>0.10419999999999996</v>
      </c>
      <c r="J952" s="142" t="s">
        <v>1861</v>
      </c>
      <c r="K952" s="143">
        <f t="shared" si="59"/>
        <v>156.48443399999994</v>
      </c>
      <c r="L952" s="144">
        <f t="shared" si="60"/>
        <v>1345.285566</v>
      </c>
      <c r="M952" s="144">
        <f t="shared" si="61"/>
        <v>1501.77</v>
      </c>
      <c r="N952" s="145" t="s">
        <v>1776</v>
      </c>
      <c r="O952" s="125"/>
    </row>
    <row r="953" spans="1:15" ht="15" customHeight="1" x14ac:dyDescent="0.3">
      <c r="A953" s="90" t="s">
        <v>238</v>
      </c>
      <c r="B953" s="90" t="s">
        <v>686</v>
      </c>
      <c r="C953" s="90" t="s">
        <v>687</v>
      </c>
      <c r="D953" s="90" t="s">
        <v>1800</v>
      </c>
      <c r="E953" s="90" t="s">
        <v>704</v>
      </c>
      <c r="F953" s="90" t="s">
        <v>1801</v>
      </c>
      <c r="G953" s="89">
        <v>1538.9900000000002</v>
      </c>
      <c r="H953" s="141" t="str">
        <f t="shared" si="62"/>
        <v>131001505935</v>
      </c>
      <c r="I953" s="142">
        <v>0.11209999999999998</v>
      </c>
      <c r="J953" s="142" t="s">
        <v>1864</v>
      </c>
      <c r="K953" s="143">
        <f t="shared" si="59"/>
        <v>172.520779</v>
      </c>
      <c r="L953" s="144">
        <f t="shared" si="60"/>
        <v>1366.4692210000003</v>
      </c>
      <c r="M953" s="144">
        <f t="shared" si="61"/>
        <v>1538.9900000000002</v>
      </c>
      <c r="N953" s="145" t="s">
        <v>1776</v>
      </c>
      <c r="O953" s="125"/>
    </row>
    <row r="954" spans="1:15" ht="15" customHeight="1" x14ac:dyDescent="0.3">
      <c r="A954" s="90" t="s">
        <v>238</v>
      </c>
      <c r="B954" s="90" t="s">
        <v>871</v>
      </c>
      <c r="C954" s="90" t="s">
        <v>872</v>
      </c>
      <c r="D954" s="90" t="s">
        <v>1792</v>
      </c>
      <c r="E954" s="90" t="s">
        <v>1793</v>
      </c>
      <c r="F954" s="90" t="s">
        <v>1794</v>
      </c>
      <c r="G954" s="89">
        <v>1840</v>
      </c>
      <c r="H954" s="141" t="str">
        <f t="shared" si="62"/>
        <v>161454360935</v>
      </c>
      <c r="I954" s="142">
        <v>0</v>
      </c>
      <c r="J954" s="142" t="s">
        <v>1878</v>
      </c>
      <c r="K954" s="143">
        <f t="shared" si="59"/>
        <v>0</v>
      </c>
      <c r="L954" s="144">
        <f t="shared" si="60"/>
        <v>1840</v>
      </c>
      <c r="M954" s="144">
        <f t="shared" si="61"/>
        <v>1840</v>
      </c>
      <c r="N954" s="145" t="s">
        <v>1776</v>
      </c>
      <c r="O954" s="125"/>
    </row>
    <row r="955" spans="1:15" ht="15" customHeight="1" x14ac:dyDescent="0.3">
      <c r="A955" s="90" t="s">
        <v>238</v>
      </c>
      <c r="B955" s="90" t="s">
        <v>688</v>
      </c>
      <c r="C955" s="90" t="s">
        <v>689</v>
      </c>
      <c r="D955" s="90" t="s">
        <v>1815</v>
      </c>
      <c r="E955" s="90" t="s">
        <v>1816</v>
      </c>
      <c r="F955" s="90" t="s">
        <v>1817</v>
      </c>
      <c r="G955" s="89">
        <v>2104.31</v>
      </c>
      <c r="H955" s="141" t="str">
        <f t="shared" si="62"/>
        <v>111005155935</v>
      </c>
      <c r="I955" s="142">
        <v>8.3600000000000008E-2</v>
      </c>
      <c r="J955" s="142" t="s">
        <v>1865</v>
      </c>
      <c r="K955" s="143">
        <f t="shared" si="59"/>
        <v>175.92031600000001</v>
      </c>
      <c r="L955" s="144">
        <f t="shared" si="60"/>
        <v>1928.389684</v>
      </c>
      <c r="M955" s="144">
        <f t="shared" si="61"/>
        <v>2104.31</v>
      </c>
      <c r="N955" s="145" t="s">
        <v>1776</v>
      </c>
      <c r="O955" s="125"/>
    </row>
    <row r="956" spans="1:15" ht="15" customHeight="1" x14ac:dyDescent="0.3">
      <c r="A956" s="90" t="s">
        <v>238</v>
      </c>
      <c r="B956" s="90" t="s">
        <v>1076</v>
      </c>
      <c r="C956" s="90" t="s">
        <v>1077</v>
      </c>
      <c r="D956" s="90" t="s">
        <v>1800</v>
      </c>
      <c r="E956" s="90" t="s">
        <v>704</v>
      </c>
      <c r="F956" s="90" t="s">
        <v>1801</v>
      </c>
      <c r="G956" s="89">
        <v>2197.3799999999997</v>
      </c>
      <c r="H956" s="141" t="str">
        <f t="shared" si="62"/>
        <v>120121505935</v>
      </c>
      <c r="I956" s="142">
        <v>0.11209999999999998</v>
      </c>
      <c r="J956" s="142" t="s">
        <v>308</v>
      </c>
      <c r="K956" s="143">
        <f t="shared" si="59"/>
        <v>246.32629799999992</v>
      </c>
      <c r="L956" s="144">
        <f t="shared" si="60"/>
        <v>1951.0537019999997</v>
      </c>
      <c r="M956" s="144">
        <f t="shared" si="61"/>
        <v>2197.3799999999997</v>
      </c>
      <c r="N956" s="145" t="s">
        <v>1776</v>
      </c>
      <c r="O956" s="125"/>
    </row>
    <row r="957" spans="1:15" ht="15" customHeight="1" x14ac:dyDescent="0.3">
      <c r="A957" s="90" t="s">
        <v>238</v>
      </c>
      <c r="B957" s="90" t="s">
        <v>711</v>
      </c>
      <c r="C957" s="90" t="s">
        <v>712</v>
      </c>
      <c r="D957" s="90" t="s">
        <v>1822</v>
      </c>
      <c r="E957" s="90" t="s">
        <v>1823</v>
      </c>
      <c r="F957" s="90" t="s">
        <v>1824</v>
      </c>
      <c r="G957" s="89">
        <v>3263.59</v>
      </c>
      <c r="H957" s="141" t="str">
        <f t="shared" si="62"/>
        <v>115005195935</v>
      </c>
      <c r="I957" s="142">
        <v>0.10419999999999996</v>
      </c>
      <c r="J957" s="142" t="s">
        <v>1861</v>
      </c>
      <c r="K957" s="143">
        <f t="shared" si="59"/>
        <v>340.06607799999989</v>
      </c>
      <c r="L957" s="144">
        <f t="shared" si="60"/>
        <v>2923.5239220000003</v>
      </c>
      <c r="M957" s="144">
        <f t="shared" si="61"/>
        <v>3263.59</v>
      </c>
      <c r="N957" s="145" t="s">
        <v>1776</v>
      </c>
      <c r="O957" s="125"/>
    </row>
    <row r="958" spans="1:15" ht="15" customHeight="1" x14ac:dyDescent="0.3">
      <c r="A958" s="90" t="s">
        <v>238</v>
      </c>
      <c r="B958" s="90" t="s">
        <v>686</v>
      </c>
      <c r="C958" s="90" t="s">
        <v>687</v>
      </c>
      <c r="D958" s="90" t="s">
        <v>1795</v>
      </c>
      <c r="E958" s="90" t="s">
        <v>1796</v>
      </c>
      <c r="F958" s="90" t="s">
        <v>1797</v>
      </c>
      <c r="G958" s="89">
        <v>5062.83</v>
      </c>
      <c r="H958" s="141" t="str">
        <f t="shared" si="62"/>
        <v>131001045935</v>
      </c>
      <c r="I958" s="142">
        <v>0.11209999999999998</v>
      </c>
      <c r="J958" s="142" t="s">
        <v>1864</v>
      </c>
      <c r="K958" s="143">
        <f t="shared" si="59"/>
        <v>567.54324299999985</v>
      </c>
      <c r="L958" s="144">
        <f t="shared" si="60"/>
        <v>4495.2867569999999</v>
      </c>
      <c r="M958" s="144">
        <f t="shared" si="61"/>
        <v>5062.83</v>
      </c>
      <c r="N958" s="145" t="s">
        <v>1776</v>
      </c>
      <c r="O958" s="125"/>
    </row>
    <row r="959" spans="1:15" ht="15" customHeight="1" x14ac:dyDescent="0.3">
      <c r="A959" s="90" t="s">
        <v>238</v>
      </c>
      <c r="B959" s="90" t="s">
        <v>639</v>
      </c>
      <c r="C959" s="90" t="s">
        <v>640</v>
      </c>
      <c r="D959" s="90" t="s">
        <v>1825</v>
      </c>
      <c r="E959" s="90" t="s">
        <v>1826</v>
      </c>
      <c r="F959" s="90" t="s">
        <v>1827</v>
      </c>
      <c r="G959" s="89">
        <v>5239.0999999999995</v>
      </c>
      <c r="H959" s="141" t="str">
        <f t="shared" si="62"/>
        <v>161005005935</v>
      </c>
      <c r="I959" s="142">
        <v>0.11209999999999998</v>
      </c>
      <c r="J959" s="142" t="s">
        <v>1864</v>
      </c>
      <c r="K959" s="143">
        <f t="shared" si="59"/>
        <v>587.30310999999983</v>
      </c>
      <c r="L959" s="144">
        <f t="shared" si="60"/>
        <v>4651.7968899999996</v>
      </c>
      <c r="M959" s="144">
        <f t="shared" si="61"/>
        <v>5239.0999999999995</v>
      </c>
      <c r="N959" s="145" t="s">
        <v>1776</v>
      </c>
      <c r="O959" s="125"/>
    </row>
    <row r="960" spans="1:15" ht="15" customHeight="1" x14ac:dyDescent="0.3">
      <c r="A960" s="90" t="s">
        <v>238</v>
      </c>
      <c r="B960" s="90" t="s">
        <v>688</v>
      </c>
      <c r="C960" s="90" t="s">
        <v>689</v>
      </c>
      <c r="D960" s="90" t="s">
        <v>1820</v>
      </c>
      <c r="E960" s="90" t="s">
        <v>917</v>
      </c>
      <c r="F960" s="90" t="s">
        <v>1821</v>
      </c>
      <c r="G960" s="89">
        <v>6040.96</v>
      </c>
      <c r="H960" s="141" t="str">
        <f t="shared" si="62"/>
        <v>111001580935</v>
      </c>
      <c r="I960" s="142">
        <v>8.3600000000000008E-2</v>
      </c>
      <c r="J960" s="142" t="s">
        <v>1865</v>
      </c>
      <c r="K960" s="143">
        <f t="shared" si="59"/>
        <v>505.02425600000004</v>
      </c>
      <c r="L960" s="144">
        <f t="shared" si="60"/>
        <v>5535.9357440000003</v>
      </c>
      <c r="M960" s="144">
        <f t="shared" si="61"/>
        <v>6040.96</v>
      </c>
      <c r="N960" s="145" t="s">
        <v>1776</v>
      </c>
      <c r="O960" s="125"/>
    </row>
    <row r="961" spans="1:15" ht="15" customHeight="1" x14ac:dyDescent="0.3">
      <c r="A961" s="90" t="s">
        <v>238</v>
      </c>
      <c r="B961" s="90" t="s">
        <v>739</v>
      </c>
      <c r="C961" s="90" t="s">
        <v>740</v>
      </c>
      <c r="D961" s="90" t="s">
        <v>1815</v>
      </c>
      <c r="E961" s="90" t="s">
        <v>1816</v>
      </c>
      <c r="F961" s="90" t="s">
        <v>1817</v>
      </c>
      <c r="G961" s="89">
        <v>8790.77</v>
      </c>
      <c r="H961" s="141" t="str">
        <f t="shared" si="62"/>
        <v>155065155935</v>
      </c>
      <c r="I961" s="142">
        <v>0</v>
      </c>
      <c r="J961" s="142" t="s">
        <v>1863</v>
      </c>
      <c r="K961" s="143">
        <f t="shared" si="59"/>
        <v>0</v>
      </c>
      <c r="L961" s="144">
        <f t="shared" si="60"/>
        <v>8790.77</v>
      </c>
      <c r="M961" s="144">
        <f t="shared" si="61"/>
        <v>8790.77</v>
      </c>
      <c r="N961" s="145" t="s">
        <v>1776</v>
      </c>
      <c r="O961" s="125"/>
    </row>
    <row r="962" spans="1:15" ht="15" customHeight="1" x14ac:dyDescent="0.3">
      <c r="A962" s="90" t="s">
        <v>238</v>
      </c>
      <c r="B962" s="90" t="s">
        <v>639</v>
      </c>
      <c r="C962" s="90" t="s">
        <v>640</v>
      </c>
      <c r="D962" s="90" t="s">
        <v>1828</v>
      </c>
      <c r="E962" s="90" t="s">
        <v>1829</v>
      </c>
      <c r="F962" s="90" t="s">
        <v>1830</v>
      </c>
      <c r="G962" s="89">
        <v>9017.85</v>
      </c>
      <c r="H962" s="141" t="str">
        <f t="shared" si="62"/>
        <v>161004365935</v>
      </c>
      <c r="I962" s="142">
        <v>0.11209999999999998</v>
      </c>
      <c r="J962" s="142" t="s">
        <v>1864</v>
      </c>
      <c r="K962" s="143">
        <f t="shared" si="59"/>
        <v>1010.9009849999999</v>
      </c>
      <c r="L962" s="144">
        <f t="shared" si="60"/>
        <v>8006.9490150000001</v>
      </c>
      <c r="M962" s="144">
        <f t="shared" si="61"/>
        <v>9017.85</v>
      </c>
      <c r="N962" s="145" t="s">
        <v>1776</v>
      </c>
      <c r="O962" s="125"/>
    </row>
    <row r="963" spans="1:15" ht="15" customHeight="1" x14ac:dyDescent="0.3">
      <c r="A963" s="90" t="s">
        <v>238</v>
      </c>
      <c r="B963" s="90" t="s">
        <v>1029</v>
      </c>
      <c r="C963" s="90" t="s">
        <v>1030</v>
      </c>
      <c r="D963" s="90" t="s">
        <v>1800</v>
      </c>
      <c r="E963" s="90" t="s">
        <v>704</v>
      </c>
      <c r="F963" s="90" t="s">
        <v>1801</v>
      </c>
      <c r="G963" s="89">
        <v>9195</v>
      </c>
      <c r="H963" s="141" t="str">
        <f t="shared" si="62"/>
        <v>410501505935</v>
      </c>
      <c r="I963" s="142">
        <v>0.11209999999999998</v>
      </c>
      <c r="J963" s="142" t="s">
        <v>1864</v>
      </c>
      <c r="K963" s="143">
        <f t="shared" si="59"/>
        <v>1030.7594999999999</v>
      </c>
      <c r="L963" s="144">
        <f t="shared" si="60"/>
        <v>8164.2404999999999</v>
      </c>
      <c r="M963" s="144">
        <f t="shared" si="61"/>
        <v>9195</v>
      </c>
      <c r="N963" s="145" t="s">
        <v>1776</v>
      </c>
      <c r="O963" s="125"/>
    </row>
    <row r="964" spans="1:15" ht="15" customHeight="1" x14ac:dyDescent="0.3">
      <c r="A964" s="90" t="s">
        <v>238</v>
      </c>
      <c r="B964" s="90" t="s">
        <v>639</v>
      </c>
      <c r="C964" s="90" t="s">
        <v>640</v>
      </c>
      <c r="D964" s="90" t="s">
        <v>1831</v>
      </c>
      <c r="E964" s="90" t="s">
        <v>1832</v>
      </c>
      <c r="F964" s="90" t="s">
        <v>1833</v>
      </c>
      <c r="G964" s="89">
        <v>9655.1299999999992</v>
      </c>
      <c r="H964" s="141" t="str">
        <f t="shared" si="62"/>
        <v>161004345935</v>
      </c>
      <c r="I964" s="142">
        <v>0.11209999999999998</v>
      </c>
      <c r="J964" s="142" t="s">
        <v>1864</v>
      </c>
      <c r="K964" s="143">
        <f t="shared" si="59"/>
        <v>1082.3400729999996</v>
      </c>
      <c r="L964" s="144">
        <f t="shared" si="60"/>
        <v>8572.7899269999998</v>
      </c>
      <c r="M964" s="144">
        <f t="shared" si="61"/>
        <v>9655.1299999999992</v>
      </c>
      <c r="N964" s="145" t="s">
        <v>1776</v>
      </c>
      <c r="O964" s="125"/>
    </row>
    <row r="965" spans="1:15" ht="15" customHeight="1" x14ac:dyDescent="0.3">
      <c r="A965" s="90" t="s">
        <v>238</v>
      </c>
      <c r="B965" s="90" t="s">
        <v>1600</v>
      </c>
      <c r="C965" s="90" t="s">
        <v>1601</v>
      </c>
      <c r="D965" s="90" t="s">
        <v>1798</v>
      </c>
      <c r="E965" s="90" t="s">
        <v>697</v>
      </c>
      <c r="F965" s="90" t="s">
        <v>1799</v>
      </c>
      <c r="G965" s="89">
        <v>13567.279999999999</v>
      </c>
      <c r="H965" s="141" t="str">
        <f t="shared" si="62"/>
        <v>510451295935</v>
      </c>
      <c r="I965" s="142">
        <v>0.11209999999999998</v>
      </c>
      <c r="J965" s="142" t="s">
        <v>308</v>
      </c>
      <c r="K965" s="143">
        <f t="shared" si="59"/>
        <v>1520.8920879999996</v>
      </c>
      <c r="L965" s="144">
        <f t="shared" si="60"/>
        <v>12046.387911999998</v>
      </c>
      <c r="M965" s="144">
        <f t="shared" si="61"/>
        <v>13567.279999999999</v>
      </c>
      <c r="N965" s="145" t="s">
        <v>1776</v>
      </c>
      <c r="O965" s="125"/>
    </row>
    <row r="966" spans="1:15" ht="15" customHeight="1" x14ac:dyDescent="0.3">
      <c r="A966" s="90" t="s">
        <v>238</v>
      </c>
      <c r="B966" s="90" t="s">
        <v>1834</v>
      </c>
      <c r="C966" s="90" t="s">
        <v>1835</v>
      </c>
      <c r="D966" s="90" t="s">
        <v>1779</v>
      </c>
      <c r="E966" s="90" t="s">
        <v>1395</v>
      </c>
      <c r="F966" s="90" t="s">
        <v>1780</v>
      </c>
      <c r="G966" s="89">
        <v>13857.820000000002</v>
      </c>
      <c r="H966" s="141" t="str">
        <f t="shared" si="62"/>
        <v>161651500935</v>
      </c>
      <c r="I966" s="142">
        <v>0.10419999999999996</v>
      </c>
      <c r="J966" s="142" t="s">
        <v>1861</v>
      </c>
      <c r="K966" s="143">
        <f t="shared" si="59"/>
        <v>1443.9848439999996</v>
      </c>
      <c r="L966" s="144">
        <f t="shared" si="60"/>
        <v>12413.835156000001</v>
      </c>
      <c r="M966" s="144">
        <f t="shared" si="61"/>
        <v>13857.82</v>
      </c>
      <c r="N966" s="145" t="s">
        <v>1776</v>
      </c>
      <c r="O966" s="125"/>
    </row>
    <row r="967" spans="1:15" ht="15" customHeight="1" x14ac:dyDescent="0.3">
      <c r="A967" s="90" t="s">
        <v>238</v>
      </c>
      <c r="B967" s="90" t="s">
        <v>947</v>
      </c>
      <c r="C967" s="90" t="s">
        <v>948</v>
      </c>
      <c r="D967" s="90" t="s">
        <v>1779</v>
      </c>
      <c r="E967" s="90" t="s">
        <v>1395</v>
      </c>
      <c r="F967" s="90" t="s">
        <v>1780</v>
      </c>
      <c r="G967" s="89">
        <v>15677.359999999997</v>
      </c>
      <c r="H967" s="141" t="str">
        <f t="shared" si="62"/>
        <v>161701500935</v>
      </c>
      <c r="I967" s="142">
        <v>0.25149999999999995</v>
      </c>
      <c r="J967" s="142" t="s">
        <v>1883</v>
      </c>
      <c r="K967" s="143">
        <f t="shared" si="59"/>
        <v>3942.8560399999983</v>
      </c>
      <c r="L967" s="144">
        <f t="shared" si="60"/>
        <v>11734.503959999998</v>
      </c>
      <c r="M967" s="144">
        <f t="shared" si="61"/>
        <v>15677.359999999997</v>
      </c>
      <c r="N967" s="145" t="s">
        <v>1776</v>
      </c>
      <c r="O967" s="125"/>
    </row>
    <row r="968" spans="1:15" ht="15" customHeight="1" x14ac:dyDescent="0.3">
      <c r="A968" s="90" t="s">
        <v>238</v>
      </c>
      <c r="B968" s="90" t="s">
        <v>688</v>
      </c>
      <c r="C968" s="90" t="s">
        <v>689</v>
      </c>
      <c r="D968" s="90" t="s">
        <v>1825</v>
      </c>
      <c r="E968" s="90" t="s">
        <v>1826</v>
      </c>
      <c r="F968" s="90" t="s">
        <v>1827</v>
      </c>
      <c r="G968" s="89">
        <v>18247</v>
      </c>
      <c r="H968" s="141" t="str">
        <f t="shared" si="62"/>
        <v>111005005935</v>
      </c>
      <c r="I968" s="142">
        <v>8.3600000000000008E-2</v>
      </c>
      <c r="J968" s="142" t="s">
        <v>1865</v>
      </c>
      <c r="K968" s="143">
        <f t="shared" si="59"/>
        <v>1525.4492000000002</v>
      </c>
      <c r="L968" s="144">
        <f t="shared" si="60"/>
        <v>16721.550800000001</v>
      </c>
      <c r="M968" s="144">
        <f t="shared" si="61"/>
        <v>18247</v>
      </c>
      <c r="N968" s="145" t="s">
        <v>1776</v>
      </c>
      <c r="O968" s="125"/>
    </row>
    <row r="969" spans="1:15" ht="15" customHeight="1" x14ac:dyDescent="0.3">
      <c r="A969" s="90" t="s">
        <v>238</v>
      </c>
      <c r="B969" s="90" t="s">
        <v>1078</v>
      </c>
      <c r="C969" s="90" t="s">
        <v>1079</v>
      </c>
      <c r="D969" s="90" t="s">
        <v>1818</v>
      </c>
      <c r="E969" s="90" t="s">
        <v>923</v>
      </c>
      <c r="F969" s="90" t="s">
        <v>1819</v>
      </c>
      <c r="G969" s="89">
        <v>18445.190000000002</v>
      </c>
      <c r="H969" s="141" t="str">
        <f t="shared" si="62"/>
        <v>120111440935</v>
      </c>
      <c r="I969" s="142">
        <v>0.11160000000000003</v>
      </c>
      <c r="J969" s="142" t="s">
        <v>1871</v>
      </c>
      <c r="K969" s="143">
        <f t="shared" si="59"/>
        <v>2058.483204000001</v>
      </c>
      <c r="L969" s="144">
        <f t="shared" si="60"/>
        <v>16386.706796000002</v>
      </c>
      <c r="M969" s="144">
        <f t="shared" si="61"/>
        <v>18445.190000000002</v>
      </c>
      <c r="N969" s="145" t="s">
        <v>1776</v>
      </c>
      <c r="O969" s="125"/>
    </row>
    <row r="970" spans="1:15" ht="15" customHeight="1" x14ac:dyDescent="0.3">
      <c r="A970" s="90" t="s">
        <v>238</v>
      </c>
      <c r="B970" s="90" t="s">
        <v>639</v>
      </c>
      <c r="C970" s="90" t="s">
        <v>640</v>
      </c>
      <c r="D970" s="90" t="s">
        <v>1786</v>
      </c>
      <c r="E970" s="90" t="s">
        <v>1787</v>
      </c>
      <c r="F970" s="90" t="s">
        <v>1788</v>
      </c>
      <c r="G970" s="89">
        <v>18721.590000000004</v>
      </c>
      <c r="H970" s="141" t="str">
        <f t="shared" si="62"/>
        <v>161004355935</v>
      </c>
      <c r="I970" s="142">
        <v>0</v>
      </c>
      <c r="J970" s="142" t="s">
        <v>1863</v>
      </c>
      <c r="K970" s="143">
        <f t="shared" si="59"/>
        <v>0</v>
      </c>
      <c r="L970" s="144">
        <f t="shared" si="60"/>
        <v>18721.590000000004</v>
      </c>
      <c r="M970" s="144">
        <f t="shared" si="61"/>
        <v>18721.590000000004</v>
      </c>
      <c r="N970" s="145" t="s">
        <v>1776</v>
      </c>
      <c r="O970" s="125"/>
    </row>
    <row r="971" spans="1:15" ht="15" customHeight="1" x14ac:dyDescent="0.3">
      <c r="A971" s="90" t="s">
        <v>238</v>
      </c>
      <c r="B971" s="90" t="s">
        <v>1806</v>
      </c>
      <c r="C971" s="90" t="s">
        <v>1807</v>
      </c>
      <c r="D971" s="90" t="s">
        <v>1779</v>
      </c>
      <c r="E971" s="90" t="s">
        <v>1395</v>
      </c>
      <c r="F971" s="90" t="s">
        <v>1780</v>
      </c>
      <c r="G971" s="89">
        <v>18803.060000000001</v>
      </c>
      <c r="H971" s="141" t="str">
        <f t="shared" si="62"/>
        <v>161901500935</v>
      </c>
      <c r="I971" s="142">
        <v>0</v>
      </c>
      <c r="J971" s="142" t="s">
        <v>1863</v>
      </c>
      <c r="K971" s="143">
        <f t="shared" si="59"/>
        <v>0</v>
      </c>
      <c r="L971" s="144">
        <f t="shared" si="60"/>
        <v>18803.060000000001</v>
      </c>
      <c r="M971" s="144">
        <f t="shared" si="61"/>
        <v>18803.060000000001</v>
      </c>
      <c r="N971" s="145" t="s">
        <v>1776</v>
      </c>
      <c r="O971" s="125"/>
    </row>
    <row r="972" spans="1:15" ht="15" customHeight="1" x14ac:dyDescent="0.3">
      <c r="A972" s="90" t="s">
        <v>238</v>
      </c>
      <c r="B972" s="90" t="s">
        <v>826</v>
      </c>
      <c r="C972" s="90" t="s">
        <v>827</v>
      </c>
      <c r="D972" s="90" t="s">
        <v>1836</v>
      </c>
      <c r="E972" s="90" t="s">
        <v>1837</v>
      </c>
      <c r="F972" s="90" t="s">
        <v>1838</v>
      </c>
      <c r="G972" s="89">
        <v>20362.78</v>
      </c>
      <c r="H972" s="141" t="str">
        <f t="shared" si="62"/>
        <v>162005200935</v>
      </c>
      <c r="I972" s="142">
        <v>0.11209999999999998</v>
      </c>
      <c r="J972" s="142" t="s">
        <v>1864</v>
      </c>
      <c r="K972" s="143">
        <f t="shared" si="59"/>
        <v>2282.6676379999994</v>
      </c>
      <c r="L972" s="144">
        <f t="shared" si="60"/>
        <v>18080.112362</v>
      </c>
      <c r="M972" s="144">
        <f t="shared" si="61"/>
        <v>20362.78</v>
      </c>
      <c r="N972" s="145" t="s">
        <v>1776</v>
      </c>
      <c r="O972" s="125"/>
    </row>
    <row r="973" spans="1:15" ht="15" customHeight="1" x14ac:dyDescent="0.3">
      <c r="A973" s="90" t="s">
        <v>238</v>
      </c>
      <c r="B973" s="90" t="s">
        <v>1839</v>
      </c>
      <c r="C973" s="90" t="s">
        <v>1840</v>
      </c>
      <c r="D973" s="90" t="s">
        <v>1779</v>
      </c>
      <c r="E973" s="90" t="s">
        <v>1395</v>
      </c>
      <c r="F973" s="90" t="s">
        <v>1780</v>
      </c>
      <c r="G973" s="89">
        <v>22076.539999999997</v>
      </c>
      <c r="H973" s="141" t="str">
        <f t="shared" si="62"/>
        <v>161101500935</v>
      </c>
      <c r="I973" s="142">
        <v>0</v>
      </c>
      <c r="J973" s="142" t="s">
        <v>1863</v>
      </c>
      <c r="K973" s="143">
        <f t="shared" si="59"/>
        <v>0</v>
      </c>
      <c r="L973" s="144">
        <f t="shared" si="60"/>
        <v>22076.539999999997</v>
      </c>
      <c r="M973" s="144">
        <f t="shared" si="61"/>
        <v>22076.539999999997</v>
      </c>
      <c r="N973" s="145" t="s">
        <v>1776</v>
      </c>
      <c r="O973" s="125"/>
    </row>
    <row r="974" spans="1:15" ht="15" customHeight="1" x14ac:dyDescent="0.3">
      <c r="A974" s="90" t="s">
        <v>238</v>
      </c>
      <c r="B974" s="90" t="s">
        <v>1841</v>
      </c>
      <c r="C974" s="90" t="s">
        <v>1842</v>
      </c>
      <c r="D974" s="90" t="s">
        <v>1779</v>
      </c>
      <c r="E974" s="90" t="s">
        <v>1395</v>
      </c>
      <c r="F974" s="90" t="s">
        <v>1780</v>
      </c>
      <c r="G974" s="89">
        <v>23940.74</v>
      </c>
      <c r="H974" s="141" t="str">
        <f t="shared" si="62"/>
        <v>161801500935</v>
      </c>
      <c r="I974" s="142">
        <v>0.10419999999999996</v>
      </c>
      <c r="J974" s="142" t="s">
        <v>1861</v>
      </c>
      <c r="K974" s="143">
        <f t="shared" si="59"/>
        <v>2494.6251079999993</v>
      </c>
      <c r="L974" s="144">
        <f t="shared" si="60"/>
        <v>21446.114892000001</v>
      </c>
      <c r="M974" s="144">
        <f t="shared" si="61"/>
        <v>23940.74</v>
      </c>
      <c r="N974" s="145" t="s">
        <v>1776</v>
      </c>
      <c r="O974" s="125"/>
    </row>
    <row r="975" spans="1:15" ht="15" customHeight="1" x14ac:dyDescent="0.3">
      <c r="A975" s="90" t="s">
        <v>238</v>
      </c>
      <c r="B975" s="90" t="s">
        <v>686</v>
      </c>
      <c r="C975" s="90" t="s">
        <v>687</v>
      </c>
      <c r="D975" s="90" t="s">
        <v>1802</v>
      </c>
      <c r="E975" s="90" t="s">
        <v>1234</v>
      </c>
      <c r="F975" s="90" t="s">
        <v>1803</v>
      </c>
      <c r="G975" s="89">
        <v>27152.32</v>
      </c>
      <c r="H975" s="141" t="str">
        <f t="shared" si="62"/>
        <v>131005020935</v>
      </c>
      <c r="I975" s="142">
        <v>0.11209999999999998</v>
      </c>
      <c r="J975" s="142" t="s">
        <v>1864</v>
      </c>
      <c r="K975" s="143">
        <f t="shared" si="59"/>
        <v>3043.7750719999995</v>
      </c>
      <c r="L975" s="144">
        <f t="shared" si="60"/>
        <v>24108.544927999999</v>
      </c>
      <c r="M975" s="144">
        <f t="shared" si="61"/>
        <v>27152.32</v>
      </c>
      <c r="N975" s="145" t="s">
        <v>1776</v>
      </c>
      <c r="O975" s="125"/>
    </row>
    <row r="976" spans="1:15" ht="15" customHeight="1" x14ac:dyDescent="0.3">
      <c r="A976" s="90" t="s">
        <v>238</v>
      </c>
      <c r="B976" s="90" t="s">
        <v>1843</v>
      </c>
      <c r="C976" s="90" t="s">
        <v>1844</v>
      </c>
      <c r="D976" s="90" t="s">
        <v>1779</v>
      </c>
      <c r="E976" s="90" t="s">
        <v>1395</v>
      </c>
      <c r="F976" s="90" t="s">
        <v>1780</v>
      </c>
      <c r="G976" s="89">
        <v>27846.829999999998</v>
      </c>
      <c r="H976" s="141" t="str">
        <f t="shared" si="62"/>
        <v>161551500935</v>
      </c>
      <c r="I976" s="142">
        <v>0</v>
      </c>
      <c r="J976" s="142" t="s">
        <v>1863</v>
      </c>
      <c r="K976" s="143">
        <f t="shared" si="59"/>
        <v>0</v>
      </c>
      <c r="L976" s="144">
        <f t="shared" si="60"/>
        <v>27846.829999999998</v>
      </c>
      <c r="M976" s="144">
        <f t="shared" si="61"/>
        <v>27846.829999999998</v>
      </c>
      <c r="N976" s="145" t="s">
        <v>1776</v>
      </c>
      <c r="O976" s="125"/>
    </row>
    <row r="977" spans="1:15" ht="15" customHeight="1" x14ac:dyDescent="0.3">
      <c r="A977" s="90" t="s">
        <v>238</v>
      </c>
      <c r="B977" s="90" t="s">
        <v>639</v>
      </c>
      <c r="C977" s="90" t="s">
        <v>640</v>
      </c>
      <c r="D977" s="90" t="s">
        <v>1808</v>
      </c>
      <c r="E977" s="90" t="s">
        <v>1809</v>
      </c>
      <c r="F977" s="90" t="s">
        <v>1810</v>
      </c>
      <c r="G977" s="89">
        <v>28012.510000000002</v>
      </c>
      <c r="H977" s="141" t="str">
        <f t="shared" si="62"/>
        <v>161004380935</v>
      </c>
      <c r="I977" s="142">
        <v>0</v>
      </c>
      <c r="J977" s="142" t="s">
        <v>1863</v>
      </c>
      <c r="K977" s="143">
        <f t="shared" si="59"/>
        <v>0</v>
      </c>
      <c r="L977" s="144">
        <f t="shared" si="60"/>
        <v>28012.510000000002</v>
      </c>
      <c r="M977" s="144">
        <f t="shared" si="61"/>
        <v>28012.510000000002</v>
      </c>
      <c r="N977" s="145" t="s">
        <v>1776</v>
      </c>
      <c r="O977" s="125"/>
    </row>
    <row r="978" spans="1:15" ht="15" customHeight="1" x14ac:dyDescent="0.3">
      <c r="A978" s="90" t="s">
        <v>238</v>
      </c>
      <c r="B978" s="90" t="s">
        <v>688</v>
      </c>
      <c r="C978" s="90" t="s">
        <v>689</v>
      </c>
      <c r="D978" s="90" t="s">
        <v>1784</v>
      </c>
      <c r="E978" s="90" t="s">
        <v>1767</v>
      </c>
      <c r="F978" s="90" t="s">
        <v>1785</v>
      </c>
      <c r="G978" s="89">
        <v>29048.299999999996</v>
      </c>
      <c r="H978" s="141" t="str">
        <f t="shared" si="62"/>
        <v>111005010935</v>
      </c>
      <c r="I978" s="142">
        <v>8.3600000000000008E-2</v>
      </c>
      <c r="J978" s="142" t="s">
        <v>1865</v>
      </c>
      <c r="K978" s="143">
        <f t="shared" si="59"/>
        <v>2428.43788</v>
      </c>
      <c r="L978" s="144">
        <f t="shared" si="60"/>
        <v>26619.862119999994</v>
      </c>
      <c r="M978" s="144">
        <f t="shared" si="61"/>
        <v>29048.299999999996</v>
      </c>
      <c r="N978" s="145" t="s">
        <v>1776</v>
      </c>
      <c r="O978" s="125"/>
    </row>
    <row r="979" spans="1:15" ht="15" customHeight="1" x14ac:dyDescent="0.3">
      <c r="A979" s="90" t="s">
        <v>238</v>
      </c>
      <c r="B979" s="90" t="s">
        <v>639</v>
      </c>
      <c r="C979" s="90" t="s">
        <v>640</v>
      </c>
      <c r="D979" s="90" t="s">
        <v>1845</v>
      </c>
      <c r="E979" s="90" t="s">
        <v>1846</v>
      </c>
      <c r="F979" s="90" t="s">
        <v>1847</v>
      </c>
      <c r="G979" s="89">
        <v>30056.620000000003</v>
      </c>
      <c r="H979" s="141" t="str">
        <f t="shared" si="62"/>
        <v>161004370935</v>
      </c>
      <c r="I979" s="142">
        <v>0</v>
      </c>
      <c r="J979" s="142" t="s">
        <v>1878</v>
      </c>
      <c r="K979" s="143">
        <f t="shared" si="59"/>
        <v>0</v>
      </c>
      <c r="L979" s="144">
        <f t="shared" si="60"/>
        <v>30056.620000000003</v>
      </c>
      <c r="M979" s="144">
        <f t="shared" si="61"/>
        <v>30056.620000000003</v>
      </c>
      <c r="N979" s="145" t="s">
        <v>1776</v>
      </c>
      <c r="O979" s="125"/>
    </row>
    <row r="980" spans="1:15" ht="15" customHeight="1" x14ac:dyDescent="0.3">
      <c r="A980" s="90" t="s">
        <v>238</v>
      </c>
      <c r="B980" s="90" t="s">
        <v>1848</v>
      </c>
      <c r="C980" s="90" t="s">
        <v>1849</v>
      </c>
      <c r="D980" s="90" t="s">
        <v>1779</v>
      </c>
      <c r="E980" s="90" t="s">
        <v>1395</v>
      </c>
      <c r="F980" s="90" t="s">
        <v>1780</v>
      </c>
      <c r="G980" s="89">
        <v>31130.959999999999</v>
      </c>
      <c r="H980" s="141" t="str">
        <f t="shared" si="62"/>
        <v>161201500935</v>
      </c>
      <c r="I980" s="142">
        <v>0</v>
      </c>
      <c r="J980" s="142" t="s">
        <v>1863</v>
      </c>
      <c r="K980" s="143">
        <f t="shared" si="59"/>
        <v>0</v>
      </c>
      <c r="L980" s="144">
        <f t="shared" si="60"/>
        <v>31130.959999999999</v>
      </c>
      <c r="M980" s="144">
        <f t="shared" si="61"/>
        <v>31130.959999999999</v>
      </c>
      <c r="N980" s="145" t="s">
        <v>1776</v>
      </c>
      <c r="O980" s="125"/>
    </row>
    <row r="981" spans="1:15" ht="15" customHeight="1" x14ac:dyDescent="0.3">
      <c r="A981" s="90" t="s">
        <v>238</v>
      </c>
      <c r="B981" s="90" t="s">
        <v>1388</v>
      </c>
      <c r="C981" s="90" t="s">
        <v>1389</v>
      </c>
      <c r="D981" s="90" t="s">
        <v>1779</v>
      </c>
      <c r="E981" s="90" t="s">
        <v>1395</v>
      </c>
      <c r="F981" s="90" t="s">
        <v>1780</v>
      </c>
      <c r="G981" s="89">
        <v>35020.89</v>
      </c>
      <c r="H981" s="141" t="str">
        <f t="shared" si="62"/>
        <v>161751500935</v>
      </c>
      <c r="I981" s="142">
        <v>0.10419999999999996</v>
      </c>
      <c r="J981" s="142" t="s">
        <v>1861</v>
      </c>
      <c r="K981" s="143">
        <f t="shared" si="59"/>
        <v>3649.1767379999983</v>
      </c>
      <c r="L981" s="144">
        <f t="shared" si="60"/>
        <v>31371.713262000001</v>
      </c>
      <c r="M981" s="144">
        <f t="shared" si="61"/>
        <v>35020.89</v>
      </c>
      <c r="N981" s="145" t="s">
        <v>1776</v>
      </c>
      <c r="O981" s="125"/>
    </row>
    <row r="982" spans="1:15" ht="15" customHeight="1" x14ac:dyDescent="0.3">
      <c r="A982" s="90" t="s">
        <v>238</v>
      </c>
      <c r="B982" s="90" t="s">
        <v>810</v>
      </c>
      <c r="C982" s="90" t="s">
        <v>811</v>
      </c>
      <c r="D982" s="90" t="s">
        <v>1779</v>
      </c>
      <c r="E982" s="90" t="s">
        <v>1395</v>
      </c>
      <c r="F982" s="90" t="s">
        <v>1780</v>
      </c>
      <c r="G982" s="89">
        <v>35937.910000000003</v>
      </c>
      <c r="H982" s="141" t="str">
        <f t="shared" si="62"/>
        <v>161151500935</v>
      </c>
      <c r="I982" s="142">
        <v>0</v>
      </c>
      <c r="J982" s="142" t="s">
        <v>1863</v>
      </c>
      <c r="K982" s="143">
        <f t="shared" si="59"/>
        <v>0</v>
      </c>
      <c r="L982" s="144">
        <f t="shared" si="60"/>
        <v>35937.910000000003</v>
      </c>
      <c r="M982" s="144">
        <f t="shared" si="61"/>
        <v>35937.910000000003</v>
      </c>
      <c r="N982" s="145" t="s">
        <v>1776</v>
      </c>
      <c r="O982" s="125"/>
    </row>
    <row r="983" spans="1:15" ht="15" customHeight="1" x14ac:dyDescent="0.3">
      <c r="A983" s="90" t="s">
        <v>238</v>
      </c>
      <c r="B983" s="90" t="s">
        <v>1078</v>
      </c>
      <c r="C983" s="90" t="s">
        <v>1079</v>
      </c>
      <c r="D983" s="90" t="s">
        <v>1800</v>
      </c>
      <c r="E983" s="90" t="s">
        <v>704</v>
      </c>
      <c r="F983" s="90" t="s">
        <v>1801</v>
      </c>
      <c r="G983" s="89">
        <v>41284.949999999997</v>
      </c>
      <c r="H983" s="141" t="str">
        <f t="shared" si="62"/>
        <v>120111505935</v>
      </c>
      <c r="I983" s="142">
        <v>0.11160000000000003</v>
      </c>
      <c r="J983" s="142" t="s">
        <v>1871</v>
      </c>
      <c r="K983" s="143">
        <f t="shared" si="59"/>
        <v>4607.4004200000008</v>
      </c>
      <c r="L983" s="144">
        <f t="shared" si="60"/>
        <v>36677.549579999999</v>
      </c>
      <c r="M983" s="144">
        <f t="shared" si="61"/>
        <v>41284.949999999997</v>
      </c>
      <c r="N983" s="145" t="s">
        <v>1776</v>
      </c>
      <c r="O983" s="125"/>
    </row>
    <row r="984" spans="1:15" ht="15" customHeight="1" x14ac:dyDescent="0.3">
      <c r="A984" s="90" t="s">
        <v>238</v>
      </c>
      <c r="B984" s="90" t="s">
        <v>1811</v>
      </c>
      <c r="C984" s="90" t="s">
        <v>1812</v>
      </c>
      <c r="D984" s="90" t="s">
        <v>1779</v>
      </c>
      <c r="E984" s="90" t="s">
        <v>1395</v>
      </c>
      <c r="F984" s="90" t="s">
        <v>1780</v>
      </c>
      <c r="G984" s="89">
        <v>47634.21</v>
      </c>
      <c r="H984" s="141" t="str">
        <f t="shared" si="62"/>
        <v>161601500935</v>
      </c>
      <c r="I984" s="142">
        <v>0</v>
      </c>
      <c r="J984" s="142" t="s">
        <v>1863</v>
      </c>
      <c r="K984" s="143">
        <f t="shared" ref="K984:K1001" si="63">G984*I984</f>
        <v>0</v>
      </c>
      <c r="L984" s="144">
        <f t="shared" ref="L984:L1001" si="64">G984-K984</f>
        <v>47634.21</v>
      </c>
      <c r="M984" s="144">
        <f t="shared" ref="M984:M1001" si="65">K984+L984</f>
        <v>47634.21</v>
      </c>
      <c r="N984" s="145" t="s">
        <v>1776</v>
      </c>
      <c r="O984" s="125"/>
    </row>
    <row r="985" spans="1:15" ht="15" customHeight="1" x14ac:dyDescent="0.3">
      <c r="A985" s="90" t="s">
        <v>238</v>
      </c>
      <c r="B985" s="90" t="s">
        <v>1771</v>
      </c>
      <c r="C985" s="90" t="s">
        <v>1772</v>
      </c>
      <c r="D985" s="90" t="s">
        <v>1779</v>
      </c>
      <c r="E985" s="90" t="s">
        <v>1395</v>
      </c>
      <c r="F985" s="90" t="s">
        <v>1780</v>
      </c>
      <c r="G985" s="89">
        <v>47859.28</v>
      </c>
      <c r="H985" s="141" t="str">
        <f t="shared" ref="H985:H1001" si="66">CONCATENATE(B985,RIGHT(D985,4),A985)</f>
        <v>161501500935</v>
      </c>
      <c r="I985" s="142">
        <v>0</v>
      </c>
      <c r="J985" s="142" t="s">
        <v>1863</v>
      </c>
      <c r="K985" s="143">
        <f t="shared" si="63"/>
        <v>0</v>
      </c>
      <c r="L985" s="144">
        <f t="shared" si="64"/>
        <v>47859.28</v>
      </c>
      <c r="M985" s="144">
        <f t="shared" si="65"/>
        <v>47859.28</v>
      </c>
      <c r="N985" s="145" t="s">
        <v>1776</v>
      </c>
      <c r="O985" s="125"/>
    </row>
    <row r="986" spans="1:15" ht="15" customHeight="1" x14ac:dyDescent="0.3">
      <c r="A986" s="90" t="s">
        <v>238</v>
      </c>
      <c r="B986" s="90" t="s">
        <v>871</v>
      </c>
      <c r="C986" s="90" t="s">
        <v>872</v>
      </c>
      <c r="D986" s="90" t="s">
        <v>1779</v>
      </c>
      <c r="E986" s="90" t="s">
        <v>1395</v>
      </c>
      <c r="F986" s="90" t="s">
        <v>1780</v>
      </c>
      <c r="G986" s="89">
        <v>51530.07</v>
      </c>
      <c r="H986" s="141" t="str">
        <f t="shared" si="66"/>
        <v>161451500935</v>
      </c>
      <c r="I986" s="142">
        <v>0</v>
      </c>
      <c r="J986" s="142" t="s">
        <v>1863</v>
      </c>
      <c r="K986" s="143">
        <f t="shared" si="63"/>
        <v>0</v>
      </c>
      <c r="L986" s="144">
        <f t="shared" si="64"/>
        <v>51530.07</v>
      </c>
      <c r="M986" s="144">
        <f t="shared" si="65"/>
        <v>51530.07</v>
      </c>
      <c r="N986" s="145" t="s">
        <v>1776</v>
      </c>
      <c r="O986" s="125"/>
    </row>
    <row r="987" spans="1:15" ht="15" customHeight="1" x14ac:dyDescent="0.3">
      <c r="A987" s="90" t="s">
        <v>238</v>
      </c>
      <c r="B987" s="90" t="s">
        <v>1804</v>
      </c>
      <c r="C987" s="90" t="s">
        <v>1805</v>
      </c>
      <c r="D987" s="90" t="s">
        <v>1779</v>
      </c>
      <c r="E987" s="90" t="s">
        <v>1395</v>
      </c>
      <c r="F987" s="90" t="s">
        <v>1780</v>
      </c>
      <c r="G987" s="89">
        <v>62071.17</v>
      </c>
      <c r="H987" s="141" t="str">
        <f t="shared" si="66"/>
        <v>161051500935</v>
      </c>
      <c r="I987" s="142">
        <v>0</v>
      </c>
      <c r="J987" s="142" t="s">
        <v>1863</v>
      </c>
      <c r="K987" s="143">
        <f t="shared" si="63"/>
        <v>0</v>
      </c>
      <c r="L987" s="144">
        <f t="shared" si="64"/>
        <v>62071.17</v>
      </c>
      <c r="M987" s="144">
        <f t="shared" si="65"/>
        <v>62071.17</v>
      </c>
      <c r="N987" s="145" t="s">
        <v>1776</v>
      </c>
      <c r="O987" s="125"/>
    </row>
    <row r="988" spans="1:15" ht="15" customHeight="1" x14ac:dyDescent="0.3">
      <c r="A988" s="90" t="s">
        <v>238</v>
      </c>
      <c r="B988" s="90" t="s">
        <v>1850</v>
      </c>
      <c r="C988" s="90" t="s">
        <v>1851</v>
      </c>
      <c r="D988" s="90" t="s">
        <v>1779</v>
      </c>
      <c r="E988" s="90" t="s">
        <v>1395</v>
      </c>
      <c r="F988" s="90" t="s">
        <v>1780</v>
      </c>
      <c r="G988" s="89">
        <v>63767.49</v>
      </c>
      <c r="H988" s="141" t="str">
        <f t="shared" si="66"/>
        <v>161391500935</v>
      </c>
      <c r="I988" s="142">
        <v>1</v>
      </c>
      <c r="J988" s="142" t="s">
        <v>1484</v>
      </c>
      <c r="K988" s="143">
        <f t="shared" si="63"/>
        <v>63767.49</v>
      </c>
      <c r="L988" s="144">
        <f t="shared" si="64"/>
        <v>0</v>
      </c>
      <c r="M988" s="144">
        <f t="shared" si="65"/>
        <v>63767.49</v>
      </c>
      <c r="N988" s="145" t="s">
        <v>1776</v>
      </c>
      <c r="O988" s="125"/>
    </row>
    <row r="989" spans="1:15" ht="15" customHeight="1" x14ac:dyDescent="0.3">
      <c r="A989" s="90" t="s">
        <v>238</v>
      </c>
      <c r="B989" s="90" t="s">
        <v>639</v>
      </c>
      <c r="C989" s="90" t="s">
        <v>640</v>
      </c>
      <c r="D989" s="90" t="s">
        <v>1779</v>
      </c>
      <c r="E989" s="90" t="s">
        <v>1395</v>
      </c>
      <c r="F989" s="90" t="s">
        <v>1780</v>
      </c>
      <c r="G989" s="89">
        <v>65267.37</v>
      </c>
      <c r="H989" s="141" t="str">
        <f t="shared" si="66"/>
        <v>161001500935</v>
      </c>
      <c r="I989" s="142">
        <v>0.11209999999999998</v>
      </c>
      <c r="J989" s="142" t="s">
        <v>1864</v>
      </c>
      <c r="K989" s="143">
        <f t="shared" si="63"/>
        <v>7316.4721769999987</v>
      </c>
      <c r="L989" s="144">
        <f t="shared" si="64"/>
        <v>57950.897823000007</v>
      </c>
      <c r="M989" s="144">
        <f t="shared" si="65"/>
        <v>65267.37</v>
      </c>
      <c r="N989" s="145" t="s">
        <v>1776</v>
      </c>
      <c r="O989" s="125"/>
    </row>
    <row r="990" spans="1:15" ht="15" customHeight="1" x14ac:dyDescent="0.3">
      <c r="A990" s="90" t="s">
        <v>238</v>
      </c>
      <c r="B990" s="90" t="s">
        <v>639</v>
      </c>
      <c r="C990" s="90" t="s">
        <v>640</v>
      </c>
      <c r="D990" s="90" t="s">
        <v>1852</v>
      </c>
      <c r="E990" s="90" t="s">
        <v>1853</v>
      </c>
      <c r="F990" s="90" t="s">
        <v>1854</v>
      </c>
      <c r="G990" s="89">
        <v>65797.009999999995</v>
      </c>
      <c r="H990" s="141" t="str">
        <f t="shared" si="66"/>
        <v>161005140935</v>
      </c>
      <c r="I990" s="142">
        <v>0</v>
      </c>
      <c r="J990" s="142" t="s">
        <v>1863</v>
      </c>
      <c r="K990" s="143">
        <f t="shared" si="63"/>
        <v>0</v>
      </c>
      <c r="L990" s="144">
        <f t="shared" si="64"/>
        <v>65797.009999999995</v>
      </c>
      <c r="M990" s="144">
        <f t="shared" si="65"/>
        <v>65797.009999999995</v>
      </c>
      <c r="N990" s="145" t="s">
        <v>1776</v>
      </c>
      <c r="O990" s="125"/>
    </row>
    <row r="991" spans="1:15" ht="15" customHeight="1" x14ac:dyDescent="0.3">
      <c r="A991" s="90" t="s">
        <v>238</v>
      </c>
      <c r="B991" s="90" t="s">
        <v>686</v>
      </c>
      <c r="C991" s="90" t="s">
        <v>687</v>
      </c>
      <c r="D991" s="90" t="s">
        <v>1784</v>
      </c>
      <c r="E991" s="90" t="s">
        <v>1767</v>
      </c>
      <c r="F991" s="90" t="s">
        <v>1785</v>
      </c>
      <c r="G991" s="89">
        <v>87461.01999999999</v>
      </c>
      <c r="H991" s="141" t="str">
        <f t="shared" si="66"/>
        <v>131005010935</v>
      </c>
      <c r="I991" s="142">
        <v>0.11209999999999998</v>
      </c>
      <c r="J991" s="142" t="s">
        <v>1864</v>
      </c>
      <c r="K991" s="143">
        <f t="shared" si="63"/>
        <v>9804.3803419999967</v>
      </c>
      <c r="L991" s="144">
        <f t="shared" si="64"/>
        <v>77656.639658</v>
      </c>
      <c r="M991" s="144">
        <f t="shared" si="65"/>
        <v>87461.01999999999</v>
      </c>
      <c r="N991" s="145" t="s">
        <v>1776</v>
      </c>
      <c r="O991" s="125"/>
    </row>
    <row r="992" spans="1:15" ht="15" customHeight="1" x14ac:dyDescent="0.3">
      <c r="A992" s="90" t="s">
        <v>238</v>
      </c>
      <c r="B992" s="90" t="s">
        <v>686</v>
      </c>
      <c r="C992" s="90" t="s">
        <v>687</v>
      </c>
      <c r="D992" s="90" t="s">
        <v>1825</v>
      </c>
      <c r="E992" s="90" t="s">
        <v>1826</v>
      </c>
      <c r="F992" s="90" t="s">
        <v>1827</v>
      </c>
      <c r="G992" s="89">
        <v>99788.63</v>
      </c>
      <c r="H992" s="141" t="str">
        <f t="shared" si="66"/>
        <v>131005005935</v>
      </c>
      <c r="I992" s="142">
        <v>0.11209999999999998</v>
      </c>
      <c r="J992" s="142" t="s">
        <v>1864</v>
      </c>
      <c r="K992" s="143">
        <f t="shared" si="63"/>
        <v>11186.305422999998</v>
      </c>
      <c r="L992" s="144">
        <f t="shared" si="64"/>
        <v>88602.324577000007</v>
      </c>
      <c r="M992" s="144">
        <f t="shared" si="65"/>
        <v>99788.63</v>
      </c>
      <c r="N992" s="145" t="s">
        <v>1776</v>
      </c>
      <c r="O992" s="125"/>
    </row>
    <row r="993" spans="1:15" ht="15" customHeight="1" x14ac:dyDescent="0.3">
      <c r="A993" s="90" t="s">
        <v>238</v>
      </c>
      <c r="B993" s="90" t="s">
        <v>688</v>
      </c>
      <c r="C993" s="90" t="s">
        <v>689</v>
      </c>
      <c r="D993" s="90" t="s">
        <v>1795</v>
      </c>
      <c r="E993" s="90" t="s">
        <v>1796</v>
      </c>
      <c r="F993" s="90" t="s">
        <v>1797</v>
      </c>
      <c r="G993" s="89">
        <v>105086.15000000001</v>
      </c>
      <c r="H993" s="141" t="str">
        <f t="shared" si="66"/>
        <v>111001045935</v>
      </c>
      <c r="I993" s="142">
        <v>0.11209999999999998</v>
      </c>
      <c r="J993" s="142" t="s">
        <v>1864</v>
      </c>
      <c r="K993" s="143">
        <f t="shared" si="63"/>
        <v>11780.157414999998</v>
      </c>
      <c r="L993" s="144">
        <f t="shared" si="64"/>
        <v>93305.992585000015</v>
      </c>
      <c r="M993" s="144">
        <f t="shared" si="65"/>
        <v>105086.15000000001</v>
      </c>
      <c r="N993" s="145" t="s">
        <v>1776</v>
      </c>
      <c r="O993" s="125"/>
    </row>
    <row r="994" spans="1:15" ht="15" customHeight="1" x14ac:dyDescent="0.3">
      <c r="A994" s="90" t="s">
        <v>238</v>
      </c>
      <c r="B994" s="90" t="s">
        <v>1855</v>
      </c>
      <c r="C994" s="90" t="s">
        <v>1856</v>
      </c>
      <c r="D994" s="90" t="s">
        <v>1779</v>
      </c>
      <c r="E994" s="90" t="s">
        <v>1395</v>
      </c>
      <c r="F994" s="90" t="s">
        <v>1780</v>
      </c>
      <c r="G994" s="89">
        <v>128466.82</v>
      </c>
      <c r="H994" s="141" t="str">
        <f t="shared" si="66"/>
        <v>161401500935</v>
      </c>
      <c r="I994" s="142">
        <v>0</v>
      </c>
      <c r="J994" s="142" t="s">
        <v>1863</v>
      </c>
      <c r="K994" s="143">
        <f t="shared" si="63"/>
        <v>0</v>
      </c>
      <c r="L994" s="144">
        <f t="shared" si="64"/>
        <v>128466.82</v>
      </c>
      <c r="M994" s="144">
        <f t="shared" si="65"/>
        <v>128466.82</v>
      </c>
      <c r="N994" s="145" t="s">
        <v>1776</v>
      </c>
      <c r="O994" s="125"/>
    </row>
    <row r="995" spans="1:15" ht="15" customHeight="1" x14ac:dyDescent="0.3">
      <c r="A995" s="90" t="s">
        <v>238</v>
      </c>
      <c r="B995" s="90" t="s">
        <v>1266</v>
      </c>
      <c r="C995" s="90" t="s">
        <v>1267</v>
      </c>
      <c r="D995" s="90" t="s">
        <v>1798</v>
      </c>
      <c r="E995" s="90" t="s">
        <v>697</v>
      </c>
      <c r="F995" s="90" t="s">
        <v>1799</v>
      </c>
      <c r="G995" s="89">
        <v>134801.33000000002</v>
      </c>
      <c r="H995" s="141" t="str">
        <f t="shared" si="66"/>
        <v>115401295935</v>
      </c>
      <c r="I995" s="142">
        <v>0.11160000000000003</v>
      </c>
      <c r="J995" s="142" t="s">
        <v>1871</v>
      </c>
      <c r="K995" s="143">
        <f t="shared" si="63"/>
        <v>15043.828428000006</v>
      </c>
      <c r="L995" s="144">
        <f t="shared" si="64"/>
        <v>119757.50157200001</v>
      </c>
      <c r="M995" s="144">
        <f t="shared" si="65"/>
        <v>134801.33000000002</v>
      </c>
      <c r="N995" s="145" t="s">
        <v>1776</v>
      </c>
      <c r="O995" s="125"/>
    </row>
    <row r="996" spans="1:15" ht="15" customHeight="1" x14ac:dyDescent="0.3">
      <c r="A996" s="90" t="s">
        <v>238</v>
      </c>
      <c r="B996" s="90" t="s">
        <v>639</v>
      </c>
      <c r="C996" s="90" t="s">
        <v>640</v>
      </c>
      <c r="D996" s="90" t="s">
        <v>1792</v>
      </c>
      <c r="E996" s="90" t="s">
        <v>1793</v>
      </c>
      <c r="F996" s="90" t="s">
        <v>1794</v>
      </c>
      <c r="G996" s="89">
        <v>186223.78000000003</v>
      </c>
      <c r="H996" s="141" t="str">
        <f t="shared" si="66"/>
        <v>161004360935</v>
      </c>
      <c r="I996" s="142">
        <v>0.11209999999999998</v>
      </c>
      <c r="J996" s="142" t="s">
        <v>1864</v>
      </c>
      <c r="K996" s="143">
        <f t="shared" si="63"/>
        <v>20875.685738</v>
      </c>
      <c r="L996" s="144">
        <f t="shared" si="64"/>
        <v>165348.09426200003</v>
      </c>
      <c r="M996" s="144">
        <f t="shared" si="65"/>
        <v>186223.78000000003</v>
      </c>
      <c r="N996" s="145" t="s">
        <v>1776</v>
      </c>
      <c r="O996" s="125"/>
    </row>
    <row r="997" spans="1:15" ht="15" customHeight="1" x14ac:dyDescent="0.3">
      <c r="A997" s="90" t="s">
        <v>238</v>
      </c>
      <c r="B997" s="90" t="s">
        <v>686</v>
      </c>
      <c r="C997" s="90" t="s">
        <v>687</v>
      </c>
      <c r="D997" s="90" t="s">
        <v>1857</v>
      </c>
      <c r="E997" s="90" t="s">
        <v>1231</v>
      </c>
      <c r="F997" s="90" t="s">
        <v>1858</v>
      </c>
      <c r="G997" s="89">
        <v>329818.44999999995</v>
      </c>
      <c r="H997" s="141" t="str">
        <f t="shared" si="66"/>
        <v>131005015935</v>
      </c>
      <c r="I997" s="142">
        <v>0.11209999999999998</v>
      </c>
      <c r="J997" s="142" t="s">
        <v>1864</v>
      </c>
      <c r="K997" s="143">
        <f t="shared" si="63"/>
        <v>36972.648244999989</v>
      </c>
      <c r="L997" s="144">
        <f t="shared" si="64"/>
        <v>292845.80175499996</v>
      </c>
      <c r="M997" s="144">
        <f t="shared" si="65"/>
        <v>329818.44999999995</v>
      </c>
      <c r="N997" s="145" t="s">
        <v>1776</v>
      </c>
      <c r="O997" s="125"/>
    </row>
    <row r="998" spans="1:15" ht="15" customHeight="1" x14ac:dyDescent="0.3">
      <c r="A998" s="90" t="s">
        <v>238</v>
      </c>
      <c r="B998" s="90" t="s">
        <v>639</v>
      </c>
      <c r="C998" s="90" t="s">
        <v>640</v>
      </c>
      <c r="D998" s="90" t="s">
        <v>1798</v>
      </c>
      <c r="E998" s="90" t="s">
        <v>697</v>
      </c>
      <c r="F998" s="90" t="s">
        <v>1799</v>
      </c>
      <c r="G998" s="89">
        <v>408404.18</v>
      </c>
      <c r="H998" s="141" t="str">
        <f t="shared" si="66"/>
        <v>161001295935</v>
      </c>
      <c r="I998" s="142">
        <v>0.11209999999999998</v>
      </c>
      <c r="J998" s="142" t="s">
        <v>1864</v>
      </c>
      <c r="K998" s="143">
        <f t="shared" si="63"/>
        <v>45782.108577999992</v>
      </c>
      <c r="L998" s="144">
        <f t="shared" si="64"/>
        <v>362622.07142200001</v>
      </c>
      <c r="M998" s="144">
        <f t="shared" si="65"/>
        <v>408404.18</v>
      </c>
      <c r="N998" s="145" t="s">
        <v>1776</v>
      </c>
      <c r="O998" s="125"/>
    </row>
    <row r="999" spans="1:15" ht="15" customHeight="1" x14ac:dyDescent="0.3">
      <c r="A999" s="90" t="s">
        <v>238</v>
      </c>
      <c r="B999" s="90" t="s">
        <v>1859</v>
      </c>
      <c r="C999" s="90" t="s">
        <v>1860</v>
      </c>
      <c r="D999" s="90" t="s">
        <v>1800</v>
      </c>
      <c r="E999" s="90" t="s">
        <v>704</v>
      </c>
      <c r="F999" s="90" t="s">
        <v>1801</v>
      </c>
      <c r="G999" s="89">
        <v>412590.92</v>
      </c>
      <c r="H999" s="141" t="str">
        <f t="shared" si="66"/>
        <v>155021505935</v>
      </c>
      <c r="I999" s="142">
        <v>0.11209999999999998</v>
      </c>
      <c r="J999" s="142" t="s">
        <v>1864</v>
      </c>
      <c r="K999" s="143">
        <f t="shared" si="63"/>
        <v>46251.442131999989</v>
      </c>
      <c r="L999" s="144">
        <f t="shared" si="64"/>
        <v>366339.47786799999</v>
      </c>
      <c r="M999" s="144">
        <f t="shared" si="65"/>
        <v>412590.92</v>
      </c>
      <c r="N999" s="145" t="s">
        <v>1776</v>
      </c>
      <c r="O999" s="125"/>
    </row>
    <row r="1000" spans="1:15" ht="15" customHeight="1" x14ac:dyDescent="0.3">
      <c r="A1000" s="90" t="s">
        <v>238</v>
      </c>
      <c r="B1000" s="90" t="s">
        <v>1813</v>
      </c>
      <c r="C1000" s="90" t="s">
        <v>1814</v>
      </c>
      <c r="D1000" s="90" t="s">
        <v>1779</v>
      </c>
      <c r="E1000" s="90" t="s">
        <v>1395</v>
      </c>
      <c r="F1000" s="90" t="s">
        <v>1780</v>
      </c>
      <c r="G1000" s="89">
        <v>515199.94</v>
      </c>
      <c r="H1000" s="141" t="str">
        <f t="shared" si="66"/>
        <v>161351500935</v>
      </c>
      <c r="I1000" s="142">
        <v>0.11209999999999998</v>
      </c>
      <c r="J1000" s="142" t="s">
        <v>1864</v>
      </c>
      <c r="K1000" s="143">
        <f t="shared" si="63"/>
        <v>57753.913273999991</v>
      </c>
      <c r="L1000" s="144">
        <f t="shared" si="64"/>
        <v>457446.02672600001</v>
      </c>
      <c r="M1000" s="144">
        <f t="shared" si="65"/>
        <v>515199.94</v>
      </c>
      <c r="N1000" s="145" t="s">
        <v>1776</v>
      </c>
      <c r="O1000" s="125"/>
    </row>
    <row r="1001" spans="1:15" ht="15" customHeight="1" x14ac:dyDescent="0.3">
      <c r="A1001" s="90" t="s">
        <v>238</v>
      </c>
      <c r="B1001" s="90" t="s">
        <v>1278</v>
      </c>
      <c r="C1001" s="90" t="s">
        <v>1279</v>
      </c>
      <c r="D1001" s="90" t="s">
        <v>1800</v>
      </c>
      <c r="E1001" s="90" t="s">
        <v>704</v>
      </c>
      <c r="F1001" s="90" t="s">
        <v>1801</v>
      </c>
      <c r="G1001" s="89">
        <v>675658.23</v>
      </c>
      <c r="H1001" s="141" t="str">
        <f t="shared" si="66"/>
        <v>510401505935</v>
      </c>
      <c r="I1001" s="142">
        <v>0.11209999999999998</v>
      </c>
      <c r="J1001" s="142" t="s">
        <v>1864</v>
      </c>
      <c r="K1001" s="143">
        <f t="shared" si="63"/>
        <v>75741.287582999983</v>
      </c>
      <c r="L1001" s="144">
        <f t="shared" si="64"/>
        <v>599916.94241699995</v>
      </c>
      <c r="M1001" s="144">
        <f t="shared" si="65"/>
        <v>675658.23</v>
      </c>
      <c r="N1001" s="145" t="s">
        <v>1776</v>
      </c>
      <c r="O1001" s="125"/>
    </row>
  </sheetData>
  <autoFilter ref="A23:O23"/>
  <mergeCells count="1">
    <mergeCell ref="O19:O20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25"/>
  <sheetViews>
    <sheetView zoomScale="85" zoomScaleNormal="85" workbookViewId="0">
      <selection activeCell="D20" sqref="D20"/>
    </sheetView>
  </sheetViews>
  <sheetFormatPr defaultColWidth="9.109375" defaultRowHeight="14.4" x14ac:dyDescent="0.3"/>
  <cols>
    <col min="1" max="1" width="9.109375" style="7"/>
    <col min="2" max="2" width="5.88671875" style="7" bestFit="1" customWidth="1"/>
    <col min="3" max="3" width="9.109375" style="7"/>
    <col min="4" max="4" width="15.5546875" style="7" bestFit="1" customWidth="1"/>
    <col min="5" max="5" width="8.44140625" style="7" bestFit="1" customWidth="1"/>
    <col min="6" max="6" width="36.33203125" style="7" bestFit="1" customWidth="1"/>
    <col min="7" max="7" width="15.33203125" style="7" bestFit="1" customWidth="1"/>
    <col min="8" max="9" width="19.88671875" style="7" bestFit="1" customWidth="1"/>
    <col min="10" max="10" width="9.109375" style="7"/>
    <col min="11" max="11" width="31.109375" style="7" bestFit="1" customWidth="1"/>
    <col min="12" max="12" width="10" style="7" bestFit="1" customWidth="1"/>
    <col min="13" max="13" width="12.33203125" style="7" bestFit="1" customWidth="1"/>
    <col min="14" max="15" width="11" style="7" bestFit="1" customWidth="1"/>
    <col min="16" max="19" width="12.109375" style="7" bestFit="1" customWidth="1"/>
    <col min="20" max="20" width="15.5546875" style="7" bestFit="1" customWidth="1"/>
    <col min="21" max="16384" width="9.109375" style="7"/>
  </cols>
  <sheetData>
    <row r="5" spans="2:21" x14ac:dyDescent="0.3">
      <c r="G5" s="644" t="s">
        <v>552</v>
      </c>
      <c r="H5" s="127" t="s">
        <v>553</v>
      </c>
      <c r="I5" s="127" t="s">
        <v>554</v>
      </c>
      <c r="K5" s="45"/>
      <c r="L5" s="92" t="s">
        <v>475</v>
      </c>
      <c r="M5" s="647" t="s">
        <v>433</v>
      </c>
      <c r="N5" s="647" t="s">
        <v>434</v>
      </c>
      <c r="O5" s="647" t="s">
        <v>435</v>
      </c>
      <c r="P5" s="647" t="s">
        <v>436</v>
      </c>
      <c r="Q5" s="647" t="s">
        <v>437</v>
      </c>
      <c r="R5" s="648" t="s">
        <v>438</v>
      </c>
    </row>
    <row r="6" spans="2:21" ht="21.6" x14ac:dyDescent="0.3">
      <c r="B6" s="85" t="s">
        <v>555</v>
      </c>
      <c r="C6" s="85" t="s">
        <v>556</v>
      </c>
      <c r="D6" s="85" t="s">
        <v>557</v>
      </c>
      <c r="E6" s="85" t="s">
        <v>558</v>
      </c>
      <c r="F6" s="85" t="s">
        <v>559</v>
      </c>
      <c r="G6" s="86" t="s">
        <v>560</v>
      </c>
      <c r="H6" s="86" t="s">
        <v>560</v>
      </c>
      <c r="I6" s="86" t="s">
        <v>560</v>
      </c>
      <c r="K6" s="655" t="s">
        <v>1897</v>
      </c>
      <c r="L6" s="656">
        <f>SUM(M6:R6)</f>
        <v>97344.82666666666</v>
      </c>
      <c r="M6" s="97">
        <f t="shared" ref="M6:R6" si="0">SUM(M7:M9)</f>
        <v>1023.8954679510348</v>
      </c>
      <c r="N6" s="97">
        <f t="shared" si="0"/>
        <v>82363.935952210144</v>
      </c>
      <c r="O6" s="97">
        <f t="shared" si="0"/>
        <v>12135.895422840802</v>
      </c>
      <c r="P6" s="97">
        <f t="shared" si="0"/>
        <v>1588.9377956686062</v>
      </c>
      <c r="Q6" s="97">
        <f t="shared" si="0"/>
        <v>212.46445201671762</v>
      </c>
      <c r="R6" s="98">
        <f t="shared" si="0"/>
        <v>19.697575979362888</v>
      </c>
      <c r="U6" s="94" t="b">
        <f>L6=SUM(L7:L9)</f>
        <v>1</v>
      </c>
    </row>
    <row r="7" spans="2:21" x14ac:dyDescent="0.3">
      <c r="B7" s="87" t="s">
        <v>207</v>
      </c>
      <c r="C7" s="87" t="s">
        <v>561</v>
      </c>
      <c r="D7" s="88" t="s">
        <v>562</v>
      </c>
      <c r="E7" s="88" t="s">
        <v>563</v>
      </c>
      <c r="F7" s="88" t="s">
        <v>564</v>
      </c>
      <c r="G7" s="89">
        <v>391298.49000000011</v>
      </c>
      <c r="H7" s="89">
        <v>633332.18999999994</v>
      </c>
      <c r="I7" s="89">
        <v>643285.64</v>
      </c>
      <c r="K7" s="657" t="str">
        <f>F17</f>
        <v>NET WA Residential Writeoffs</v>
      </c>
      <c r="L7" s="649">
        <f>AVERAGE(G17:I17)</f>
        <v>83313.25</v>
      </c>
      <c r="M7" s="646">
        <f t="shared" ref="M7:R9" si="1">$L7*M11/$L11</f>
        <v>949.31404778985734</v>
      </c>
      <c r="N7" s="646">
        <f t="shared" si="1"/>
        <v>82363.935952210144</v>
      </c>
      <c r="O7" s="646">
        <f t="shared" si="1"/>
        <v>0</v>
      </c>
      <c r="P7" s="646">
        <f t="shared" si="1"/>
        <v>0</v>
      </c>
      <c r="Q7" s="646">
        <f t="shared" si="1"/>
        <v>0</v>
      </c>
      <c r="R7" s="658">
        <f t="shared" si="1"/>
        <v>0</v>
      </c>
    </row>
    <row r="8" spans="2:21" x14ac:dyDescent="0.3">
      <c r="B8" s="87" t="s">
        <v>207</v>
      </c>
      <c r="C8" s="87" t="s">
        <v>561</v>
      </c>
      <c r="D8" s="88" t="s">
        <v>562</v>
      </c>
      <c r="E8" s="88" t="s">
        <v>565</v>
      </c>
      <c r="F8" s="88" t="s">
        <v>566</v>
      </c>
      <c r="G8" s="89">
        <v>74370.89</v>
      </c>
      <c r="H8" s="89">
        <v>104463.09</v>
      </c>
      <c r="I8" s="89">
        <v>51235.4</v>
      </c>
      <c r="K8" s="657" t="str">
        <f>F21</f>
        <v>NET WA Commerical Writeoffs</v>
      </c>
      <c r="L8" s="649">
        <f>AVERAGE(G21:I21)</f>
        <v>14031.576666666666</v>
      </c>
      <c r="M8" s="646">
        <f t="shared" si="1"/>
        <v>74.581420161177419</v>
      </c>
      <c r="N8" s="646">
        <f t="shared" si="1"/>
        <v>0</v>
      </c>
      <c r="O8" s="646">
        <f t="shared" si="1"/>
        <v>12135.895422840802</v>
      </c>
      <c r="P8" s="646">
        <f t="shared" si="1"/>
        <v>1588.9377956686062</v>
      </c>
      <c r="Q8" s="646">
        <f t="shared" si="1"/>
        <v>212.46445201671762</v>
      </c>
      <c r="R8" s="658">
        <f t="shared" si="1"/>
        <v>19.697575979362888</v>
      </c>
    </row>
    <row r="9" spans="2:21" x14ac:dyDescent="0.3">
      <c r="B9" s="87" t="s">
        <v>207</v>
      </c>
      <c r="C9" s="87" t="s">
        <v>561</v>
      </c>
      <c r="D9" s="88" t="s">
        <v>562</v>
      </c>
      <c r="E9" s="88" t="s">
        <v>567</v>
      </c>
      <c r="F9" s="88" t="s">
        <v>568</v>
      </c>
      <c r="G9" s="89">
        <v>878.80999999999813</v>
      </c>
      <c r="H9" s="89">
        <v>35428.480000000003</v>
      </c>
      <c r="I9" s="89">
        <v>103685.44</v>
      </c>
      <c r="K9" s="657" t="s">
        <v>1896</v>
      </c>
      <c r="L9" s="649">
        <v>0</v>
      </c>
      <c r="M9" s="646">
        <f t="shared" si="1"/>
        <v>0</v>
      </c>
      <c r="N9" s="646">
        <f t="shared" si="1"/>
        <v>0</v>
      </c>
      <c r="O9" s="646">
        <f t="shared" si="1"/>
        <v>0</v>
      </c>
      <c r="P9" s="646">
        <f t="shared" si="1"/>
        <v>0</v>
      </c>
      <c r="Q9" s="646">
        <f t="shared" si="1"/>
        <v>0</v>
      </c>
      <c r="R9" s="658">
        <f t="shared" si="1"/>
        <v>0</v>
      </c>
    </row>
    <row r="10" spans="2:21" x14ac:dyDescent="0.3">
      <c r="B10" s="87" t="s">
        <v>207</v>
      </c>
      <c r="C10" s="87" t="s">
        <v>561</v>
      </c>
      <c r="D10" s="90" t="s">
        <v>562</v>
      </c>
      <c r="E10" s="90" t="s">
        <v>569</v>
      </c>
      <c r="F10" s="90" t="s">
        <v>568</v>
      </c>
      <c r="G10" s="89">
        <v>3674.5299999999997</v>
      </c>
      <c r="H10" s="89">
        <v>1241.74</v>
      </c>
      <c r="I10" s="89">
        <v>10765.95</v>
      </c>
      <c r="K10" s="657"/>
      <c r="L10" s="125"/>
      <c r="M10" s="125"/>
      <c r="N10" s="125"/>
      <c r="O10" s="125"/>
      <c r="P10" s="125"/>
      <c r="Q10" s="125"/>
      <c r="R10" s="652"/>
    </row>
    <row r="11" spans="2:21" x14ac:dyDescent="0.3">
      <c r="B11" s="87" t="s">
        <v>207</v>
      </c>
      <c r="C11" s="87" t="s">
        <v>561</v>
      </c>
      <c r="D11" s="88" t="s">
        <v>562</v>
      </c>
      <c r="E11" s="88" t="s">
        <v>570</v>
      </c>
      <c r="F11" s="88" t="s">
        <v>571</v>
      </c>
      <c r="G11" s="89">
        <v>62300</v>
      </c>
      <c r="H11" s="89">
        <v>546910</v>
      </c>
      <c r="I11" s="89">
        <v>43000</v>
      </c>
      <c r="K11" s="657" t="s">
        <v>587</v>
      </c>
      <c r="L11" s="409">
        <f>SUM(M11:R11)</f>
        <v>75504.166666666657</v>
      </c>
      <c r="M11" s="650">
        <f>Customers!R18</f>
        <v>860.33333333333337</v>
      </c>
      <c r="N11" s="650">
        <f>Customers!S18</f>
        <v>74643.833333333328</v>
      </c>
      <c r="O11" s="650">
        <f>Customers!T18</f>
        <v>0</v>
      </c>
      <c r="P11" s="650">
        <f>Customers!U18</f>
        <v>0</v>
      </c>
      <c r="Q11" s="650">
        <f>Customers!V18</f>
        <v>0</v>
      </c>
      <c r="R11" s="651">
        <f>Customers!W18</f>
        <v>0</v>
      </c>
    </row>
    <row r="12" spans="2:21" x14ac:dyDescent="0.3">
      <c r="B12" s="87" t="s">
        <v>207</v>
      </c>
      <c r="C12" s="87" t="s">
        <v>561</v>
      </c>
      <c r="D12" s="88" t="s">
        <v>562</v>
      </c>
      <c r="E12" s="88" t="s">
        <v>572</v>
      </c>
      <c r="F12" s="88" t="s">
        <v>573</v>
      </c>
      <c r="G12" s="89">
        <v>1.3642420526593924E-12</v>
      </c>
      <c r="H12" s="89">
        <v>0</v>
      </c>
      <c r="I12" s="89">
        <v>0</v>
      </c>
      <c r="K12" s="657" t="s">
        <v>585</v>
      </c>
      <c r="L12" s="409">
        <f>SUM(M12:R12)</f>
        <v>6945.416666666667</v>
      </c>
      <c r="M12" s="650">
        <f>SUM(Customers!R19,Customers!R23)</f>
        <v>36.916666666666664</v>
      </c>
      <c r="N12" s="650">
        <f>SUM(Customers!S19,Customers!S23)</f>
        <v>0</v>
      </c>
      <c r="O12" s="650">
        <f>SUM(Customers!T19,Customers!T23)</f>
        <v>6007.083333333333</v>
      </c>
      <c r="P12" s="650">
        <f>SUM(Customers!U19,Customers!U23)</f>
        <v>786.5</v>
      </c>
      <c r="Q12" s="650">
        <f>SUM(Customers!V19,Customers!V23)</f>
        <v>105.16666666666666</v>
      </c>
      <c r="R12" s="651">
        <f>SUM(Customers!W19,Customers!W23)</f>
        <v>9.75</v>
      </c>
    </row>
    <row r="13" spans="2:21" x14ac:dyDescent="0.3">
      <c r="B13" s="87" t="s">
        <v>207</v>
      </c>
      <c r="C13" s="87" t="s">
        <v>561</v>
      </c>
      <c r="D13" s="88" t="s">
        <v>562</v>
      </c>
      <c r="E13" s="88" t="s">
        <v>574</v>
      </c>
      <c r="F13" s="88" t="s">
        <v>575</v>
      </c>
      <c r="G13" s="89">
        <v>-7119</v>
      </c>
      <c r="H13" s="89">
        <v>2765</v>
      </c>
      <c r="I13" s="89">
        <v>-5064</v>
      </c>
      <c r="K13" s="659" t="s">
        <v>586</v>
      </c>
      <c r="L13" s="410">
        <f>SUM(M13:R13)</f>
        <v>77.833333333333343</v>
      </c>
      <c r="M13" s="653">
        <f>SUM(Customers!R20:R21,Customers!R24:R25)</f>
        <v>0</v>
      </c>
      <c r="N13" s="653">
        <f>SUM(Customers!S20:S21,Customers!S24:S25)</f>
        <v>0</v>
      </c>
      <c r="O13" s="653">
        <f>SUM(Customers!T20:T21,Customers!T24:T25)</f>
        <v>27.333333333333332</v>
      </c>
      <c r="P13" s="653">
        <f>SUM(Customers!U20:U21,Customers!U24:U25)</f>
        <v>0</v>
      </c>
      <c r="Q13" s="653">
        <f>SUM(Customers!V20:V21,Customers!V24:V25)</f>
        <v>14.916666666666666</v>
      </c>
      <c r="R13" s="654">
        <f>SUM(Customers!W20:W21,Customers!W24:W25)</f>
        <v>35.583333333333336</v>
      </c>
    </row>
    <row r="15" spans="2:21" x14ac:dyDescent="0.3">
      <c r="F15" s="91" t="s">
        <v>576</v>
      </c>
      <c r="G15" s="89">
        <v>213925.08</v>
      </c>
      <c r="H15" s="89">
        <v>231914.03000000003</v>
      </c>
      <c r="I15" s="89">
        <v>216857.04</v>
      </c>
    </row>
    <row r="16" spans="2:21" x14ac:dyDescent="0.3">
      <c r="F16" s="91" t="s">
        <v>577</v>
      </c>
      <c r="G16" s="89">
        <v>-148249.08000000002</v>
      </c>
      <c r="H16" s="89">
        <v>-138347.27000000002</v>
      </c>
      <c r="I16" s="89">
        <v>-126160.05</v>
      </c>
    </row>
    <row r="17" spans="6:9" x14ac:dyDescent="0.3">
      <c r="F17" s="91" t="s">
        <v>578</v>
      </c>
      <c r="G17" s="89">
        <v>65676</v>
      </c>
      <c r="H17" s="89">
        <v>93566.760000000009</v>
      </c>
      <c r="I17" s="89">
        <v>90696.99</v>
      </c>
    </row>
    <row r="18" spans="6:9" x14ac:dyDescent="0.3">
      <c r="F18" s="91"/>
      <c r="G18" s="89"/>
      <c r="H18" s="89"/>
      <c r="I18" s="89"/>
    </row>
    <row r="19" spans="6:9" x14ac:dyDescent="0.3">
      <c r="F19" s="91" t="s">
        <v>579</v>
      </c>
      <c r="G19" s="89">
        <v>12069.830000000002</v>
      </c>
      <c r="H19" s="89">
        <v>18939.539999999997</v>
      </c>
      <c r="I19" s="89">
        <v>19367.86</v>
      </c>
    </row>
    <row r="20" spans="6:9" x14ac:dyDescent="0.3">
      <c r="F20" s="91" t="s">
        <v>580</v>
      </c>
      <c r="G20" s="89">
        <v>-2820.0500000000006</v>
      </c>
      <c r="H20" s="89">
        <v>-1960.5800000000002</v>
      </c>
      <c r="I20" s="89">
        <v>-3501.87</v>
      </c>
    </row>
    <row r="21" spans="6:9" x14ac:dyDescent="0.3">
      <c r="F21" s="91" t="s">
        <v>581</v>
      </c>
      <c r="G21" s="89">
        <v>9249.7799999999988</v>
      </c>
      <c r="H21" s="89">
        <v>16978.96</v>
      </c>
      <c r="I21" s="89">
        <v>15865.989999999998</v>
      </c>
    </row>
    <row r="22" spans="6:9" x14ac:dyDescent="0.3">
      <c r="F22" s="91"/>
      <c r="G22" s="89"/>
      <c r="H22" s="89"/>
      <c r="I22" s="89"/>
    </row>
    <row r="23" spans="6:9" x14ac:dyDescent="0.3">
      <c r="F23" s="91" t="s">
        <v>582</v>
      </c>
      <c r="G23" s="89">
        <v>225994.91</v>
      </c>
      <c r="H23" s="89">
        <v>250853.56999999995</v>
      </c>
      <c r="I23" s="89">
        <v>236224.9</v>
      </c>
    </row>
    <row r="24" spans="6:9" x14ac:dyDescent="0.3">
      <c r="F24" s="91" t="s">
        <v>583</v>
      </c>
      <c r="G24" s="89">
        <v>-151069.13</v>
      </c>
      <c r="H24" s="89">
        <v>-140307.84999999998</v>
      </c>
      <c r="I24" s="89">
        <v>-129661.91999999998</v>
      </c>
    </row>
    <row r="25" spans="6:9" x14ac:dyDescent="0.3">
      <c r="F25" s="91" t="s">
        <v>584</v>
      </c>
      <c r="G25" s="89">
        <v>74925.78</v>
      </c>
      <c r="H25" s="89">
        <v>110545.72</v>
      </c>
      <c r="I25" s="89">
        <v>106562.98000000001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zoomScale="85" zoomScaleNormal="85" workbookViewId="0">
      <selection activeCell="L6" sqref="L6"/>
    </sheetView>
  </sheetViews>
  <sheetFormatPr defaultRowHeight="14.4" x14ac:dyDescent="0.3"/>
  <cols>
    <col min="1" max="1" width="25.109375" customWidth="1"/>
    <col min="2" max="2" width="19.5546875" bestFit="1" customWidth="1"/>
    <col min="3" max="3" width="13.6640625" bestFit="1" customWidth="1"/>
    <col min="4" max="4" width="12.5546875" bestFit="1" customWidth="1"/>
    <col min="7" max="7" width="20.44140625" customWidth="1"/>
    <col min="8" max="8" width="14.33203125" bestFit="1" customWidth="1"/>
    <col min="9" max="9" width="11.5546875" bestFit="1" customWidth="1"/>
    <col min="10" max="10" width="10.5546875" bestFit="1" customWidth="1"/>
    <col min="11" max="14" width="11.5546875" bestFit="1" customWidth="1"/>
    <col min="15" max="15" width="15.109375" bestFit="1" customWidth="1"/>
  </cols>
  <sheetData>
    <row r="1" spans="1:13" ht="30" thickBot="1" x14ac:dyDescent="0.4">
      <c r="A1" s="301" t="s">
        <v>2312</v>
      </c>
      <c r="G1" s="107" t="s">
        <v>2313</v>
      </c>
    </row>
    <row r="2" spans="1:13" ht="43.2" x14ac:dyDescent="0.3">
      <c r="A2" s="326" t="s">
        <v>556</v>
      </c>
      <c r="B2" s="327"/>
      <c r="C2" s="328" t="s">
        <v>2314</v>
      </c>
      <c r="D2" s="329" t="s">
        <v>2315</v>
      </c>
      <c r="E2" s="84" t="s">
        <v>2367</v>
      </c>
      <c r="G2" s="330">
        <v>760473.19148785353</v>
      </c>
    </row>
    <row r="3" spans="1:13" x14ac:dyDescent="0.3">
      <c r="A3" s="331" t="s">
        <v>2316</v>
      </c>
      <c r="B3" s="101"/>
      <c r="C3" s="101"/>
      <c r="D3" s="332"/>
    </row>
    <row r="4" spans="1:13" x14ac:dyDescent="0.3">
      <c r="A4" s="331"/>
      <c r="B4" s="101" t="s">
        <v>2317</v>
      </c>
      <c r="C4" s="330">
        <v>86320</v>
      </c>
      <c r="D4" s="333">
        <f>C4/G2</f>
        <v>0.1135082748033712</v>
      </c>
      <c r="E4" s="169">
        <f>C4/2080</f>
        <v>41.5</v>
      </c>
    </row>
    <row r="5" spans="1:13" x14ac:dyDescent="0.3">
      <c r="A5" s="331"/>
      <c r="B5" s="101" t="s">
        <v>2318</v>
      </c>
      <c r="C5" s="334">
        <v>74.582447561774558</v>
      </c>
      <c r="D5" s="332"/>
      <c r="G5" s="4" t="s">
        <v>2337</v>
      </c>
    </row>
    <row r="6" spans="1:13" x14ac:dyDescent="0.3">
      <c r="A6" s="331"/>
      <c r="B6" s="101" t="s">
        <v>2319</v>
      </c>
      <c r="C6" s="100">
        <f>C4*C5</f>
        <v>6437956.87353238</v>
      </c>
      <c r="D6" s="335">
        <f>D4*C5</f>
        <v>8.4657249533499286</v>
      </c>
      <c r="G6" s="170">
        <f>Allocators!D21</f>
        <v>82527.416666666657</v>
      </c>
      <c r="H6" s="336">
        <f>D6*G6</f>
        <v>698654.41061050666</v>
      </c>
    </row>
    <row r="7" spans="1:13" x14ac:dyDescent="0.3">
      <c r="A7" s="331"/>
      <c r="B7" s="101"/>
      <c r="C7" s="101"/>
      <c r="D7" s="332"/>
      <c r="G7" s="4"/>
      <c r="H7" s="93"/>
    </row>
    <row r="8" spans="1:13" x14ac:dyDescent="0.3">
      <c r="A8" s="331" t="s">
        <v>2320</v>
      </c>
      <c r="B8" s="101"/>
      <c r="C8" s="101"/>
      <c r="D8" s="332"/>
      <c r="G8" s="4"/>
      <c r="H8" s="93"/>
    </row>
    <row r="9" spans="1:13" x14ac:dyDescent="0.3">
      <c r="A9" s="331"/>
      <c r="B9" s="101" t="s">
        <v>2317</v>
      </c>
      <c r="C9" s="330">
        <v>12480</v>
      </c>
      <c r="D9" s="333">
        <f>C9/G2</f>
        <v>1.6410834911330774E-2</v>
      </c>
      <c r="E9" s="169">
        <f>C9/2080</f>
        <v>6</v>
      </c>
      <c r="G9" s="170">
        <f>G6</f>
        <v>82527.416666666657</v>
      </c>
      <c r="H9" s="336">
        <f>D9*G9</f>
        <v>1354.3438105752743</v>
      </c>
    </row>
    <row r="10" spans="1:13" x14ac:dyDescent="0.3">
      <c r="A10" s="331"/>
      <c r="B10" s="101" t="s">
        <v>2318</v>
      </c>
      <c r="C10" s="337">
        <v>94.132256507625684</v>
      </c>
      <c r="D10" s="332"/>
    </row>
    <row r="11" spans="1:13" ht="15" thickBot="1" x14ac:dyDescent="0.35">
      <c r="A11" s="338"/>
      <c r="B11" s="339" t="s">
        <v>2319</v>
      </c>
      <c r="C11" s="340">
        <f>C9*C10</f>
        <v>1174770.5612151686</v>
      </c>
      <c r="D11" s="341">
        <f>D9*C10</f>
        <v>1.5447889213776871</v>
      </c>
    </row>
    <row r="12" spans="1:13" x14ac:dyDescent="0.3">
      <c r="A12" s="342" t="s">
        <v>2321</v>
      </c>
    </row>
    <row r="13" spans="1:13" x14ac:dyDescent="0.3">
      <c r="G13" s="357" t="s">
        <v>2338</v>
      </c>
      <c r="H13" s="195"/>
      <c r="I13" s="195"/>
      <c r="J13" s="195"/>
      <c r="K13" s="195"/>
      <c r="L13" s="195"/>
      <c r="M13" s="196"/>
    </row>
    <row r="14" spans="1:13" x14ac:dyDescent="0.3">
      <c r="A14" t="s">
        <v>2322</v>
      </c>
      <c r="G14" s="45"/>
      <c r="H14" s="37" t="s">
        <v>433</v>
      </c>
      <c r="I14" s="37" t="s">
        <v>434</v>
      </c>
      <c r="J14" s="37" t="s">
        <v>435</v>
      </c>
      <c r="K14" s="37" t="s">
        <v>436</v>
      </c>
      <c r="L14" s="37" t="s">
        <v>437</v>
      </c>
      <c r="M14" s="38" t="s">
        <v>438</v>
      </c>
    </row>
    <row r="15" spans="1:13" x14ac:dyDescent="0.3">
      <c r="B15" s="84" t="s">
        <v>2323</v>
      </c>
      <c r="C15" s="84" t="s">
        <v>2324</v>
      </c>
      <c r="G15" s="358">
        <f>SUM(H15:O15)</f>
        <v>2410927.6287447982</v>
      </c>
      <c r="H15" s="192">
        <f>SUMPRODUCT($C$16:$C$18,H16:H18)</f>
        <v>25880.307291619145</v>
      </c>
      <c r="I15" s="192">
        <f t="shared" ref="I15:M15" si="0">SUMPRODUCT($C$16:$C$18,I16:I18)</f>
        <v>2148723.8545752014</v>
      </c>
      <c r="J15" s="192">
        <f t="shared" si="0"/>
        <v>182168.04199193328</v>
      </c>
      <c r="K15" s="192">
        <f t="shared" si="0"/>
        <v>23743.001675387935</v>
      </c>
      <c r="L15" s="192">
        <f t="shared" si="0"/>
        <v>22077.733927736233</v>
      </c>
      <c r="M15" s="359">
        <f t="shared" si="0"/>
        <v>8334.6892829205499</v>
      </c>
    </row>
    <row r="16" spans="1:13" x14ac:dyDescent="0.3">
      <c r="A16" t="s">
        <v>525</v>
      </c>
      <c r="B16" s="337">
        <v>27.429709418576145</v>
      </c>
      <c r="C16" s="343">
        <f>((SUM($D$33:$F$33)/100)*$B16)+$B16</f>
        <v>28.786354593818221</v>
      </c>
      <c r="G16" s="364" t="s">
        <v>587</v>
      </c>
      <c r="H16" s="360">
        <f>Customers!R18</f>
        <v>860.33333333333337</v>
      </c>
      <c r="I16" s="360">
        <f>Customers!S18</f>
        <v>74643.833333333328</v>
      </c>
      <c r="J16" s="360">
        <f>Customers!T18</f>
        <v>0</v>
      </c>
      <c r="K16" s="360">
        <f>Customers!U18</f>
        <v>0</v>
      </c>
      <c r="L16" s="360">
        <f>Customers!V18</f>
        <v>0</v>
      </c>
      <c r="M16" s="361">
        <f>Customers!W18</f>
        <v>0</v>
      </c>
    </row>
    <row r="17" spans="1:14" x14ac:dyDescent="0.3">
      <c r="A17" t="s">
        <v>2325</v>
      </c>
      <c r="B17" s="337">
        <v>28.765467211247397</v>
      </c>
      <c r="C17" s="343">
        <f>((SUM($D$33:$F$33)/100)*$B17)+$B17</f>
        <v>30.188177591084468</v>
      </c>
      <c r="G17" s="364" t="s">
        <v>2339</v>
      </c>
      <c r="H17" s="360">
        <f>SUM(Customers!R$19:R$25)</f>
        <v>36.916666666666664</v>
      </c>
      <c r="I17" s="360">
        <f>SUM(Customers!S$19:S$25)</f>
        <v>0</v>
      </c>
      <c r="J17" s="360">
        <f>SUM(Customers!T$19:T$25)</f>
        <v>6034.4166666666661</v>
      </c>
      <c r="K17" s="360">
        <f>SUM(Customers!U$19:U$25)</f>
        <v>786.5</v>
      </c>
      <c r="L17" s="360"/>
      <c r="M17" s="102"/>
    </row>
    <row r="18" spans="1:14" x14ac:dyDescent="0.3">
      <c r="A18" t="s">
        <v>2326</v>
      </c>
      <c r="B18" s="337">
        <v>175.18878328747229</v>
      </c>
      <c r="C18" s="343">
        <f>((SUM($D$33:$F$33)/100)*$B18)+$B18</f>
        <v>183.85344006442389</v>
      </c>
      <c r="G18" s="365" t="s">
        <v>2340</v>
      </c>
      <c r="H18" s="202"/>
      <c r="I18" s="202"/>
      <c r="J18" s="202"/>
      <c r="K18" s="202"/>
      <c r="L18" s="362">
        <f>SUM(Customers!V$19:V$25)</f>
        <v>120.08333333333333</v>
      </c>
      <c r="M18" s="363">
        <f>SUM(Customers!W$19:W$25)</f>
        <v>45.333333333333336</v>
      </c>
    </row>
    <row r="20" spans="1:14" x14ac:dyDescent="0.3">
      <c r="B20" s="343"/>
      <c r="C20" s="343"/>
      <c r="D20" s="343"/>
      <c r="E20" s="343"/>
    </row>
    <row r="21" spans="1:14" x14ac:dyDescent="0.3">
      <c r="A21" s="344" t="s">
        <v>2327</v>
      </c>
      <c r="B21" s="344"/>
      <c r="C21" s="344"/>
      <c r="D21" s="344"/>
      <c r="E21" s="344"/>
      <c r="F21" s="344"/>
      <c r="G21" s="345"/>
      <c r="H21" s="345"/>
      <c r="I21" s="345"/>
      <c r="J21" s="345"/>
      <c r="K21" s="345"/>
      <c r="L21" s="345"/>
      <c r="M21" s="345"/>
      <c r="N21" s="345"/>
    </row>
    <row r="22" spans="1:14" x14ac:dyDescent="0.3">
      <c r="A22" s="344" t="s">
        <v>2328</v>
      </c>
      <c r="B22" s="344"/>
      <c r="C22" s="344"/>
      <c r="D22" s="344"/>
      <c r="E22" s="344"/>
      <c r="F22" s="344"/>
      <c r="G22" s="344"/>
      <c r="H22" s="345"/>
      <c r="I22" s="345"/>
      <c r="J22" s="345"/>
      <c r="K22" s="345"/>
      <c r="L22" s="345"/>
      <c r="M22" s="345"/>
      <c r="N22" s="345"/>
    </row>
    <row r="23" spans="1:14" x14ac:dyDescent="0.3">
      <c r="A23" s="344" t="s">
        <v>2329</v>
      </c>
      <c r="B23" s="344"/>
      <c r="C23" s="344"/>
      <c r="D23" s="344"/>
      <c r="E23" s="344"/>
      <c r="F23" s="344"/>
      <c r="G23" s="344"/>
      <c r="H23" s="345"/>
      <c r="I23" s="345"/>
      <c r="J23" s="345"/>
      <c r="K23" s="345"/>
      <c r="L23" s="345"/>
      <c r="M23" s="345"/>
      <c r="N23" s="345"/>
    </row>
    <row r="24" spans="1:14" x14ac:dyDescent="0.3">
      <c r="A24" s="344" t="s">
        <v>2330</v>
      </c>
      <c r="B24" s="344"/>
      <c r="C24" s="344"/>
      <c r="D24" s="344"/>
      <c r="E24" s="344"/>
      <c r="F24" s="344"/>
      <c r="G24" s="344"/>
      <c r="H24" s="345"/>
      <c r="I24" s="345"/>
      <c r="J24" s="345"/>
      <c r="K24" s="345"/>
      <c r="L24" s="345"/>
      <c r="M24" s="345"/>
      <c r="N24" s="345"/>
    </row>
    <row r="25" spans="1:14" x14ac:dyDescent="0.3">
      <c r="A25" s="346"/>
      <c r="B25" s="347">
        <v>2015</v>
      </c>
      <c r="C25" s="347">
        <v>2016</v>
      </c>
      <c r="D25" s="347">
        <v>2017</v>
      </c>
      <c r="E25" s="347">
        <v>2018</v>
      </c>
      <c r="F25" s="347">
        <v>2019</v>
      </c>
      <c r="G25" s="347">
        <v>2020</v>
      </c>
      <c r="H25" s="347">
        <v>2021</v>
      </c>
      <c r="I25" s="347">
        <v>2022</v>
      </c>
      <c r="J25" s="347">
        <v>2023</v>
      </c>
      <c r="K25" s="347">
        <v>2024</v>
      </c>
      <c r="L25" s="347">
        <v>2025</v>
      </c>
      <c r="M25" s="347">
        <v>2026</v>
      </c>
      <c r="N25" s="347">
        <v>2027</v>
      </c>
    </row>
    <row r="27" spans="1:14" x14ac:dyDescent="0.3">
      <c r="A27" s="348" t="s">
        <v>2331</v>
      </c>
      <c r="B27" s="346"/>
      <c r="C27" s="349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</row>
    <row r="28" spans="1:14" x14ac:dyDescent="0.3">
      <c r="A28" s="350" t="s">
        <v>2332</v>
      </c>
      <c r="B28" s="351">
        <v>1.0451900000000001</v>
      </c>
      <c r="C28" s="351">
        <v>1.0567420000000001</v>
      </c>
      <c r="D28" s="351">
        <v>1.0775600000000001</v>
      </c>
      <c r="E28" s="351">
        <v>1.0942080000000001</v>
      </c>
      <c r="F28" s="351">
        <v>1.1188340000000001</v>
      </c>
      <c r="G28" s="351">
        <v>1.145832</v>
      </c>
      <c r="H28" s="351">
        <v>1.1723520000000001</v>
      </c>
      <c r="I28" s="351">
        <v>1.201295</v>
      </c>
      <c r="J28" s="351">
        <v>1.2279979999999999</v>
      </c>
      <c r="K28" s="351">
        <v>1.2535860000000001</v>
      </c>
      <c r="L28" s="351">
        <v>1.2786690000000001</v>
      </c>
      <c r="M28" s="351">
        <v>1.3039970000000001</v>
      </c>
      <c r="N28" s="351">
        <v>1.3300959999999999</v>
      </c>
    </row>
    <row r="29" spans="1:14" x14ac:dyDescent="0.3">
      <c r="A29" s="352" t="s">
        <v>2060</v>
      </c>
      <c r="B29" s="353">
        <v>-9.5394000000000007E-2</v>
      </c>
      <c r="C29" s="353">
        <v>1.105229</v>
      </c>
      <c r="D29" s="354">
        <v>1.9700409999999999</v>
      </c>
      <c r="E29" s="353">
        <v>1.544948</v>
      </c>
      <c r="F29" s="353">
        <v>2.250578</v>
      </c>
      <c r="G29" s="353">
        <v>2.4130259999999999</v>
      </c>
      <c r="H29" s="353">
        <v>2.3145199999999999</v>
      </c>
      <c r="I29" s="353">
        <v>2.4687549999999998</v>
      </c>
      <c r="J29" s="353">
        <v>2.2228720000000002</v>
      </c>
      <c r="K29" s="353">
        <v>2.0837370000000002</v>
      </c>
      <c r="L29" s="353">
        <v>2.000899</v>
      </c>
      <c r="M29" s="353">
        <v>1.9807509999999999</v>
      </c>
      <c r="N29" s="353">
        <v>2.0014820000000002</v>
      </c>
    </row>
    <row r="30" spans="1:14" x14ac:dyDescent="0.3">
      <c r="A30" s="355" t="s">
        <v>2333</v>
      </c>
      <c r="B30" s="351">
        <v>1.0427249999999999</v>
      </c>
      <c r="C30" s="351">
        <v>1.061008</v>
      </c>
      <c r="D30" s="351">
        <v>1.088749</v>
      </c>
      <c r="E30" s="351">
        <v>1.110147</v>
      </c>
      <c r="F30" s="351">
        <v>1.143297</v>
      </c>
      <c r="G30" s="351">
        <v>1.1773629999999999</v>
      </c>
      <c r="H30" s="351">
        <v>1.2131860000000001</v>
      </c>
      <c r="I30" s="351">
        <v>1.251817</v>
      </c>
      <c r="J30" s="351">
        <v>1.287677</v>
      </c>
      <c r="K30" s="351">
        <v>1.322141</v>
      </c>
      <c r="L30" s="351">
        <v>1.356487</v>
      </c>
      <c r="M30" s="351">
        <v>1.390981</v>
      </c>
      <c r="N30" s="351">
        <v>1.4263760000000001</v>
      </c>
    </row>
    <row r="31" spans="1:14" x14ac:dyDescent="0.3">
      <c r="A31" s="356" t="s">
        <v>2060</v>
      </c>
      <c r="B31" s="353">
        <v>0.52970399999999995</v>
      </c>
      <c r="C31" s="353">
        <v>1.7533620000000001</v>
      </c>
      <c r="D31" s="353">
        <v>2.6145890000000001</v>
      </c>
      <c r="E31" s="353">
        <v>1.965398</v>
      </c>
      <c r="F31" s="353">
        <v>2.9860899999999999</v>
      </c>
      <c r="G31" s="353">
        <v>2.979584</v>
      </c>
      <c r="H31" s="353">
        <v>3.0426479999999998</v>
      </c>
      <c r="I31" s="353">
        <v>3.1842820000000001</v>
      </c>
      <c r="J31" s="353">
        <v>2.8646159999999998</v>
      </c>
      <c r="K31" s="353">
        <v>2.6764869999999998</v>
      </c>
      <c r="L31" s="353">
        <v>2.597699</v>
      </c>
      <c r="M31" s="353">
        <v>2.5428929999999998</v>
      </c>
      <c r="N31" s="353">
        <v>2.5446260000000001</v>
      </c>
    </row>
    <row r="32" spans="1:14" x14ac:dyDescent="0.3">
      <c r="A32" s="355" t="s">
        <v>2334</v>
      </c>
      <c r="B32" s="351">
        <v>1.036232</v>
      </c>
      <c r="C32" s="351">
        <v>1.044702</v>
      </c>
      <c r="D32" s="351">
        <v>1.064559</v>
      </c>
      <c r="E32" s="351">
        <v>1.077612</v>
      </c>
      <c r="F32" s="351">
        <v>1.0972139999999999</v>
      </c>
      <c r="G32" s="351">
        <v>1.118803</v>
      </c>
      <c r="H32" s="351">
        <v>1.1400870000000001</v>
      </c>
      <c r="I32" s="351">
        <v>1.1636070000000001</v>
      </c>
      <c r="J32" s="351">
        <v>1.184744</v>
      </c>
      <c r="K32" s="351">
        <v>1.204666</v>
      </c>
      <c r="L32" s="351">
        <v>1.2239420000000001</v>
      </c>
      <c r="M32" s="351">
        <v>1.2433320000000001</v>
      </c>
      <c r="N32" s="351">
        <v>1.263307</v>
      </c>
    </row>
    <row r="33" spans="1:14" x14ac:dyDescent="0.3">
      <c r="A33" s="356" t="s">
        <v>2060</v>
      </c>
      <c r="B33" s="353">
        <v>-0.16345100000000001</v>
      </c>
      <c r="C33" s="353">
        <v>0.81735999999999998</v>
      </c>
      <c r="D33" s="353">
        <v>1.900733</v>
      </c>
      <c r="E33" s="353">
        <v>1.226118</v>
      </c>
      <c r="F33" s="353">
        <v>1.8190459999999999</v>
      </c>
      <c r="G33" s="353">
        <v>1.967643</v>
      </c>
      <c r="H33" s="353">
        <v>1.902412</v>
      </c>
      <c r="I33" s="353">
        <v>2.0629339999999998</v>
      </c>
      <c r="J33" s="353">
        <v>1.816486</v>
      </c>
      <c r="K33" s="353">
        <v>1.6815450000000001</v>
      </c>
      <c r="L33" s="353">
        <v>1.6001540000000001</v>
      </c>
      <c r="M33" s="353">
        <v>1.584225</v>
      </c>
      <c r="N33" s="353">
        <v>1.6065700000000001</v>
      </c>
    </row>
    <row r="34" spans="1:14" x14ac:dyDescent="0.3">
      <c r="A34" s="355" t="s">
        <v>2335</v>
      </c>
      <c r="B34" s="351">
        <v>1.05528</v>
      </c>
      <c r="C34" s="351">
        <v>1.06962</v>
      </c>
      <c r="D34" s="351">
        <v>1.094123</v>
      </c>
      <c r="E34" s="351">
        <v>1.113847</v>
      </c>
      <c r="F34" s="351">
        <v>1.1424380000000001</v>
      </c>
      <c r="G34" s="351">
        <v>1.1736819999999999</v>
      </c>
      <c r="H34" s="351">
        <v>1.204156</v>
      </c>
      <c r="I34" s="351">
        <v>1.237376</v>
      </c>
      <c r="J34" s="351">
        <v>1.2681579999999999</v>
      </c>
      <c r="K34" s="351">
        <v>1.297644</v>
      </c>
      <c r="L34" s="351">
        <v>1.3265640000000001</v>
      </c>
      <c r="M34" s="351">
        <v>1.3557220000000001</v>
      </c>
      <c r="N34" s="351">
        <v>1.3857330000000001</v>
      </c>
    </row>
    <row r="35" spans="1:14" x14ac:dyDescent="0.3">
      <c r="A35" s="356" t="s">
        <v>2060</v>
      </c>
      <c r="B35" s="353">
        <v>5.4446000000000001E-2</v>
      </c>
      <c r="C35" s="353">
        <v>1.3588579999999999</v>
      </c>
      <c r="D35" s="353">
        <v>2.2908379999999999</v>
      </c>
      <c r="E35" s="353">
        <v>1.802746</v>
      </c>
      <c r="F35" s="353">
        <v>2.5668700000000002</v>
      </c>
      <c r="G35" s="353">
        <v>2.7348309999999998</v>
      </c>
      <c r="H35" s="353">
        <v>2.5964239999999998</v>
      </c>
      <c r="I35" s="353">
        <v>2.7587799999999998</v>
      </c>
      <c r="J35" s="353">
        <v>2.4877250000000002</v>
      </c>
      <c r="K35" s="353">
        <v>2.3251439999999999</v>
      </c>
      <c r="L35" s="353">
        <v>2.2285759999999999</v>
      </c>
      <c r="M35" s="353">
        <v>2.198029</v>
      </c>
      <c r="N35" s="353">
        <v>2.2136360000000002</v>
      </c>
    </row>
    <row r="36" spans="1:14" x14ac:dyDescent="0.3">
      <c r="A36" s="355" t="s">
        <v>2336</v>
      </c>
      <c r="B36" s="351">
        <v>0.99122200000000005</v>
      </c>
      <c r="C36" s="351">
        <v>0.98362799999999995</v>
      </c>
      <c r="D36" s="351">
        <v>0.97328899999999996</v>
      </c>
      <c r="E36" s="351">
        <v>0.97131599999999996</v>
      </c>
      <c r="F36" s="351">
        <v>0.97103300000000004</v>
      </c>
      <c r="G36" s="351">
        <v>0.97299100000000005</v>
      </c>
      <c r="H36" s="351">
        <v>0.97459600000000002</v>
      </c>
      <c r="I36" s="351">
        <v>0.97629200000000005</v>
      </c>
      <c r="J36" s="351">
        <v>0.97801300000000002</v>
      </c>
      <c r="K36" s="351">
        <v>0.98044699999999996</v>
      </c>
      <c r="L36" s="351">
        <v>0.98289199999999999</v>
      </c>
      <c r="M36" s="351">
        <v>0.98599599999999998</v>
      </c>
      <c r="N36" s="351">
        <v>0.98960499999999996</v>
      </c>
    </row>
    <row r="37" spans="1:14" x14ac:dyDescent="0.3">
      <c r="A37" s="356" t="s">
        <v>2060</v>
      </c>
      <c r="B37" s="353">
        <v>-1.619672</v>
      </c>
      <c r="C37" s="353">
        <v>-0.76609000000000005</v>
      </c>
      <c r="D37" s="353">
        <v>-1.051134</v>
      </c>
      <c r="E37" s="353">
        <v>-0.202651</v>
      </c>
      <c r="F37" s="353">
        <v>-2.9212999999999999E-2</v>
      </c>
      <c r="G37" s="353">
        <v>0.20169000000000001</v>
      </c>
      <c r="H37" s="353">
        <v>0.16498599999999999</v>
      </c>
      <c r="I37" s="353">
        <v>0.17400299999999999</v>
      </c>
      <c r="J37" s="353">
        <v>0.17627899999999999</v>
      </c>
      <c r="K37" s="353">
        <v>0.24887400000000001</v>
      </c>
      <c r="L37" s="353">
        <v>0.24937100000000001</v>
      </c>
      <c r="M37" s="353">
        <v>0.315828</v>
      </c>
      <c r="N37" s="353">
        <v>0.36594500000000002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H35" sqref="H35"/>
    </sheetView>
  </sheetViews>
  <sheetFormatPr defaultRowHeight="14.4" x14ac:dyDescent="0.3"/>
  <cols>
    <col min="1" max="1" width="11" customWidth="1"/>
    <col min="2" max="2" width="17.5546875" customWidth="1"/>
    <col min="3" max="3" width="12.5546875" bestFit="1" customWidth="1"/>
    <col min="4" max="4" width="10.6640625" customWidth="1"/>
    <col min="5" max="5" width="12.5546875" bestFit="1" customWidth="1"/>
    <col min="6" max="6" width="11.5546875" bestFit="1" customWidth="1"/>
    <col min="7" max="7" width="11" bestFit="1" customWidth="1"/>
    <col min="8" max="9" width="11.5546875" bestFit="1" customWidth="1"/>
    <col min="10" max="10" width="13.109375" bestFit="1" customWidth="1"/>
    <col min="15" max="15" width="11.5546875" bestFit="1" customWidth="1"/>
    <col min="16" max="16" width="12.5546875" bestFit="1" customWidth="1"/>
  </cols>
  <sheetData>
    <row r="1" spans="1:12" x14ac:dyDescent="0.3">
      <c r="A1" t="s">
        <v>142</v>
      </c>
      <c r="L1" t="s">
        <v>2368</v>
      </c>
    </row>
    <row r="2" spans="1:12" x14ac:dyDescent="0.3">
      <c r="A2" t="s">
        <v>2374</v>
      </c>
      <c r="L2" s="8" t="s">
        <v>321</v>
      </c>
    </row>
    <row r="3" spans="1:12" x14ac:dyDescent="0.3">
      <c r="L3" s="8" t="s">
        <v>2358</v>
      </c>
    </row>
    <row r="4" spans="1:12" x14ac:dyDescent="0.3">
      <c r="L4" s="8" t="s">
        <v>1959</v>
      </c>
    </row>
    <row r="5" spans="1:12" ht="32.4" x14ac:dyDescent="0.45">
      <c r="A5" s="436" t="s">
        <v>2262</v>
      </c>
      <c r="B5" s="436"/>
      <c r="C5" s="437" t="s">
        <v>2375</v>
      </c>
      <c r="D5" s="436" t="s">
        <v>2377</v>
      </c>
      <c r="E5" s="436"/>
      <c r="F5" s="436"/>
      <c r="G5" s="436"/>
      <c r="H5" s="436"/>
      <c r="L5" s="8" t="s">
        <v>1907</v>
      </c>
    </row>
    <row r="6" spans="1:12" x14ac:dyDescent="0.3">
      <c r="A6" s="7">
        <v>820</v>
      </c>
      <c r="B6" t="s">
        <v>2378</v>
      </c>
      <c r="C6" s="211">
        <v>2678.3157720000004</v>
      </c>
      <c r="D6" t="s">
        <v>2371</v>
      </c>
    </row>
    <row r="7" spans="1:12" x14ac:dyDescent="0.3">
      <c r="A7" s="7">
        <v>840</v>
      </c>
      <c r="C7" s="211">
        <v>6676.5556059999981</v>
      </c>
      <c r="D7" t="s">
        <v>2381</v>
      </c>
    </row>
    <row r="8" spans="1:12" x14ac:dyDescent="0.3">
      <c r="A8" s="7">
        <v>844</v>
      </c>
      <c r="C8" s="211">
        <v>6676.5670679999985</v>
      </c>
      <c r="D8" t="s">
        <v>2381</v>
      </c>
    </row>
    <row r="9" spans="1:12" x14ac:dyDescent="0.3">
      <c r="A9" s="7">
        <v>870</v>
      </c>
      <c r="B9" t="s">
        <v>2388</v>
      </c>
      <c r="C9" s="211">
        <v>83233.653932000001</v>
      </c>
      <c r="D9" t="s">
        <v>2387</v>
      </c>
    </row>
    <row r="10" spans="1:12" x14ac:dyDescent="0.3">
      <c r="A10">
        <v>870</v>
      </c>
      <c r="B10" t="s">
        <v>2378</v>
      </c>
      <c r="C10" s="211">
        <v>115153.418028</v>
      </c>
      <c r="D10" t="s">
        <v>2371</v>
      </c>
    </row>
    <row r="11" spans="1:12" x14ac:dyDescent="0.3">
      <c r="A11">
        <v>903</v>
      </c>
      <c r="C11" s="211">
        <v>30595.719870999994</v>
      </c>
      <c r="D11" t="s">
        <v>2372</v>
      </c>
    </row>
    <row r="12" spans="1:12" x14ac:dyDescent="0.3">
      <c r="A12">
        <v>908</v>
      </c>
      <c r="C12" s="211">
        <v>6451.1003649999984</v>
      </c>
      <c r="D12" t="s">
        <v>2372</v>
      </c>
    </row>
    <row r="13" spans="1:12" x14ac:dyDescent="0.3">
      <c r="A13">
        <v>921</v>
      </c>
      <c r="B13" t="s">
        <v>2379</v>
      </c>
      <c r="C13" s="211">
        <v>74640.388233999984</v>
      </c>
      <c r="D13" t="s">
        <v>2373</v>
      </c>
    </row>
    <row r="14" spans="1:12" x14ac:dyDescent="0.3">
      <c r="A14">
        <v>921</v>
      </c>
      <c r="B14" t="s">
        <v>2380</v>
      </c>
      <c r="C14" s="211">
        <v>44668.686537999994</v>
      </c>
      <c r="D14" t="s">
        <v>2370</v>
      </c>
    </row>
    <row r="15" spans="1:12" x14ac:dyDescent="0.3">
      <c r="C15" s="343">
        <f>SUM(C6:C14)</f>
        <v>370774.40541399998</v>
      </c>
    </row>
    <row r="18" spans="2:11" x14ac:dyDescent="0.3">
      <c r="B18" t="s">
        <v>2376</v>
      </c>
      <c r="D18" s="439" t="s">
        <v>433</v>
      </c>
      <c r="E18" s="439" t="s">
        <v>434</v>
      </c>
      <c r="F18" s="439" t="s">
        <v>435</v>
      </c>
      <c r="G18" s="439" t="s">
        <v>436</v>
      </c>
      <c r="H18" s="439" t="s">
        <v>437</v>
      </c>
      <c r="I18" s="439" t="s">
        <v>438</v>
      </c>
    </row>
    <row r="19" spans="2:11" x14ac:dyDescent="0.3">
      <c r="B19" t="s">
        <v>532</v>
      </c>
      <c r="C19" s="4">
        <f>SUM(D19:I19)</f>
        <v>75303248.67870459</v>
      </c>
      <c r="D19" s="438">
        <f>Volumes!T12</f>
        <v>241033.5536644505</v>
      </c>
      <c r="E19" s="438">
        <f>Volumes!U12</f>
        <v>50173168.790962793</v>
      </c>
      <c r="F19" s="438">
        <f>Volumes!V12</f>
        <v>17370932.746608671</v>
      </c>
      <c r="G19" s="438">
        <f>Volumes!W12</f>
        <v>517110.64829633071</v>
      </c>
      <c r="H19" s="438">
        <f>Volumes!X12</f>
        <v>4336314.9210790517</v>
      </c>
      <c r="I19" s="438">
        <f>Volumes!Y12</f>
        <v>2664688.0180932935</v>
      </c>
    </row>
    <row r="20" spans="2:11" x14ac:dyDescent="0.3">
      <c r="B20" t="s">
        <v>533</v>
      </c>
      <c r="C20" s="4">
        <f>SUM(D20:I20)</f>
        <v>1319198</v>
      </c>
      <c r="D20" s="438">
        <f>Volumes!T13</f>
        <v>0</v>
      </c>
      <c r="E20" s="438">
        <f>Volumes!U13</f>
        <v>0</v>
      </c>
      <c r="F20" s="438">
        <f>Volumes!V13</f>
        <v>0</v>
      </c>
      <c r="G20" s="438">
        <f>Volumes!W13</f>
        <v>0</v>
      </c>
      <c r="H20" s="438">
        <f>Volumes!X13</f>
        <v>0</v>
      </c>
      <c r="I20" s="438">
        <f>Volumes!Y13</f>
        <v>1319198</v>
      </c>
    </row>
    <row r="21" spans="2:11" x14ac:dyDescent="0.3">
      <c r="C21" s="4"/>
      <c r="D21" s="59"/>
      <c r="E21" s="59"/>
      <c r="F21" s="59"/>
      <c r="G21" s="59"/>
      <c r="H21" s="59"/>
      <c r="I21" s="59"/>
    </row>
    <row r="22" spans="2:11" x14ac:dyDescent="0.3">
      <c r="B22" t="s">
        <v>535</v>
      </c>
      <c r="C22" s="4">
        <f>SUM(D22:I22)</f>
        <v>7065720</v>
      </c>
      <c r="D22" s="438">
        <f>Volumes!T15</f>
        <v>0</v>
      </c>
      <c r="E22" s="438">
        <f>Volumes!U15</f>
        <v>0</v>
      </c>
      <c r="F22" s="438">
        <f>Volumes!V15</f>
        <v>0</v>
      </c>
      <c r="G22" s="438">
        <f>Volumes!W15</f>
        <v>0</v>
      </c>
      <c r="H22" s="438">
        <f>Volumes!X15</f>
        <v>963435</v>
      </c>
      <c r="I22" s="438">
        <f>Volumes!Y15</f>
        <v>6102285</v>
      </c>
    </row>
    <row r="23" spans="2:11" x14ac:dyDescent="0.3">
      <c r="B23" t="s">
        <v>534</v>
      </c>
      <c r="C23" s="4">
        <f>SUM(D23:I23)</f>
        <v>10908382</v>
      </c>
      <c r="D23" s="438">
        <f>Volumes!T16</f>
        <v>0</v>
      </c>
      <c r="E23" s="438">
        <f>Volumes!U16</f>
        <v>0</v>
      </c>
      <c r="F23" s="438">
        <f>Volumes!V16</f>
        <v>0</v>
      </c>
      <c r="G23" s="438">
        <f>Volumes!W16</f>
        <v>0</v>
      </c>
      <c r="H23" s="438">
        <f>Volumes!X16</f>
        <v>0</v>
      </c>
      <c r="I23" s="438">
        <f>Volumes!Y16</f>
        <v>10908382</v>
      </c>
      <c r="K23" s="471"/>
    </row>
    <row r="25" spans="2:11" x14ac:dyDescent="0.3">
      <c r="B25" t="s">
        <v>2403</v>
      </c>
    </row>
    <row r="26" spans="2:11" x14ac:dyDescent="0.3">
      <c r="B26" t="s">
        <v>532</v>
      </c>
      <c r="C26" s="4">
        <f>SUM(D26:I26)</f>
        <v>82482.833333333328</v>
      </c>
      <c r="D26" s="60">
        <f>Customers!R12</f>
        <v>897.25</v>
      </c>
      <c r="E26" s="60">
        <f>Customers!S12</f>
        <v>74643.833333333328</v>
      </c>
      <c r="F26" s="60">
        <f>Customers!T12</f>
        <v>6034.4166666666661</v>
      </c>
      <c r="G26" s="60">
        <f>Customers!U12</f>
        <v>786.5</v>
      </c>
      <c r="H26" s="60">
        <f>Customers!V12</f>
        <v>103.25</v>
      </c>
      <c r="I26" s="60">
        <f>Customers!W12</f>
        <v>17.583333333333336</v>
      </c>
    </row>
    <row r="27" spans="2:11" x14ac:dyDescent="0.3">
      <c r="B27" t="s">
        <v>533</v>
      </c>
      <c r="C27" s="4">
        <f>SUM(D27:I27)</f>
        <v>5</v>
      </c>
      <c r="D27" s="60">
        <f>Customers!R13</f>
        <v>0</v>
      </c>
      <c r="E27" s="60">
        <f>Customers!S13</f>
        <v>0</v>
      </c>
      <c r="F27" s="60">
        <f>Customers!T13</f>
        <v>0</v>
      </c>
      <c r="G27" s="60">
        <f>Customers!U13</f>
        <v>0</v>
      </c>
      <c r="H27" s="60">
        <f>Customers!V13</f>
        <v>0</v>
      </c>
      <c r="I27" s="60">
        <f>Customers!W13</f>
        <v>5</v>
      </c>
    </row>
    <row r="28" spans="2:11" x14ac:dyDescent="0.3">
      <c r="C28" s="4"/>
      <c r="D28" s="59"/>
      <c r="E28" s="59"/>
      <c r="F28" s="59"/>
      <c r="G28" s="59"/>
      <c r="H28" s="59"/>
      <c r="I28" s="59"/>
    </row>
    <row r="29" spans="2:11" x14ac:dyDescent="0.3">
      <c r="B29" t="s">
        <v>535</v>
      </c>
      <c r="C29" s="4">
        <f>SUM(D29:I29)</f>
        <v>28.666666666666664</v>
      </c>
      <c r="D29" s="60">
        <f>Customers!R15</f>
        <v>0</v>
      </c>
      <c r="E29" s="60">
        <f>Customers!S15</f>
        <v>0</v>
      </c>
      <c r="F29" s="60">
        <f>Customers!T15</f>
        <v>0</v>
      </c>
      <c r="G29" s="60">
        <f>Customers!U15</f>
        <v>0</v>
      </c>
      <c r="H29" s="60">
        <f>Customers!V15</f>
        <v>16.833333333333332</v>
      </c>
      <c r="I29" s="60">
        <f>Customers!W15</f>
        <v>11.833333333333332</v>
      </c>
    </row>
    <row r="30" spans="2:11" x14ac:dyDescent="0.3">
      <c r="B30" t="s">
        <v>534</v>
      </c>
      <c r="C30" s="4">
        <f>SUM(D30:I30)</f>
        <v>10.916666666666666</v>
      </c>
      <c r="D30" s="60">
        <f>Customers!R16</f>
        <v>0</v>
      </c>
      <c r="E30" s="60">
        <f>Customers!S16</f>
        <v>0</v>
      </c>
      <c r="F30" s="60">
        <f>Customers!T16</f>
        <v>0</v>
      </c>
      <c r="G30" s="60">
        <f>Customers!U16</f>
        <v>0</v>
      </c>
      <c r="H30" s="60">
        <f>Customers!V16</f>
        <v>0</v>
      </c>
      <c r="I30" s="60">
        <f>Customers!W16</f>
        <v>10.916666666666666</v>
      </c>
    </row>
    <row r="33" spans="1:12" x14ac:dyDescent="0.3">
      <c r="A33" s="84" t="s">
        <v>2395</v>
      </c>
      <c r="B33" s="8" t="s">
        <v>1954</v>
      </c>
      <c r="C33" s="84" t="s">
        <v>2369</v>
      </c>
      <c r="D33" s="439" t="s">
        <v>433</v>
      </c>
      <c r="E33" s="439" t="s">
        <v>434</v>
      </c>
      <c r="F33" s="439" t="s">
        <v>435</v>
      </c>
      <c r="G33" s="439" t="s">
        <v>436</v>
      </c>
      <c r="H33" s="439" t="s">
        <v>437</v>
      </c>
      <c r="I33" s="439" t="s">
        <v>438</v>
      </c>
    </row>
    <row r="34" spans="1:12" x14ac:dyDescent="0.3">
      <c r="A34" s="84">
        <v>820</v>
      </c>
      <c r="B34" s="12" t="s">
        <v>2396</v>
      </c>
      <c r="C34" s="343">
        <f t="shared" ref="C34:C39" si="0">SUM(D34:I34)</f>
        <v>2678.3157720000004</v>
      </c>
      <c r="D34" s="211">
        <f t="shared" ref="D34:I34" si="1">$C6*SUM(D$19:D$23)/SUM($C$19:$C$23)</f>
        <v>6.8243924051960105</v>
      </c>
      <c r="E34" s="211">
        <f t="shared" si="1"/>
        <v>1420.5548847291627</v>
      </c>
      <c r="F34" s="211">
        <f t="shared" si="1"/>
        <v>491.82389632008727</v>
      </c>
      <c r="G34" s="211">
        <f t="shared" si="1"/>
        <v>14.640973952498895</v>
      </c>
      <c r="H34" s="211">
        <f t="shared" si="1"/>
        <v>150.05202620544657</v>
      </c>
      <c r="I34" s="211">
        <f t="shared" si="1"/>
        <v>594.41959838760897</v>
      </c>
      <c r="J34" s="440" t="b">
        <f>SUM(C6:C6)=C34</f>
        <v>1</v>
      </c>
    </row>
    <row r="35" spans="1:12" x14ac:dyDescent="0.3">
      <c r="A35" s="84">
        <v>840</v>
      </c>
      <c r="B35" t="s">
        <v>444</v>
      </c>
      <c r="C35" s="343">
        <f t="shared" si="0"/>
        <v>6676.5556059999981</v>
      </c>
      <c r="D35" s="211">
        <f t="shared" ref="D35:I36" si="2">$C7*D$19/$C$19</f>
        <v>21.370577660185113</v>
      </c>
      <c r="E35" s="211">
        <f t="shared" si="2"/>
        <v>4448.466131804732</v>
      </c>
      <c r="F35" s="211">
        <f t="shared" si="2"/>
        <v>1540.1460155545335</v>
      </c>
      <c r="G35" s="211">
        <f t="shared" si="2"/>
        <v>45.848194578377019</v>
      </c>
      <c r="H35" s="211">
        <f t="shared" si="2"/>
        <v>384.46744600939337</v>
      </c>
      <c r="I35" s="211">
        <f t="shared" si="2"/>
        <v>236.25724039277733</v>
      </c>
      <c r="J35" s="440" t="b">
        <f>C7=C35</f>
        <v>1</v>
      </c>
    </row>
    <row r="36" spans="1:12" x14ac:dyDescent="0.3">
      <c r="A36" s="84">
        <v>844</v>
      </c>
      <c r="B36" t="s">
        <v>444</v>
      </c>
      <c r="C36" s="343">
        <f t="shared" si="0"/>
        <v>6676.5670679999994</v>
      </c>
      <c r="D36" s="211">
        <f t="shared" si="2"/>
        <v>21.370614348198451</v>
      </c>
      <c r="E36" s="211">
        <f t="shared" si="2"/>
        <v>4448.4737687243978</v>
      </c>
      <c r="F36" s="211">
        <f t="shared" si="2"/>
        <v>1540.148659605549</v>
      </c>
      <c r="G36" s="211">
        <f t="shared" si="2"/>
        <v>45.848273288424124</v>
      </c>
      <c r="H36" s="211">
        <f t="shared" si="2"/>
        <v>384.46810604521522</v>
      </c>
      <c r="I36" s="211">
        <f t="shared" si="2"/>
        <v>236.25764598821445</v>
      </c>
      <c r="J36" s="440" t="b">
        <f>C8=C36</f>
        <v>1</v>
      </c>
    </row>
    <row r="37" spans="1:12" x14ac:dyDescent="0.3">
      <c r="A37" s="84">
        <v>870</v>
      </c>
      <c r="B37" t="s">
        <v>2382</v>
      </c>
      <c r="C37" s="343">
        <f t="shared" si="0"/>
        <v>198387.07196000003</v>
      </c>
      <c r="D37" s="211">
        <f>$C9*0.73*(D$19+D$20)/($C$19+$C$20)+$C9*0.27*(D$22+D$23)/($C$22+$C$23)+$C10*SUM(D$19:D$23)/SUM($C$19:$C$23)</f>
        <v>484.54915208509431</v>
      </c>
      <c r="E37" s="211">
        <f t="shared" ref="E37:I37" si="3">$C9*0.73*(E$19+E$20)/($C$19+$C$20)+$C9*0.27*(E$22+E$23)/($C$22+$C$23)+$C10*SUM(E$19:E$23)/SUM($C$19:$C$23)</f>
        <v>100862.99614919118</v>
      </c>
      <c r="F37" s="211">
        <f t="shared" si="3"/>
        <v>34920.74279838262</v>
      </c>
      <c r="G37" s="211">
        <f t="shared" si="3"/>
        <v>1039.5462472207487</v>
      </c>
      <c r="H37" s="211">
        <f t="shared" si="3"/>
        <v>11094.669449692843</v>
      </c>
      <c r="I37" s="211">
        <f t="shared" si="3"/>
        <v>49984.568163427517</v>
      </c>
      <c r="J37" s="440" t="b">
        <f>SUM(C9:C10)=C37</f>
        <v>1</v>
      </c>
    </row>
    <row r="38" spans="1:12" x14ac:dyDescent="0.3">
      <c r="A38" s="84">
        <v>903</v>
      </c>
      <c r="B38" t="s">
        <v>2383</v>
      </c>
      <c r="C38" s="343">
        <f t="shared" si="0"/>
        <v>30595.719870999994</v>
      </c>
      <c r="H38" s="343">
        <f>H$29/($H$29+$I$29)*$C11*0.4
+(H$27+H$30)/($H$27+$I$27+$H$30+$I$30)*$C11*0.6</f>
        <v>7186.4365278395344</v>
      </c>
      <c r="I38" s="343">
        <f>I$29/($H$29+$I$29)*$C11*0.4
+(I$27+I$30)/($H$27+$I$27+$H$30+$I$30)*$C11*0.6</f>
        <v>23409.283343160459</v>
      </c>
      <c r="J38" s="440" t="b">
        <f>C11=C38</f>
        <v>1</v>
      </c>
    </row>
    <row r="39" spans="1:12" x14ac:dyDescent="0.3">
      <c r="A39" s="84">
        <v>908</v>
      </c>
      <c r="B39" t="s">
        <v>2384</v>
      </c>
      <c r="C39" s="343">
        <f t="shared" si="0"/>
        <v>6451.1003649999984</v>
      </c>
      <c r="H39" s="343">
        <f>H$29/($H$29+$I$29)*$C12*0.4
+(H$27+H$30)/($H$27+$I$27+$H$30+$I$30)*$C12*0.6</f>
        <v>1515.2584578255812</v>
      </c>
      <c r="I39" s="343">
        <f>I$29/($H$29+$I$29)*$C12*0.4
+(I$27+I$30)/($H$27+$I$27+$H$30+$I$30)*$C12*0.6</f>
        <v>4935.8419071744174</v>
      </c>
      <c r="J39" s="440" t="b">
        <f>C12=C39</f>
        <v>1</v>
      </c>
    </row>
    <row r="40" spans="1:12" x14ac:dyDescent="0.3">
      <c r="A40" s="84">
        <v>921</v>
      </c>
      <c r="B40" t="s">
        <v>2385</v>
      </c>
      <c r="C40" s="343">
        <f t="shared" ref="C40" si="4">SUM(D40:I40)</f>
        <v>119309.07477199996</v>
      </c>
      <c r="D40" s="211">
        <f t="shared" ref="D40:I40" si="5">0.75*$C13*D$19/$C$19+0.25*$C13*SUM(D$20:D$23)/SUM($C$20:$C$23)+$C14*(D$19+D$22)/($C$19+$C$22)</f>
        <v>309.89636422279688</v>
      </c>
      <c r="E40" s="211">
        <f t="shared" si="5"/>
        <v>64507.54408866055</v>
      </c>
      <c r="F40" s="211">
        <f t="shared" si="5"/>
        <v>22333.773947617417</v>
      </c>
      <c r="G40" s="211">
        <f t="shared" si="5"/>
        <v>664.84813990261193</v>
      </c>
      <c r="H40" s="211">
        <f t="shared" si="5"/>
        <v>7029.4774968009879</v>
      </c>
      <c r="I40" s="211">
        <f t="shared" si="5"/>
        <v>24463.534734795612</v>
      </c>
      <c r="J40" s="440" t="b">
        <f>SUM(C13:C14)=C40</f>
        <v>1</v>
      </c>
    </row>
    <row r="41" spans="1:12" x14ac:dyDescent="0.3">
      <c r="C41" s="343">
        <f>SUM(C34:C40)</f>
        <v>370774.40541399992</v>
      </c>
      <c r="J41" s="440">
        <f>SUM(C6:C14)</f>
        <v>370774.40541399998</v>
      </c>
    </row>
    <row r="43" spans="1:12" x14ac:dyDescent="0.3">
      <c r="H43" s="93">
        <f>SUM(H34:H40)</f>
        <v>27744.829510419</v>
      </c>
      <c r="I43" s="93">
        <f>SUM(I34:I40)</f>
        <v>103860.1626333266</v>
      </c>
      <c r="L43">
        <v>0.26582278481012656</v>
      </c>
    </row>
    <row r="44" spans="1:12" x14ac:dyDescent="0.3">
      <c r="H44" s="93">
        <f>H43*(SUM(L43:L46))</f>
        <v>8898.6808613997018</v>
      </c>
      <c r="I44" s="93">
        <f>I43*(SUM(L43:L46))</f>
        <v>33311.3757696717</v>
      </c>
    </row>
    <row r="45" spans="1:12" x14ac:dyDescent="0.3">
      <c r="H45" s="645">
        <f>SUM(H43:H44)</f>
        <v>36643.510371818702</v>
      </c>
      <c r="I45" s="645">
        <f>SUM(I43:I44)</f>
        <v>137171.5384029983</v>
      </c>
      <c r="L45">
        <v>5.3516098908032918E-2</v>
      </c>
    </row>
    <row r="46" spans="1:12" x14ac:dyDescent="0.3">
      <c r="G46" t="s">
        <v>2402</v>
      </c>
      <c r="H46" s="483">
        <f>Customers!V10</f>
        <v>120.08333333333333</v>
      </c>
      <c r="I46" s="483">
        <f>Customers!W10</f>
        <v>45.333333333333336</v>
      </c>
      <c r="L46">
        <v>1.3940607051603493E-3</v>
      </c>
    </row>
    <row r="47" spans="1:12" x14ac:dyDescent="0.3">
      <c r="H47" s="93">
        <f>H45/H46</f>
        <v>305.1506762399892</v>
      </c>
      <c r="I47" s="93">
        <f>I45/I46</f>
        <v>3025.8427588896679</v>
      </c>
    </row>
    <row r="48" spans="1:12" x14ac:dyDescent="0.3">
      <c r="H48" s="343">
        <f>H47/12</f>
        <v>25.4292230199991</v>
      </c>
      <c r="I48" s="343">
        <f>I47/12</f>
        <v>252.15356324080565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5" zoomScaleNormal="85" workbookViewId="0">
      <selection activeCell="I16" sqref="I16"/>
    </sheetView>
  </sheetViews>
  <sheetFormatPr defaultColWidth="9.109375" defaultRowHeight="14.4" x14ac:dyDescent="0.3"/>
  <cols>
    <col min="1" max="1" width="4.6640625" style="231" customWidth="1"/>
    <col min="2" max="2" width="41.6640625" style="231" customWidth="1"/>
    <col min="3" max="6" width="13.6640625" style="2" customWidth="1"/>
    <col min="7" max="7" width="14.6640625" style="2" customWidth="1"/>
    <col min="8" max="8" width="9.109375" style="2" customWidth="1"/>
    <col min="9" max="16384" width="9.109375" style="2"/>
  </cols>
  <sheetData>
    <row r="1" spans="1:10" s="231" customFormat="1" x14ac:dyDescent="0.3">
      <c r="A1" s="487" t="s">
        <v>142</v>
      </c>
      <c r="B1" s="487"/>
      <c r="C1" s="487"/>
      <c r="D1" s="487"/>
      <c r="E1" s="487"/>
      <c r="F1" s="487"/>
      <c r="G1" s="487"/>
      <c r="H1" s="487"/>
      <c r="J1" s="231" t="s">
        <v>2411</v>
      </c>
    </row>
    <row r="2" spans="1:10" s="231" customFormat="1" x14ac:dyDescent="0.3">
      <c r="A2" s="487" t="s">
        <v>260</v>
      </c>
      <c r="B2" s="487"/>
      <c r="C2" s="487"/>
      <c r="D2" s="487"/>
      <c r="E2" s="487"/>
      <c r="F2" s="488"/>
      <c r="G2" s="487"/>
      <c r="H2" s="487"/>
      <c r="J2" s="8" t="s">
        <v>1904</v>
      </c>
    </row>
    <row r="3" spans="1:10" s="231" customFormat="1" x14ac:dyDescent="0.3">
      <c r="A3" s="489" t="s">
        <v>2306</v>
      </c>
      <c r="B3" s="487"/>
      <c r="C3" s="487"/>
      <c r="D3" s="487"/>
      <c r="E3" s="487"/>
      <c r="F3" s="488"/>
      <c r="G3" s="487"/>
      <c r="H3" s="487"/>
      <c r="J3" s="8" t="s">
        <v>2430</v>
      </c>
    </row>
    <row r="4" spans="1:10" s="231" customFormat="1" x14ac:dyDescent="0.3">
      <c r="A4" s="487"/>
      <c r="B4" s="487"/>
      <c r="C4" s="487"/>
      <c r="D4" s="487"/>
      <c r="E4" s="487"/>
      <c r="F4" s="487"/>
      <c r="G4" s="490"/>
      <c r="H4" s="487"/>
      <c r="J4" s="8" t="s">
        <v>1959</v>
      </c>
    </row>
    <row r="5" spans="1:10" s="231" customFormat="1" x14ac:dyDescent="0.3">
      <c r="A5" s="487"/>
      <c r="B5" s="487"/>
      <c r="C5" s="686" t="s">
        <v>2084</v>
      </c>
      <c r="D5" s="686"/>
      <c r="E5" s="686"/>
      <c r="F5" s="686"/>
      <c r="G5" s="686"/>
      <c r="H5" s="487"/>
      <c r="J5" s="8" t="s">
        <v>2428</v>
      </c>
    </row>
    <row r="6" spans="1:10" s="231" customFormat="1" x14ac:dyDescent="0.3">
      <c r="A6" s="487"/>
      <c r="B6" s="487"/>
      <c r="C6" s="487"/>
      <c r="D6" s="491"/>
      <c r="E6" s="491"/>
      <c r="F6" s="491" t="s">
        <v>2085</v>
      </c>
      <c r="G6" s="491" t="s">
        <v>2086</v>
      </c>
      <c r="H6" s="487"/>
      <c r="J6" s="485"/>
    </row>
    <row r="7" spans="1:10" s="231" customFormat="1" x14ac:dyDescent="0.3">
      <c r="A7" s="491" t="s">
        <v>298</v>
      </c>
      <c r="B7" s="487"/>
      <c r="C7" s="491" t="s">
        <v>456</v>
      </c>
      <c r="D7" s="491"/>
      <c r="E7" s="491" t="s">
        <v>456</v>
      </c>
      <c r="F7" s="491" t="s">
        <v>598</v>
      </c>
      <c r="G7" s="492">
        <v>0.10299999999999999</v>
      </c>
      <c r="H7" s="487"/>
      <c r="J7" s="485"/>
    </row>
    <row r="8" spans="1:10" s="231" customFormat="1" x14ac:dyDescent="0.3">
      <c r="A8" s="619" t="s">
        <v>300</v>
      </c>
      <c r="B8" s="487"/>
      <c r="C8" s="619" t="s">
        <v>2087</v>
      </c>
      <c r="D8" s="619" t="s">
        <v>2088</v>
      </c>
      <c r="E8" s="619" t="s">
        <v>2089</v>
      </c>
      <c r="F8" s="619" t="s">
        <v>2090</v>
      </c>
      <c r="G8" s="619" t="s">
        <v>2091</v>
      </c>
      <c r="H8" s="487"/>
    </row>
    <row r="9" spans="1:10" s="231" customFormat="1" x14ac:dyDescent="0.3">
      <c r="A9" s="491"/>
      <c r="B9" s="487"/>
      <c r="C9" s="491" t="s">
        <v>593</v>
      </c>
      <c r="D9" s="491" t="s">
        <v>594</v>
      </c>
      <c r="E9" s="491" t="s">
        <v>595</v>
      </c>
      <c r="F9" s="491" t="s">
        <v>596</v>
      </c>
      <c r="G9" s="491" t="s">
        <v>597</v>
      </c>
      <c r="H9" s="487"/>
    </row>
    <row r="10" spans="1:10" x14ac:dyDescent="0.3">
      <c r="A10" s="491"/>
      <c r="B10" s="487"/>
      <c r="C10" s="493"/>
      <c r="D10" s="493"/>
      <c r="E10" s="221"/>
      <c r="F10" s="493"/>
      <c r="G10" s="493"/>
      <c r="H10" s="493"/>
    </row>
    <row r="11" spans="1:10" x14ac:dyDescent="0.3">
      <c r="A11" s="491"/>
      <c r="B11" s="487" t="s">
        <v>2092</v>
      </c>
      <c r="C11" s="494"/>
      <c r="D11" s="494"/>
      <c r="E11" s="494"/>
      <c r="F11" s="493"/>
      <c r="G11" s="494"/>
      <c r="H11" s="493"/>
    </row>
    <row r="12" spans="1:10" x14ac:dyDescent="0.3">
      <c r="A12" s="491">
        <v>1</v>
      </c>
      <c r="B12" s="487" t="s">
        <v>2093</v>
      </c>
      <c r="C12" s="495">
        <v>67314413.069999993</v>
      </c>
      <c r="D12" s="495">
        <v>-3593725.3960132077</v>
      </c>
      <c r="E12" s="495">
        <f>C12+D12</f>
        <v>63720687.673986785</v>
      </c>
      <c r="F12" s="564">
        <f>D57</f>
        <v>8312044.220061074</v>
      </c>
      <c r="G12" s="495">
        <f>F12+E12</f>
        <v>72032731.894047856</v>
      </c>
      <c r="H12" s="222"/>
    </row>
    <row r="13" spans="1:10" x14ac:dyDescent="0.3">
      <c r="A13" s="491">
        <v>2</v>
      </c>
      <c r="B13" s="487" t="s">
        <v>2094</v>
      </c>
      <c r="C13" s="223">
        <v>2370980.7199999997</v>
      </c>
      <c r="D13" s="223">
        <v>-9876.9533199756406</v>
      </c>
      <c r="E13" s="223">
        <f>C13+D13</f>
        <v>2361103.7666800241</v>
      </c>
      <c r="F13" s="224">
        <v>0</v>
      </c>
      <c r="G13" s="224">
        <f>F13+E13</f>
        <v>2361103.7666800241</v>
      </c>
      <c r="H13" s="493"/>
    </row>
    <row r="14" spans="1:10" x14ac:dyDescent="0.3">
      <c r="A14" s="491">
        <v>3</v>
      </c>
      <c r="B14" s="487" t="s">
        <v>2095</v>
      </c>
      <c r="C14" s="225">
        <v>-2048364.0723769995</v>
      </c>
      <c r="D14" s="225">
        <v>2287568.4330936661</v>
      </c>
      <c r="E14" s="225">
        <f>D14+C14</f>
        <v>239204.36071666656</v>
      </c>
      <c r="F14" s="226">
        <v>0</v>
      </c>
      <c r="G14" s="226">
        <f>F14+E14</f>
        <v>239204.36071666656</v>
      </c>
      <c r="H14" s="493"/>
    </row>
    <row r="15" spans="1:10" x14ac:dyDescent="0.3">
      <c r="A15" s="491"/>
      <c r="B15" s="487"/>
      <c r="C15" s="223"/>
      <c r="D15" s="223"/>
      <c r="E15" s="223"/>
      <c r="F15" s="224"/>
      <c r="G15" s="224"/>
      <c r="H15" s="493"/>
    </row>
    <row r="16" spans="1:10" x14ac:dyDescent="0.3">
      <c r="A16" s="491">
        <v>4</v>
      </c>
      <c r="B16" s="487" t="s">
        <v>2096</v>
      </c>
      <c r="C16" s="223">
        <f>SUM(C12:C15)</f>
        <v>67637029.717622995</v>
      </c>
      <c r="D16" s="223">
        <f>SUM(D12:D15)</f>
        <v>-1316033.9162395173</v>
      </c>
      <c r="E16" s="223">
        <f>SUM(E12:E15)</f>
        <v>66320995.801383473</v>
      </c>
      <c r="F16" s="224">
        <f>SUM(F12:F15)</f>
        <v>8312044.220061074</v>
      </c>
      <c r="G16" s="224">
        <f>SUM(G12:G15)</f>
        <v>74633040.021444544</v>
      </c>
      <c r="H16" s="493"/>
    </row>
    <row r="17" spans="1:8" x14ac:dyDescent="0.3">
      <c r="A17" s="491"/>
      <c r="B17" s="496"/>
      <c r="C17" s="223"/>
      <c r="D17" s="223"/>
      <c r="E17" s="223"/>
      <c r="F17" s="224"/>
      <c r="G17" s="224"/>
      <c r="H17" s="493"/>
    </row>
    <row r="18" spans="1:8" x14ac:dyDescent="0.3">
      <c r="A18" s="491"/>
      <c r="B18" s="487" t="s">
        <v>2097</v>
      </c>
      <c r="C18" s="223"/>
      <c r="D18" s="223"/>
      <c r="E18" s="223"/>
      <c r="F18" s="224"/>
      <c r="G18" s="224"/>
      <c r="H18" s="493"/>
    </row>
    <row r="19" spans="1:8" x14ac:dyDescent="0.3">
      <c r="A19" s="491">
        <v>5</v>
      </c>
      <c r="B19" s="487" t="s">
        <v>2098</v>
      </c>
      <c r="C19" s="223">
        <v>25772082.550587021</v>
      </c>
      <c r="D19" s="223">
        <v>-1327404.5505870208</v>
      </c>
      <c r="E19" s="223">
        <f>C19+D19</f>
        <v>24444678</v>
      </c>
      <c r="F19" s="224">
        <v>0</v>
      </c>
      <c r="G19" s="224">
        <f>F19+E19</f>
        <v>24444678</v>
      </c>
      <c r="H19" s="493"/>
    </row>
    <row r="20" spans="1:8" x14ac:dyDescent="0.3">
      <c r="A20" s="491">
        <v>6</v>
      </c>
      <c r="B20" s="487" t="s">
        <v>2099</v>
      </c>
      <c r="C20" s="223">
        <v>58165.898717000018</v>
      </c>
      <c r="D20" s="223">
        <v>17476.441965468621</v>
      </c>
      <c r="E20" s="223">
        <f>C20+D20</f>
        <v>75642.340682468639</v>
      </c>
      <c r="F20" s="224">
        <v>8773.5331170985737</v>
      </c>
      <c r="G20" s="224">
        <f>F20+E20</f>
        <v>84415.873799567213</v>
      </c>
      <c r="H20" s="493"/>
    </row>
    <row r="21" spans="1:8" x14ac:dyDescent="0.3">
      <c r="A21" s="491">
        <v>7</v>
      </c>
      <c r="B21" s="487" t="s">
        <v>2100</v>
      </c>
      <c r="C21" s="225">
        <v>17639304.656746872</v>
      </c>
      <c r="D21" s="225">
        <v>419002.35279366083</v>
      </c>
      <c r="E21" s="225">
        <f>C21+D21</f>
        <v>18058307.009540532</v>
      </c>
      <c r="F21" s="226">
        <v>0</v>
      </c>
      <c r="G21" s="226">
        <f>F21+E21</f>
        <v>18058307.009540532</v>
      </c>
      <c r="H21" s="493"/>
    </row>
    <row r="22" spans="1:8" x14ac:dyDescent="0.3">
      <c r="A22" s="491"/>
      <c r="B22" s="487"/>
      <c r="C22" s="223"/>
      <c r="D22" s="223"/>
      <c r="E22" s="223"/>
      <c r="F22" s="224"/>
      <c r="G22" s="224"/>
      <c r="H22" s="493"/>
    </row>
    <row r="23" spans="1:8" x14ac:dyDescent="0.3">
      <c r="A23" s="491">
        <v>8</v>
      </c>
      <c r="B23" s="487" t="s">
        <v>2101</v>
      </c>
      <c r="C23" s="223">
        <f>SUM(C19:C22)</f>
        <v>43469553.106050894</v>
      </c>
      <c r="D23" s="223">
        <f>SUM(D18:D21)</f>
        <v>-890925.75582789129</v>
      </c>
      <c r="E23" s="223">
        <f>SUM(E18:E21)</f>
        <v>42578627.350223005</v>
      </c>
      <c r="F23" s="224">
        <f>SUM(F18:F21)</f>
        <v>8773.5331170985737</v>
      </c>
      <c r="G23" s="224">
        <f>SUM(G18:G21)</f>
        <v>42587400.883340098</v>
      </c>
      <c r="H23" s="493"/>
    </row>
    <row r="24" spans="1:8" x14ac:dyDescent="0.3">
      <c r="A24" s="491"/>
      <c r="B24" s="488"/>
      <c r="C24" s="223"/>
      <c r="D24" s="223"/>
      <c r="E24" s="223"/>
      <c r="F24" s="224"/>
      <c r="G24" s="224"/>
      <c r="H24" s="493"/>
    </row>
    <row r="25" spans="1:8" x14ac:dyDescent="0.3">
      <c r="A25" s="491"/>
      <c r="B25" s="487"/>
      <c r="C25" s="223"/>
      <c r="D25" s="223"/>
      <c r="E25" s="223"/>
      <c r="F25" s="224"/>
      <c r="G25" s="224"/>
      <c r="H25" s="493"/>
    </row>
    <row r="26" spans="1:8" x14ac:dyDescent="0.3">
      <c r="A26" s="491">
        <v>9</v>
      </c>
      <c r="B26" s="487" t="s">
        <v>2102</v>
      </c>
      <c r="C26" s="223">
        <v>1360922.4737849478</v>
      </c>
      <c r="D26" s="223">
        <v>-286902</v>
      </c>
      <c r="E26" s="223">
        <f>C26+D26</f>
        <v>1074020.4737849478</v>
      </c>
      <c r="F26" s="224">
        <v>1672957.997580891</v>
      </c>
      <c r="G26" s="224">
        <f>F26+E26</f>
        <v>2746978.4713658388</v>
      </c>
      <c r="H26" s="493"/>
    </row>
    <row r="27" spans="1:8" x14ac:dyDescent="0.3">
      <c r="A27" s="491">
        <v>10</v>
      </c>
      <c r="B27" s="487" t="s">
        <v>2103</v>
      </c>
      <c r="C27" s="223">
        <v>1268490.0233520002</v>
      </c>
      <c r="D27" s="223">
        <v>228144.16664799984</v>
      </c>
      <c r="E27" s="223">
        <f>C27+D27</f>
        <v>1496634.19</v>
      </c>
      <c r="F27" s="224">
        <v>0</v>
      </c>
      <c r="G27" s="224">
        <f>F27+E27</f>
        <v>1496634.19</v>
      </c>
      <c r="H27" s="493"/>
    </row>
    <row r="28" spans="1:8" x14ac:dyDescent="0.3">
      <c r="A28" s="491">
        <v>11</v>
      </c>
      <c r="B28" s="487" t="s">
        <v>2104</v>
      </c>
      <c r="C28" s="223">
        <v>3687322.0065655671</v>
      </c>
      <c r="D28" s="223">
        <v>-12115.215736318016</v>
      </c>
      <c r="E28" s="223">
        <f>C28+D28</f>
        <v>3675206.7908292492</v>
      </c>
      <c r="F28" s="224">
        <v>336804.03179687471</v>
      </c>
      <c r="G28" s="224">
        <f>F28+E28</f>
        <v>4012010.8226261241</v>
      </c>
      <c r="H28" s="493"/>
    </row>
    <row r="29" spans="1:8" x14ac:dyDescent="0.3">
      <c r="A29" s="491">
        <v>12</v>
      </c>
      <c r="B29" s="487" t="s">
        <v>2105</v>
      </c>
      <c r="C29" s="225">
        <v>9434311.1988470126</v>
      </c>
      <c r="D29" s="225">
        <v>129239.8926668177</v>
      </c>
      <c r="E29" s="225">
        <f>C29+D29</f>
        <v>9563551.0915138312</v>
      </c>
      <c r="F29" s="226">
        <v>0</v>
      </c>
      <c r="G29" s="226">
        <f>F29+E29</f>
        <v>9563551.0915138312</v>
      </c>
      <c r="H29" s="493"/>
    </row>
    <row r="30" spans="1:8" x14ac:dyDescent="0.3">
      <c r="A30" s="491"/>
      <c r="B30" s="487"/>
      <c r="C30" s="223"/>
      <c r="D30" s="223"/>
      <c r="E30" s="223"/>
      <c r="F30" s="224"/>
      <c r="G30" s="224"/>
      <c r="H30" s="493"/>
    </row>
    <row r="31" spans="1:8" x14ac:dyDescent="0.3">
      <c r="A31" s="491">
        <v>13</v>
      </c>
      <c r="B31" s="487" t="s">
        <v>2106</v>
      </c>
      <c r="C31" s="225">
        <f>SUM(C23:C30)</f>
        <v>59220598.808600411</v>
      </c>
      <c r="D31" s="225">
        <f>SUM(D23:D30)</f>
        <v>-832558.91224939167</v>
      </c>
      <c r="E31" s="225">
        <f>SUM(E23:E30)</f>
        <v>58388039.896351025</v>
      </c>
      <c r="F31" s="226">
        <f>SUM(F23:F30)</f>
        <v>2018535.5624948642</v>
      </c>
      <c r="G31" s="226">
        <f>SUM(G23:G30)</f>
        <v>60406575.458845884</v>
      </c>
      <c r="H31" s="493"/>
    </row>
    <row r="32" spans="1:8" x14ac:dyDescent="0.3">
      <c r="A32" s="491"/>
      <c r="B32" s="487"/>
      <c r="C32" s="493"/>
      <c r="D32" s="493"/>
      <c r="E32" s="493"/>
      <c r="F32" s="493"/>
      <c r="G32" s="493"/>
      <c r="H32" s="493"/>
    </row>
    <row r="33" spans="1:8" ht="15" thickBot="1" x14ac:dyDescent="0.35">
      <c r="A33" s="491">
        <v>14</v>
      </c>
      <c r="B33" s="487" t="s">
        <v>2107</v>
      </c>
      <c r="C33" s="227">
        <f>C16-C31</f>
        <v>8416430.9090225846</v>
      </c>
      <c r="D33" s="227">
        <f>D16-D31</f>
        <v>-483475.00399012561</v>
      </c>
      <c r="E33" s="227">
        <f>E16-E31</f>
        <v>7932955.9050324485</v>
      </c>
      <c r="F33" s="227">
        <f>F16-F31</f>
        <v>6293508.6575662103</v>
      </c>
      <c r="G33" s="227">
        <f>G16-G31</f>
        <v>14226464.562598661</v>
      </c>
      <c r="H33" s="493"/>
    </row>
    <row r="34" spans="1:8" ht="15" thickTop="1" x14ac:dyDescent="0.3">
      <c r="A34" s="491"/>
      <c r="B34" s="487"/>
      <c r="C34" s="228"/>
      <c r="D34" s="228"/>
      <c r="E34" s="228"/>
      <c r="F34" s="228"/>
      <c r="G34" s="228"/>
      <c r="H34" s="493"/>
    </row>
    <row r="35" spans="1:8" ht="15" thickBot="1" x14ac:dyDescent="0.35">
      <c r="A35" s="491">
        <v>15</v>
      </c>
      <c r="B35" s="487" t="s">
        <v>2108</v>
      </c>
      <c r="C35" s="227">
        <v>162928776.4084174</v>
      </c>
      <c r="D35" s="227">
        <v>23550167.008662164</v>
      </c>
      <c r="E35" s="227">
        <f>C35+D35</f>
        <v>186478943.41707957</v>
      </c>
      <c r="F35" s="227">
        <v>0</v>
      </c>
      <c r="G35" s="227">
        <f>F35+E35</f>
        <v>186478943.41707957</v>
      </c>
      <c r="H35" s="493"/>
    </row>
    <row r="36" spans="1:8" ht="15" thickTop="1" x14ac:dyDescent="0.3">
      <c r="A36" s="491"/>
      <c r="B36" s="487"/>
      <c r="C36" s="495"/>
      <c r="D36" s="495"/>
      <c r="E36" s="495"/>
      <c r="F36" s="495"/>
      <c r="G36" s="495"/>
      <c r="H36" s="493"/>
    </row>
    <row r="37" spans="1:8" x14ac:dyDescent="0.3">
      <c r="A37" s="491"/>
      <c r="B37" s="487"/>
      <c r="C37" s="493"/>
      <c r="D37" s="497"/>
      <c r="E37" s="493"/>
      <c r="F37" s="493"/>
      <c r="G37" s="493"/>
      <c r="H37" s="493"/>
    </row>
    <row r="38" spans="1:8" ht="15" thickBot="1" x14ac:dyDescent="0.35">
      <c r="A38" s="491">
        <v>16</v>
      </c>
      <c r="B38" s="487" t="s">
        <v>2109</v>
      </c>
      <c r="C38" s="498">
        <f>ROUND(+C33/C35,5)</f>
        <v>5.1659999999999998E-2</v>
      </c>
      <c r="D38" s="497"/>
      <c r="E38" s="498">
        <f>ROUND(+E33/E35,5)</f>
        <v>4.2540000000000001E-2</v>
      </c>
      <c r="F38" s="497"/>
      <c r="G38" s="498">
        <v>7.6289999999999997E-2</v>
      </c>
      <c r="H38" s="493"/>
    </row>
    <row r="39" spans="1:8" ht="15" thickTop="1" x14ac:dyDescent="0.3">
      <c r="A39" s="491"/>
      <c r="B39" s="487"/>
      <c r="C39" s="499"/>
      <c r="D39" s="497"/>
      <c r="E39" s="499"/>
      <c r="F39" s="497"/>
      <c r="G39" s="499"/>
      <c r="H39" s="493"/>
    </row>
    <row r="40" spans="1:8" ht="15" thickBot="1" x14ac:dyDescent="0.35">
      <c r="A40" s="491">
        <v>17</v>
      </c>
      <c r="B40" s="487" t="s">
        <v>2110</v>
      </c>
      <c r="C40" s="498">
        <v>5.3252525252525239E-2</v>
      </c>
      <c r="D40" s="497"/>
      <c r="E40" s="498">
        <v>3.4828282828282826E-2</v>
      </c>
      <c r="F40" s="497"/>
      <c r="G40" s="498">
        <v>0.103010101010101</v>
      </c>
      <c r="H40" s="493"/>
    </row>
    <row r="41" spans="1:8" ht="15" thickTop="1" x14ac:dyDescent="0.3">
      <c r="A41" s="487"/>
      <c r="B41" s="487"/>
      <c r="C41" s="493"/>
      <c r="D41" s="493"/>
      <c r="E41" s="493"/>
      <c r="F41" s="497"/>
      <c r="G41" s="493"/>
      <c r="H41" s="493"/>
    </row>
    <row r="42" spans="1:8" x14ac:dyDescent="0.3">
      <c r="A42" s="487"/>
      <c r="B42" s="487"/>
      <c r="C42" s="493"/>
      <c r="D42" s="493"/>
      <c r="E42" s="493"/>
      <c r="F42" s="493"/>
      <c r="G42" s="493"/>
      <c r="H42" s="493"/>
    </row>
    <row r="43" spans="1:8" x14ac:dyDescent="0.3">
      <c r="A43" s="487"/>
      <c r="B43" s="487"/>
      <c r="C43" s="493"/>
      <c r="D43" s="493"/>
      <c r="E43" s="222"/>
      <c r="F43" s="222"/>
      <c r="G43" s="493"/>
      <c r="H43" s="493"/>
    </row>
    <row r="44" spans="1:8" x14ac:dyDescent="0.3">
      <c r="A44" s="487"/>
      <c r="B44" s="487"/>
      <c r="C44" s="493"/>
      <c r="D44" s="493"/>
      <c r="E44" s="493"/>
      <c r="F44" s="493"/>
      <c r="G44" s="493"/>
      <c r="H44" s="493"/>
    </row>
    <row r="45" spans="1:8" x14ac:dyDescent="0.3">
      <c r="A45" s="487"/>
      <c r="B45" s="487" t="s">
        <v>2111</v>
      </c>
      <c r="C45" s="493"/>
      <c r="D45" s="493"/>
      <c r="E45" s="493"/>
      <c r="F45" s="493"/>
      <c r="G45" s="493"/>
      <c r="H45" s="493"/>
    </row>
    <row r="46" spans="1:8" x14ac:dyDescent="0.3">
      <c r="A46" s="491">
        <v>1</v>
      </c>
      <c r="B46" s="487" t="s">
        <v>2112</v>
      </c>
      <c r="C46" s="497"/>
      <c r="D46" s="493">
        <f>G33+G26</f>
        <v>16973443.0339645</v>
      </c>
      <c r="E46" s="493"/>
      <c r="F46" s="493"/>
      <c r="G46" s="493"/>
      <c r="H46" s="493"/>
    </row>
    <row r="47" spans="1:8" x14ac:dyDescent="0.3">
      <c r="A47" s="491">
        <v>2</v>
      </c>
      <c r="B47" s="487" t="s">
        <v>2113</v>
      </c>
      <c r="C47" s="497"/>
      <c r="D47" s="493">
        <v>4717917.2684521135</v>
      </c>
      <c r="E47" s="493"/>
      <c r="F47" s="493"/>
      <c r="G47" s="493"/>
      <c r="H47" s="493"/>
    </row>
    <row r="48" spans="1:8" x14ac:dyDescent="0.3">
      <c r="A48" s="491">
        <v>3</v>
      </c>
      <c r="B48" s="487" t="s">
        <v>2114</v>
      </c>
      <c r="C48" s="497"/>
      <c r="D48" s="500">
        <v>874267.52596804756</v>
      </c>
      <c r="E48" s="493"/>
      <c r="F48" s="493"/>
      <c r="G48" s="493"/>
      <c r="H48" s="493"/>
    </row>
    <row r="49" spans="1:8" x14ac:dyDescent="0.3">
      <c r="A49" s="491">
        <v>4</v>
      </c>
      <c r="B49" s="489" t="s">
        <v>2115</v>
      </c>
      <c r="C49" s="497"/>
      <c r="D49" s="493">
        <f>D46-D47+D48</f>
        <v>13129793.291480433</v>
      </c>
      <c r="E49" s="493"/>
      <c r="F49" s="493"/>
      <c r="G49" s="493"/>
      <c r="H49" s="493"/>
    </row>
    <row r="50" spans="1:8" x14ac:dyDescent="0.3">
      <c r="A50" s="491">
        <v>5</v>
      </c>
      <c r="B50" s="489" t="s">
        <v>2412</v>
      </c>
      <c r="C50" s="497"/>
      <c r="D50" s="493">
        <v>2746979.2632108908</v>
      </c>
      <c r="E50" s="493"/>
      <c r="F50" s="493"/>
      <c r="G50" s="493"/>
      <c r="H50" s="501"/>
    </row>
    <row r="51" spans="1:8" x14ac:dyDescent="0.3">
      <c r="A51" s="491">
        <v>6</v>
      </c>
      <c r="B51" s="487" t="s">
        <v>2116</v>
      </c>
      <c r="C51" s="497"/>
      <c r="D51" s="500">
        <f>G26</f>
        <v>2746978.4713658388</v>
      </c>
      <c r="E51" s="493"/>
      <c r="F51" s="493"/>
      <c r="G51" s="493"/>
      <c r="H51" s="493"/>
    </row>
    <row r="52" spans="1:8" x14ac:dyDescent="0.3">
      <c r="A52" s="491">
        <v>7</v>
      </c>
      <c r="B52" s="487" t="s">
        <v>2117</v>
      </c>
      <c r="C52" s="497"/>
      <c r="D52" s="493">
        <f>D50-D51</f>
        <v>0.79184505203738809</v>
      </c>
      <c r="E52" s="493"/>
      <c r="F52" s="493"/>
      <c r="G52" s="493"/>
      <c r="H52" s="502"/>
    </row>
    <row r="53" spans="1:8" x14ac:dyDescent="0.3">
      <c r="A53" s="491"/>
      <c r="B53" s="487"/>
      <c r="C53" s="493"/>
      <c r="D53" s="493"/>
      <c r="E53" s="493"/>
      <c r="F53" s="493"/>
      <c r="G53" s="493"/>
      <c r="H53" s="493"/>
    </row>
    <row r="54" spans="1:8" x14ac:dyDescent="0.3">
      <c r="A54" s="491"/>
      <c r="B54" s="487" t="s">
        <v>2118</v>
      </c>
      <c r="C54" s="493"/>
      <c r="D54" s="493"/>
      <c r="E54" s="493"/>
      <c r="F54" s="493"/>
      <c r="G54" s="502"/>
      <c r="H54" s="493"/>
    </row>
    <row r="55" spans="1:8" x14ac:dyDescent="0.3">
      <c r="A55" s="491">
        <v>1</v>
      </c>
      <c r="B55" s="487" t="s">
        <v>2119</v>
      </c>
      <c r="C55" s="493"/>
      <c r="D55" s="493">
        <f>G35*G38</f>
        <v>14226478.593288999</v>
      </c>
      <c r="E55" s="493"/>
      <c r="F55" s="493"/>
      <c r="G55" s="502"/>
      <c r="H55" s="493"/>
    </row>
    <row r="56" spans="1:8" x14ac:dyDescent="0.3">
      <c r="A56" s="491">
        <v>2</v>
      </c>
      <c r="B56" s="487" t="s">
        <v>2120</v>
      </c>
      <c r="C56" s="493"/>
      <c r="D56" s="493">
        <f>D55-E33</f>
        <v>6293522.6882565506</v>
      </c>
      <c r="E56" s="493"/>
      <c r="F56" s="493"/>
      <c r="G56" s="493"/>
      <c r="H56" s="493"/>
    </row>
    <row r="57" spans="1:8" x14ac:dyDescent="0.3">
      <c r="A57" s="491">
        <v>3</v>
      </c>
      <c r="B57" s="487" t="s">
        <v>2121</v>
      </c>
      <c r="C57" s="493"/>
      <c r="D57" s="493">
        <v>8312044.220061074</v>
      </c>
      <c r="E57" s="493"/>
      <c r="F57" s="493"/>
      <c r="G57" s="493"/>
      <c r="H57" s="493"/>
    </row>
    <row r="58" spans="1:8" x14ac:dyDescent="0.3">
      <c r="A58" s="491"/>
      <c r="B58" s="487"/>
      <c r="C58" s="493"/>
      <c r="D58" s="493"/>
      <c r="E58" s="493"/>
      <c r="F58" s="493"/>
      <c r="G58" s="493"/>
      <c r="H58" s="493"/>
    </row>
    <row r="59" spans="1:8" x14ac:dyDescent="0.3">
      <c r="A59" s="491">
        <v>4</v>
      </c>
      <c r="B59" s="487" t="s">
        <v>2122</v>
      </c>
      <c r="C59" s="493"/>
      <c r="D59" s="221">
        <f>G33/G35</f>
        <v>7.628992475992151E-2</v>
      </c>
      <c r="E59" s="493"/>
      <c r="F59" s="493"/>
      <c r="G59" s="493"/>
      <c r="H59" s="493"/>
    </row>
  </sheetData>
  <mergeCells count="1">
    <mergeCell ref="C5:G5"/>
  </mergeCells>
  <printOptions horizontalCentered="1"/>
  <pageMargins left="0.5" right="0.5" top="0.5" bottom="0.5" header="0.25" footer="0.25"/>
  <pageSetup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zoomScale="85" zoomScaleNormal="85" workbookViewId="0">
      <selection activeCell="F71" sqref="F71"/>
    </sheetView>
  </sheetViews>
  <sheetFormatPr defaultColWidth="9.109375" defaultRowHeight="14.4" x14ac:dyDescent="0.3"/>
  <cols>
    <col min="1" max="1" width="4.6640625" style="2" customWidth="1"/>
    <col min="2" max="2" width="30.5546875" style="2" customWidth="1"/>
    <col min="3" max="3" width="10.44140625" style="232" customWidth="1"/>
    <col min="4" max="15" width="15.6640625" style="2" customWidth="1"/>
    <col min="16" max="16" width="15.6640625" style="233" customWidth="1"/>
    <col min="17" max="17" width="15.6640625" style="2" customWidth="1"/>
    <col min="18" max="16384" width="9.109375" style="2"/>
  </cols>
  <sheetData>
    <row r="1" spans="1:19" ht="15" customHeight="1" x14ac:dyDescent="0.3">
      <c r="A1" s="503" t="s">
        <v>142</v>
      </c>
      <c r="B1" s="493"/>
      <c r="C1" s="504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6"/>
      <c r="Q1" s="505"/>
      <c r="S1" s="2" t="s">
        <v>2413</v>
      </c>
    </row>
    <row r="2" spans="1:19" ht="15" customHeight="1" x14ac:dyDescent="0.3">
      <c r="A2" s="503" t="s">
        <v>260</v>
      </c>
      <c r="B2" s="493"/>
      <c r="C2" s="504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6"/>
      <c r="Q2" s="505"/>
      <c r="S2" s="8" t="s">
        <v>1904</v>
      </c>
    </row>
    <row r="3" spans="1:19" ht="15" customHeight="1" x14ac:dyDescent="0.3">
      <c r="A3" s="489" t="s">
        <v>2306</v>
      </c>
      <c r="B3" s="493"/>
      <c r="C3" s="504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6"/>
      <c r="Q3" s="505"/>
      <c r="S3" s="8" t="s">
        <v>2430</v>
      </c>
    </row>
    <row r="4" spans="1:19" ht="15" customHeight="1" x14ac:dyDescent="0.3">
      <c r="A4" s="503" t="s">
        <v>261</v>
      </c>
      <c r="B4" s="493"/>
      <c r="C4" s="504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6"/>
      <c r="Q4" s="506"/>
      <c r="S4" s="8" t="s">
        <v>1959</v>
      </c>
    </row>
    <row r="5" spans="1:19" ht="15" customHeight="1" x14ac:dyDescent="0.3">
      <c r="A5" s="493"/>
      <c r="B5" s="505"/>
      <c r="C5" s="504"/>
      <c r="D5" s="507" t="s">
        <v>262</v>
      </c>
      <c r="E5" s="507" t="s">
        <v>263</v>
      </c>
      <c r="F5" s="507" t="s">
        <v>264</v>
      </c>
      <c r="G5" s="507" t="s">
        <v>265</v>
      </c>
      <c r="H5" s="507" t="s">
        <v>266</v>
      </c>
      <c r="I5" s="507" t="s">
        <v>267</v>
      </c>
      <c r="J5" s="507" t="s">
        <v>268</v>
      </c>
      <c r="K5" s="507" t="s">
        <v>269</v>
      </c>
      <c r="L5" s="507" t="s">
        <v>270</v>
      </c>
      <c r="M5" s="507" t="s">
        <v>271</v>
      </c>
      <c r="N5" s="507" t="s">
        <v>272</v>
      </c>
      <c r="O5" s="507" t="s">
        <v>273</v>
      </c>
      <c r="P5" s="508" t="s">
        <v>262</v>
      </c>
      <c r="Q5" s="508" t="s">
        <v>274</v>
      </c>
      <c r="S5" s="8" t="s">
        <v>2428</v>
      </c>
    </row>
    <row r="6" spans="1:19" ht="15" customHeight="1" x14ac:dyDescent="0.3">
      <c r="A6" s="493"/>
      <c r="B6" s="505"/>
      <c r="C6" s="504"/>
      <c r="D6" s="509" t="s">
        <v>275</v>
      </c>
      <c r="E6" s="509" t="str">
        <f>+D6</f>
        <v>2017</v>
      </c>
      <c r="F6" s="509" t="str">
        <f t="shared" ref="F6:P6" si="0">+E6</f>
        <v>2017</v>
      </c>
      <c r="G6" s="509" t="str">
        <f t="shared" si="0"/>
        <v>2017</v>
      </c>
      <c r="H6" s="509">
        <v>2018</v>
      </c>
      <c r="I6" s="509">
        <f t="shared" si="0"/>
        <v>2018</v>
      </c>
      <c r="J6" s="509">
        <f t="shared" si="0"/>
        <v>2018</v>
      </c>
      <c r="K6" s="509">
        <f t="shared" si="0"/>
        <v>2018</v>
      </c>
      <c r="L6" s="509">
        <f t="shared" si="0"/>
        <v>2018</v>
      </c>
      <c r="M6" s="509">
        <f t="shared" si="0"/>
        <v>2018</v>
      </c>
      <c r="N6" s="509">
        <f t="shared" si="0"/>
        <v>2018</v>
      </c>
      <c r="O6" s="509">
        <f t="shared" si="0"/>
        <v>2018</v>
      </c>
      <c r="P6" s="510">
        <f t="shared" si="0"/>
        <v>2018</v>
      </c>
      <c r="Q6" s="511" t="s">
        <v>276</v>
      </c>
      <c r="S6" s="485"/>
    </row>
    <row r="7" spans="1:19" ht="15" customHeight="1" thickBot="1" x14ac:dyDescent="0.35">
      <c r="A7" s="687" t="s">
        <v>146</v>
      </c>
      <c r="B7" s="687"/>
      <c r="C7" s="687"/>
      <c r="D7" s="512"/>
      <c r="E7" s="512"/>
      <c r="F7" s="512"/>
      <c r="G7" s="512"/>
      <c r="H7" s="512"/>
      <c r="I7" s="505"/>
      <c r="J7" s="505"/>
      <c r="K7" s="505"/>
      <c r="L7" s="505"/>
      <c r="M7" s="505"/>
      <c r="N7" s="505"/>
      <c r="O7" s="505"/>
      <c r="P7" s="506"/>
      <c r="Q7" s="506"/>
      <c r="S7" s="485"/>
    </row>
    <row r="8" spans="1:19" ht="15" customHeight="1" x14ac:dyDescent="0.3">
      <c r="A8" s="513" t="s">
        <v>277</v>
      </c>
      <c r="B8" s="514"/>
      <c r="C8" s="238"/>
      <c r="D8" s="247"/>
      <c r="E8" s="247"/>
      <c r="F8" s="247"/>
      <c r="G8" s="246"/>
      <c r="H8" s="512"/>
      <c r="I8" s="505"/>
      <c r="J8" s="505"/>
      <c r="K8" s="505"/>
      <c r="L8" s="505"/>
      <c r="M8" s="505"/>
      <c r="N8" s="505"/>
      <c r="O8" s="505"/>
      <c r="P8" s="506"/>
      <c r="Q8" s="506"/>
      <c r="S8" s="231"/>
    </row>
    <row r="9" spans="1:19" ht="15" customHeight="1" x14ac:dyDescent="0.3">
      <c r="A9" s="515"/>
      <c r="B9" s="515" t="s">
        <v>278</v>
      </c>
      <c r="C9" s="242"/>
      <c r="D9" s="240">
        <v>102343776.04000001</v>
      </c>
      <c r="E9" s="240">
        <v>102795438.95</v>
      </c>
      <c r="F9" s="240">
        <v>103900995.73</v>
      </c>
      <c r="G9" s="240">
        <v>105175573.62</v>
      </c>
      <c r="H9" s="240">
        <v>105211286.91000001</v>
      </c>
      <c r="I9" s="240">
        <v>105976732.03000002</v>
      </c>
      <c r="J9" s="240">
        <v>105934961.19000001</v>
      </c>
      <c r="K9" s="240">
        <v>105959177.52000001</v>
      </c>
      <c r="L9" s="240">
        <v>105958907.17000002</v>
      </c>
      <c r="M9" s="240">
        <v>106339618.55000001</v>
      </c>
      <c r="N9" s="240">
        <v>106349582.44000001</v>
      </c>
      <c r="O9" s="240">
        <v>106337337.65000001</v>
      </c>
      <c r="P9" s="240">
        <v>110918039.63000001</v>
      </c>
      <c r="Q9" s="240">
        <f>((D9/2)+SUM(E9:O9)+(P9/2))/12</f>
        <v>105547543.29958336</v>
      </c>
    </row>
    <row r="10" spans="1:19" ht="15" customHeight="1" x14ac:dyDescent="0.3">
      <c r="A10" s="515"/>
      <c r="B10" s="515" t="s">
        <v>279</v>
      </c>
      <c r="C10" s="242"/>
      <c r="D10" s="240">
        <v>84795.27</v>
      </c>
      <c r="E10" s="240">
        <v>84795.27</v>
      </c>
      <c r="F10" s="240">
        <v>84795.27</v>
      </c>
      <c r="G10" s="240">
        <v>84795.27</v>
      </c>
      <c r="H10" s="240">
        <v>84795.27</v>
      </c>
      <c r="I10" s="240">
        <v>84795.27</v>
      </c>
      <c r="J10" s="240">
        <v>84795.27</v>
      </c>
      <c r="K10" s="240">
        <v>84795.27</v>
      </c>
      <c r="L10" s="240">
        <v>84795.27</v>
      </c>
      <c r="M10" s="240">
        <v>84795.27</v>
      </c>
      <c r="N10" s="240">
        <v>84795.27</v>
      </c>
      <c r="O10" s="240">
        <v>84795.27</v>
      </c>
      <c r="P10" s="240">
        <v>84795.27</v>
      </c>
      <c r="Q10" s="240">
        <f>((D10/2)+SUM(E10:O10)+(P10/2))/12</f>
        <v>84795.27</v>
      </c>
    </row>
    <row r="11" spans="1:19" ht="15" customHeight="1" x14ac:dyDescent="0.3">
      <c r="A11" s="515"/>
      <c r="B11" s="515" t="s">
        <v>280</v>
      </c>
      <c r="C11" s="242"/>
      <c r="D11" s="240">
        <v>675198</v>
      </c>
      <c r="E11" s="240">
        <v>675198</v>
      </c>
      <c r="F11" s="240">
        <v>675198</v>
      </c>
      <c r="G11" s="240">
        <v>675198</v>
      </c>
      <c r="H11" s="240">
        <v>675198</v>
      </c>
      <c r="I11" s="240">
        <v>675198</v>
      </c>
      <c r="J11" s="240">
        <v>675198</v>
      </c>
      <c r="K11" s="240">
        <v>675198</v>
      </c>
      <c r="L11" s="240">
        <v>675198</v>
      </c>
      <c r="M11" s="240">
        <v>675198</v>
      </c>
      <c r="N11" s="240">
        <v>675198</v>
      </c>
      <c r="O11" s="240">
        <v>675198</v>
      </c>
      <c r="P11" s="240">
        <v>675198</v>
      </c>
      <c r="Q11" s="240">
        <f t="shared" ref="Q11:Q73" si="1">((D11/2)+SUM(E11:O11)+(P11/2))/12</f>
        <v>675198</v>
      </c>
    </row>
    <row r="12" spans="1:19" ht="15" customHeight="1" x14ac:dyDescent="0.3">
      <c r="A12" s="515"/>
      <c r="B12" s="515" t="s">
        <v>281</v>
      </c>
      <c r="C12" s="242"/>
      <c r="D12" s="240">
        <v>165102347.74999997</v>
      </c>
      <c r="E12" s="240">
        <v>165326950.46999997</v>
      </c>
      <c r="F12" s="240">
        <v>165348541.76999998</v>
      </c>
      <c r="G12" s="240">
        <v>166587143.39999998</v>
      </c>
      <c r="H12" s="240">
        <v>166646960.35999998</v>
      </c>
      <c r="I12" s="240">
        <v>166671736.08999997</v>
      </c>
      <c r="J12" s="240">
        <v>167823514.48999998</v>
      </c>
      <c r="K12" s="240">
        <v>167860782.07999998</v>
      </c>
      <c r="L12" s="240">
        <v>168195224.75999999</v>
      </c>
      <c r="M12" s="240">
        <v>168592916.39999998</v>
      </c>
      <c r="N12" s="240">
        <v>168666085.76999998</v>
      </c>
      <c r="O12" s="240">
        <v>168694326.54999998</v>
      </c>
      <c r="P12" s="240">
        <v>169634548.50999996</v>
      </c>
      <c r="Q12" s="240">
        <f t="shared" si="1"/>
        <v>167315219.18916664</v>
      </c>
    </row>
    <row r="13" spans="1:19" ht="15" customHeight="1" x14ac:dyDescent="0.3">
      <c r="A13" s="515"/>
      <c r="B13" s="515" t="s">
        <v>282</v>
      </c>
      <c r="C13" s="242"/>
      <c r="D13" s="240">
        <v>2132874661.9300005</v>
      </c>
      <c r="E13" s="240">
        <v>2140000757.28</v>
      </c>
      <c r="F13" s="240">
        <v>2148386972.1500001</v>
      </c>
      <c r="G13" s="240">
        <v>2161775493.0299997</v>
      </c>
      <c r="H13" s="240">
        <v>2168079145.48</v>
      </c>
      <c r="I13" s="240">
        <v>2171328431.1499991</v>
      </c>
      <c r="J13" s="240">
        <v>2183114102.3999996</v>
      </c>
      <c r="K13" s="240">
        <v>2187035911.79</v>
      </c>
      <c r="L13" s="240">
        <v>2194049822.1999998</v>
      </c>
      <c r="M13" s="240">
        <v>2203962401.0700002</v>
      </c>
      <c r="N13" s="240">
        <v>2209442463.2499995</v>
      </c>
      <c r="O13" s="240">
        <v>2217186171.1000009</v>
      </c>
      <c r="P13" s="240">
        <v>2226387112.1399999</v>
      </c>
      <c r="Q13" s="240">
        <f t="shared" si="1"/>
        <v>2180332713.1612501</v>
      </c>
    </row>
    <row r="14" spans="1:19" ht="15" customHeight="1" x14ac:dyDescent="0.3">
      <c r="A14" s="515"/>
      <c r="B14" s="515" t="s">
        <v>283</v>
      </c>
      <c r="C14" s="242"/>
      <c r="D14" s="240">
        <v>130867939.54000002</v>
      </c>
      <c r="E14" s="240">
        <v>127364703.75000001</v>
      </c>
      <c r="F14" s="240">
        <v>130898989.65000005</v>
      </c>
      <c r="G14" s="240">
        <v>132305811.64000003</v>
      </c>
      <c r="H14" s="240">
        <v>133613203.83000001</v>
      </c>
      <c r="I14" s="240">
        <v>133598610.13000001</v>
      </c>
      <c r="J14" s="240">
        <v>133842412.41000003</v>
      </c>
      <c r="K14" s="240">
        <v>133918067.51000004</v>
      </c>
      <c r="L14" s="240">
        <v>134888660.92000002</v>
      </c>
      <c r="M14" s="240">
        <v>140035829.44000003</v>
      </c>
      <c r="N14" s="240">
        <v>141966472.23000002</v>
      </c>
      <c r="O14" s="240">
        <v>142119016.06000003</v>
      </c>
      <c r="P14" s="240">
        <v>142319754.50000003</v>
      </c>
      <c r="Q14" s="240">
        <f t="shared" si="1"/>
        <v>135095468.71583334</v>
      </c>
    </row>
    <row r="15" spans="1:19" ht="15" customHeight="1" x14ac:dyDescent="0.3">
      <c r="A15" s="515"/>
      <c r="B15" s="513" t="s">
        <v>28</v>
      </c>
      <c r="C15" s="242"/>
      <c r="D15" s="240">
        <v>10767907.07</v>
      </c>
      <c r="E15" s="240">
        <v>10767907.07</v>
      </c>
      <c r="F15" s="240">
        <v>10767907.07</v>
      </c>
      <c r="G15" s="240">
        <v>10767907.07</v>
      </c>
      <c r="H15" s="240">
        <v>10767907.07</v>
      </c>
      <c r="I15" s="240">
        <v>10767907.07</v>
      </c>
      <c r="J15" s="240">
        <v>10767907.07</v>
      </c>
      <c r="K15" s="240">
        <v>10767907.07</v>
      </c>
      <c r="L15" s="240">
        <v>10767907.07</v>
      </c>
      <c r="M15" s="240">
        <v>10767907.07</v>
      </c>
      <c r="N15" s="240">
        <v>10767907.07</v>
      </c>
      <c r="O15" s="240">
        <v>10767907.07</v>
      </c>
      <c r="P15" s="240">
        <v>10767907.07</v>
      </c>
      <c r="Q15" s="240">
        <f t="shared" si="1"/>
        <v>10767907.069999998</v>
      </c>
    </row>
    <row r="16" spans="1:19" ht="15" customHeight="1" x14ac:dyDescent="0.3">
      <c r="A16" s="515"/>
      <c r="B16" s="513" t="s">
        <v>284</v>
      </c>
      <c r="C16" s="242"/>
      <c r="D16" s="240">
        <v>60074932.329999998</v>
      </c>
      <c r="E16" s="240">
        <v>60079511.559999995</v>
      </c>
      <c r="F16" s="240">
        <v>60090508.749999993</v>
      </c>
      <c r="G16" s="240">
        <v>60375857.269999996</v>
      </c>
      <c r="H16" s="240">
        <v>60383178.369999997</v>
      </c>
      <c r="I16" s="240">
        <v>60385021.119999997</v>
      </c>
      <c r="J16" s="240">
        <v>60386850.329999998</v>
      </c>
      <c r="K16" s="240">
        <v>60388632.869999997</v>
      </c>
      <c r="L16" s="240">
        <v>60379001.439999998</v>
      </c>
      <c r="M16" s="240">
        <v>60437190.669999994</v>
      </c>
      <c r="N16" s="240">
        <v>60438125.279999994</v>
      </c>
      <c r="O16" s="240">
        <v>60450494.389999993</v>
      </c>
      <c r="P16" s="240">
        <v>60497322.239999995</v>
      </c>
      <c r="Q16" s="240">
        <f t="shared" si="1"/>
        <v>60340041.611249991</v>
      </c>
    </row>
    <row r="17" spans="1:17" ht="15" customHeight="1" x14ac:dyDescent="0.3">
      <c r="A17" s="515"/>
      <c r="B17" s="515" t="s">
        <v>285</v>
      </c>
      <c r="C17" s="242"/>
      <c r="D17" s="245">
        <v>312776311.76000011</v>
      </c>
      <c r="E17" s="245">
        <v>316309651.31000012</v>
      </c>
      <c r="F17" s="245">
        <v>316695313.43000013</v>
      </c>
      <c r="G17" s="245">
        <v>314220158.93000013</v>
      </c>
      <c r="H17" s="245">
        <v>314242930.55000013</v>
      </c>
      <c r="I17" s="245">
        <v>318058924.60000008</v>
      </c>
      <c r="J17" s="245">
        <v>318088443.41000009</v>
      </c>
      <c r="K17" s="245">
        <v>318113158.00000012</v>
      </c>
      <c r="L17" s="245">
        <v>318098137.31000012</v>
      </c>
      <c r="M17" s="245">
        <v>320408989.87000012</v>
      </c>
      <c r="N17" s="245">
        <v>320417502.40000015</v>
      </c>
      <c r="O17" s="245">
        <v>320416360.06000012</v>
      </c>
      <c r="P17" s="245">
        <v>321048969.30000013</v>
      </c>
      <c r="Q17" s="245">
        <f t="shared" si="1"/>
        <v>317665184.20000011</v>
      </c>
    </row>
    <row r="18" spans="1:17" ht="15" customHeight="1" x14ac:dyDescent="0.3">
      <c r="A18" s="515"/>
      <c r="B18" s="515" t="s">
        <v>286</v>
      </c>
      <c r="C18" s="242"/>
      <c r="D18" s="244">
        <v>3790768.49</v>
      </c>
      <c r="E18" s="244">
        <v>3790768.49</v>
      </c>
      <c r="F18" s="244">
        <v>3790768.49</v>
      </c>
      <c r="G18" s="244">
        <v>3790768.49</v>
      </c>
      <c r="H18" s="244">
        <v>3790768.49</v>
      </c>
      <c r="I18" s="244">
        <v>3790768.49</v>
      </c>
      <c r="J18" s="244">
        <v>3790768.49</v>
      </c>
      <c r="K18" s="244">
        <v>3790768.49</v>
      </c>
      <c r="L18" s="244">
        <v>3790768.49</v>
      </c>
      <c r="M18" s="244">
        <v>3790768.49</v>
      </c>
      <c r="N18" s="244">
        <v>3790768.49</v>
      </c>
      <c r="O18" s="244">
        <v>3790768.49</v>
      </c>
      <c r="P18" s="244">
        <v>3790768.49</v>
      </c>
      <c r="Q18" s="244">
        <f t="shared" si="1"/>
        <v>3790768.4900000007</v>
      </c>
    </row>
    <row r="19" spans="1:17" ht="15" customHeight="1" x14ac:dyDescent="0.3">
      <c r="A19" s="515"/>
      <c r="B19" s="515"/>
      <c r="C19" s="242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</row>
    <row r="20" spans="1:17" ht="15" customHeight="1" thickBot="1" x14ac:dyDescent="0.35">
      <c r="A20" s="515"/>
      <c r="B20" s="515" t="s">
        <v>287</v>
      </c>
      <c r="C20" s="242"/>
      <c r="D20" s="237">
        <v>2919358638.1800008</v>
      </c>
      <c r="E20" s="237">
        <v>2927195682.1499996</v>
      </c>
      <c r="F20" s="237">
        <v>2940639990.3100004</v>
      </c>
      <c r="G20" s="237">
        <v>2955758706.7199998</v>
      </c>
      <c r="H20" s="237">
        <v>2963495374.3299999</v>
      </c>
      <c r="I20" s="237">
        <v>2971338123.9499989</v>
      </c>
      <c r="J20" s="237">
        <v>2984508953.0599995</v>
      </c>
      <c r="K20" s="237">
        <v>2988594398.5999999</v>
      </c>
      <c r="L20" s="237">
        <v>2996888422.6299996</v>
      </c>
      <c r="M20" s="237">
        <v>3015095614.8299999</v>
      </c>
      <c r="N20" s="237">
        <v>3022598900.1999998</v>
      </c>
      <c r="O20" s="237">
        <v>3030522374.6400003</v>
      </c>
      <c r="P20" s="237">
        <v>3046124415.1499996</v>
      </c>
      <c r="Q20" s="237">
        <f>SUM(Q9:Q19)</f>
        <v>2981614839.0070834</v>
      </c>
    </row>
    <row r="21" spans="1:17" ht="15" customHeight="1" thickTop="1" x14ac:dyDescent="0.3">
      <c r="A21" s="516"/>
      <c r="B21" s="516"/>
      <c r="C21" s="242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506"/>
    </row>
    <row r="22" spans="1:17" ht="15" customHeight="1" x14ac:dyDescent="0.3">
      <c r="A22" s="513" t="s">
        <v>288</v>
      </c>
      <c r="B22" s="514"/>
      <c r="C22" s="242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</row>
    <row r="23" spans="1:17" ht="15" customHeight="1" x14ac:dyDescent="0.3">
      <c r="A23" s="515"/>
      <c r="B23" s="515" t="s">
        <v>278</v>
      </c>
      <c r="C23" s="242"/>
      <c r="D23" s="240">
        <v>-62524337.56000001</v>
      </c>
      <c r="E23" s="240">
        <v>-62759202.31000001</v>
      </c>
      <c r="F23" s="240">
        <v>-62996863.700000003</v>
      </c>
      <c r="G23" s="240">
        <v>-63238775.020000003</v>
      </c>
      <c r="H23" s="240">
        <v>-63483063.81000001</v>
      </c>
      <c r="I23" s="240">
        <v>-63728791.130000003</v>
      </c>
      <c r="J23" s="240">
        <v>-63975818.31000001</v>
      </c>
      <c r="K23" s="240">
        <v>-64222813.81000001</v>
      </c>
      <c r="L23" s="240">
        <v>-64469852.410000004</v>
      </c>
      <c r="M23" s="240">
        <v>-64717574.100000001</v>
      </c>
      <c r="N23" s="240">
        <v>-64965997.539999999</v>
      </c>
      <c r="O23" s="240">
        <v>-65214416.660000004</v>
      </c>
      <c r="P23" s="240">
        <v>-65471040.090000004</v>
      </c>
      <c r="Q23" s="240">
        <f>((D23/2)+SUM(E23:O23)+(P23/2))/12</f>
        <v>-63980904.802083321</v>
      </c>
    </row>
    <row r="24" spans="1:17" ht="15" customHeight="1" x14ac:dyDescent="0.3">
      <c r="A24" s="515"/>
      <c r="B24" s="515" t="s">
        <v>279</v>
      </c>
      <c r="C24" s="242"/>
      <c r="D24" s="240">
        <v>0</v>
      </c>
      <c r="E24" s="240">
        <v>0</v>
      </c>
      <c r="F24" s="240">
        <v>0</v>
      </c>
      <c r="G24" s="240">
        <v>0</v>
      </c>
      <c r="H24" s="240">
        <v>0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f>((D24/2)+SUM(E24:O24)+(P24/2))/12</f>
        <v>0</v>
      </c>
    </row>
    <row r="25" spans="1:17" ht="15" customHeight="1" x14ac:dyDescent="0.3">
      <c r="A25" s="515"/>
      <c r="B25" s="515" t="s">
        <v>280</v>
      </c>
      <c r="C25" s="242"/>
      <c r="D25" s="240">
        <v>-691035.75</v>
      </c>
      <c r="E25" s="240">
        <v>-691035.75</v>
      </c>
      <c r="F25" s="240">
        <v>-691035.75</v>
      </c>
      <c r="G25" s="240">
        <v>-691035.75</v>
      </c>
      <c r="H25" s="240">
        <v>-691035.69</v>
      </c>
      <c r="I25" s="240">
        <v>-691035.7</v>
      </c>
      <c r="J25" s="240">
        <v>-691035.7</v>
      </c>
      <c r="K25" s="240">
        <v>-691035.7</v>
      </c>
      <c r="L25" s="240">
        <v>-691035.71</v>
      </c>
      <c r="M25" s="240">
        <v>-691035.7</v>
      </c>
      <c r="N25" s="240">
        <v>-691035.7</v>
      </c>
      <c r="O25" s="240">
        <v>-691035.69</v>
      </c>
      <c r="P25" s="240">
        <v>-691035.69</v>
      </c>
      <c r="Q25" s="240">
        <f t="shared" si="1"/>
        <v>-691035.71333333326</v>
      </c>
    </row>
    <row r="26" spans="1:17" ht="15" customHeight="1" x14ac:dyDescent="0.3">
      <c r="A26" s="515"/>
      <c r="B26" s="515" t="s">
        <v>281</v>
      </c>
      <c r="C26" s="242"/>
      <c r="D26" s="240">
        <v>-35198591.270000003</v>
      </c>
      <c r="E26" s="240">
        <v>-35611863.93</v>
      </c>
      <c r="F26" s="240">
        <v>-36025881.670000002</v>
      </c>
      <c r="G26" s="240">
        <v>-36441031.539999999</v>
      </c>
      <c r="H26" s="240">
        <v>-36857900.759999998</v>
      </c>
      <c r="I26" s="240">
        <v>-37276168.989999995</v>
      </c>
      <c r="J26" s="240">
        <v>-37694606.850000001</v>
      </c>
      <c r="K26" s="240">
        <v>-38115049.399999999</v>
      </c>
      <c r="L26" s="240">
        <v>-38535521.539999992</v>
      </c>
      <c r="M26" s="240">
        <v>-38957364.340000004</v>
      </c>
      <c r="N26" s="240">
        <v>-39379388.189999998</v>
      </c>
      <c r="O26" s="240">
        <v>-39801542.710000001</v>
      </c>
      <c r="P26" s="240">
        <v>-40224172.430000007</v>
      </c>
      <c r="Q26" s="240">
        <f t="shared" si="1"/>
        <v>-37700641.814166665</v>
      </c>
    </row>
    <row r="27" spans="1:17" ht="15" customHeight="1" x14ac:dyDescent="0.3">
      <c r="A27" s="515"/>
      <c r="B27" s="515" t="s">
        <v>282</v>
      </c>
      <c r="C27" s="242"/>
      <c r="D27" s="240">
        <v>-990378349.65999997</v>
      </c>
      <c r="E27" s="240">
        <v>-994028244.84999979</v>
      </c>
      <c r="F27" s="240">
        <v>-997877668.97000027</v>
      </c>
      <c r="G27" s="240">
        <v>-1001460545.9400001</v>
      </c>
      <c r="H27" s="240">
        <v>-1004738481.9</v>
      </c>
      <c r="I27" s="240">
        <v>-1008257483.3</v>
      </c>
      <c r="J27" s="240">
        <v>-1011729124.3700001</v>
      </c>
      <c r="K27" s="240">
        <v>-1015259307.63</v>
      </c>
      <c r="L27" s="240">
        <v>-1019060727.45</v>
      </c>
      <c r="M27" s="240">
        <v>-1022176196.7500004</v>
      </c>
      <c r="N27" s="240">
        <v>-1025018668.8299999</v>
      </c>
      <c r="O27" s="240">
        <v>-1028199174.58</v>
      </c>
      <c r="P27" s="240">
        <v>-1032025124.5699999</v>
      </c>
      <c r="Q27" s="240">
        <f t="shared" si="1"/>
        <v>-1011583946.8070832</v>
      </c>
    </row>
    <row r="28" spans="1:17" ht="15" customHeight="1" x14ac:dyDescent="0.3">
      <c r="A28" s="515"/>
      <c r="B28" s="515" t="s">
        <v>283</v>
      </c>
      <c r="C28" s="242"/>
      <c r="D28" s="240">
        <v>-54185254.540000007</v>
      </c>
      <c r="E28" s="240">
        <v>-50853849.110000014</v>
      </c>
      <c r="F28" s="240">
        <v>-51621896.509999998</v>
      </c>
      <c r="G28" s="240">
        <v>-52414707.479999997</v>
      </c>
      <c r="H28" s="240">
        <v>-53254299.859999999</v>
      </c>
      <c r="I28" s="240">
        <v>-53744783.229999997</v>
      </c>
      <c r="J28" s="240">
        <v>-54350553.569999993</v>
      </c>
      <c r="K28" s="240">
        <v>-55166222.960000008</v>
      </c>
      <c r="L28" s="240">
        <v>-55624930.510000005</v>
      </c>
      <c r="M28" s="240">
        <v>-56459605.999999993</v>
      </c>
      <c r="N28" s="240">
        <v>-57355537.299999997</v>
      </c>
      <c r="O28" s="240">
        <v>-58254318.559999995</v>
      </c>
      <c r="P28" s="240">
        <v>-59042688.969999999</v>
      </c>
      <c r="Q28" s="240">
        <f t="shared" si="1"/>
        <v>-54642889.737083323</v>
      </c>
    </row>
    <row r="29" spans="1:17" ht="15" customHeight="1" x14ac:dyDescent="0.3">
      <c r="A29" s="515"/>
      <c r="B29" s="513" t="s">
        <v>28</v>
      </c>
      <c r="C29" s="242"/>
      <c r="D29" s="240">
        <v>-437351</v>
      </c>
      <c r="E29" s="240">
        <v>-437351</v>
      </c>
      <c r="F29" s="240">
        <v>-437351</v>
      </c>
      <c r="G29" s="240">
        <v>-437351</v>
      </c>
      <c r="H29" s="240">
        <v>-437351</v>
      </c>
      <c r="I29" s="240">
        <v>-437351</v>
      </c>
      <c r="J29" s="240">
        <v>-437351</v>
      </c>
      <c r="K29" s="240">
        <v>-437351</v>
      </c>
      <c r="L29" s="240">
        <v>-437351</v>
      </c>
      <c r="M29" s="240">
        <v>-437351</v>
      </c>
      <c r="N29" s="240">
        <v>-437351</v>
      </c>
      <c r="O29" s="240">
        <v>-437351</v>
      </c>
      <c r="P29" s="240">
        <v>-437351</v>
      </c>
      <c r="Q29" s="240">
        <f t="shared" si="1"/>
        <v>-437351</v>
      </c>
    </row>
    <row r="30" spans="1:17" ht="15" customHeight="1" x14ac:dyDescent="0.3">
      <c r="A30" s="515"/>
      <c r="B30" s="513" t="s">
        <v>284</v>
      </c>
      <c r="C30" s="242"/>
      <c r="D30" s="240">
        <v>-10343506.77</v>
      </c>
      <c r="E30" s="240">
        <v>-10441220.700000001</v>
      </c>
      <c r="F30" s="240">
        <v>-10538947.040000001</v>
      </c>
      <c r="G30" s="240">
        <v>-10636914.34</v>
      </c>
      <c r="H30" s="240">
        <v>-10735124.210000001</v>
      </c>
      <c r="I30" s="240">
        <v>-10833342.069999998</v>
      </c>
      <c r="J30" s="240">
        <v>-10931562.66</v>
      </c>
      <c r="K30" s="240">
        <v>-11029786.49</v>
      </c>
      <c r="L30" s="240">
        <v>-11128004.02</v>
      </c>
      <c r="M30" s="240">
        <v>-11226260.76</v>
      </c>
      <c r="N30" s="240">
        <v>-11324566.17</v>
      </c>
      <c r="O30" s="240">
        <v>-11422882.860000001</v>
      </c>
      <c r="P30" s="240">
        <v>-11521247.91</v>
      </c>
      <c r="Q30" s="240">
        <f t="shared" si="1"/>
        <v>-10931749.055000002</v>
      </c>
    </row>
    <row r="31" spans="1:17" ht="15" customHeight="1" x14ac:dyDescent="0.3">
      <c r="A31" s="515"/>
      <c r="B31" s="515" t="s">
        <v>285</v>
      </c>
      <c r="C31" s="242"/>
      <c r="D31" s="240">
        <v>-136434080.39999995</v>
      </c>
      <c r="E31" s="240">
        <v>-137060612.74000001</v>
      </c>
      <c r="F31" s="240">
        <v>-137688203.49999997</v>
      </c>
      <c r="G31" s="240">
        <v>-135042843.80999997</v>
      </c>
      <c r="H31" s="240">
        <v>-135668643.35999995</v>
      </c>
      <c r="I31" s="240">
        <v>-136299148.41999999</v>
      </c>
      <c r="J31" s="240">
        <v>-136931900.08000007</v>
      </c>
      <c r="K31" s="240">
        <v>-137565119.33999994</v>
      </c>
      <c r="L31" s="240">
        <v>-138197975.22</v>
      </c>
      <c r="M31" s="240">
        <v>-138833127.83999994</v>
      </c>
      <c r="N31" s="240">
        <v>-139469792.33999997</v>
      </c>
      <c r="O31" s="240">
        <v>-140106457.91000003</v>
      </c>
      <c r="P31" s="240">
        <v>-140744214.84</v>
      </c>
      <c r="Q31" s="245">
        <f t="shared" si="1"/>
        <v>-137621081.01499999</v>
      </c>
    </row>
    <row r="32" spans="1:17" ht="15" customHeight="1" x14ac:dyDescent="0.3">
      <c r="A32" s="515"/>
      <c r="B32" s="515" t="s">
        <v>286</v>
      </c>
      <c r="C32" s="242"/>
      <c r="D32" s="244">
        <v>-2123803.83</v>
      </c>
      <c r="E32" s="244">
        <v>-2126448.2999999998</v>
      </c>
      <c r="F32" s="244">
        <v>-2129092.7800000003</v>
      </c>
      <c r="G32" s="244">
        <v>-2131737.2400000002</v>
      </c>
      <c r="H32" s="244">
        <v>-2134381.66</v>
      </c>
      <c r="I32" s="244">
        <v>-2137026.17</v>
      </c>
      <c r="J32" s="244">
        <v>-2139670.6100000003</v>
      </c>
      <c r="K32" s="244">
        <v>-2142315.0499999998</v>
      </c>
      <c r="L32" s="244">
        <v>-2144959.4699999997</v>
      </c>
      <c r="M32" s="244">
        <v>-2147603.98</v>
      </c>
      <c r="N32" s="244">
        <v>-2150248.4299999997</v>
      </c>
      <c r="O32" s="244">
        <v>-2152892.8899999997</v>
      </c>
      <c r="P32" s="244">
        <v>-2155537.31</v>
      </c>
      <c r="Q32" s="244">
        <f t="shared" si="1"/>
        <v>-2139670.5958333337</v>
      </c>
    </row>
    <row r="33" spans="1:17" ht="15" customHeight="1" x14ac:dyDescent="0.3">
      <c r="A33" s="515"/>
      <c r="B33" s="515"/>
      <c r="C33" s="242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5" customHeight="1" thickBot="1" x14ac:dyDescent="0.35">
      <c r="A34" s="515"/>
      <c r="B34" s="515" t="s">
        <v>289</v>
      </c>
      <c r="C34" s="242"/>
      <c r="D34" s="237">
        <f>SUM(D23:D33)</f>
        <v>-1292316310.7799997</v>
      </c>
      <c r="E34" s="237">
        <f t="shared" ref="E34:Q34" si="2">SUM(E23:E33)</f>
        <v>-1294009828.6899998</v>
      </c>
      <c r="F34" s="237">
        <f t="shared" si="2"/>
        <v>-1300006940.9200001</v>
      </c>
      <c r="G34" s="237">
        <f t="shared" si="2"/>
        <v>-1302494942.1199999</v>
      </c>
      <c r="H34" s="237">
        <f t="shared" si="2"/>
        <v>-1308000282.25</v>
      </c>
      <c r="I34" s="237">
        <f t="shared" si="2"/>
        <v>-1313405130.01</v>
      </c>
      <c r="J34" s="237">
        <f t="shared" si="2"/>
        <v>-1318881623.1500001</v>
      </c>
      <c r="K34" s="237">
        <f t="shared" si="2"/>
        <v>-1324629001.3799999</v>
      </c>
      <c r="L34" s="237">
        <f t="shared" si="2"/>
        <v>-1330290357.3300002</v>
      </c>
      <c r="M34" s="237">
        <f t="shared" si="2"/>
        <v>-1335646120.4700003</v>
      </c>
      <c r="N34" s="237">
        <f t="shared" si="2"/>
        <v>-1340792585.5</v>
      </c>
      <c r="O34" s="237">
        <f t="shared" si="2"/>
        <v>-1346280072.8600001</v>
      </c>
      <c r="P34" s="237">
        <f t="shared" si="2"/>
        <v>-1352312412.8099999</v>
      </c>
      <c r="Q34" s="237">
        <f t="shared" si="2"/>
        <v>-1319729270.5395832</v>
      </c>
    </row>
    <row r="35" spans="1:17" ht="15" customHeight="1" thickTop="1" x14ac:dyDescent="0.3">
      <c r="A35" s="517"/>
      <c r="B35" s="241"/>
      <c r="C35" s="238"/>
      <c r="D35" s="240"/>
      <c r="E35" s="240"/>
      <c r="F35" s="240"/>
      <c r="G35" s="242"/>
      <c r="H35" s="512"/>
      <c r="I35" s="505"/>
      <c r="J35" s="505"/>
      <c r="K35" s="505"/>
      <c r="L35" s="505"/>
      <c r="M35" s="505"/>
      <c r="N35" s="505"/>
      <c r="O35" s="505"/>
      <c r="P35" s="506"/>
      <c r="Q35" s="506"/>
    </row>
    <row r="36" spans="1:17" ht="15" customHeight="1" x14ac:dyDescent="0.3">
      <c r="A36" s="517"/>
      <c r="B36" s="241" t="s">
        <v>257</v>
      </c>
      <c r="C36" s="238"/>
      <c r="D36" s="240">
        <v>14141902.34</v>
      </c>
      <c r="E36" s="240">
        <v>14139823.939999999</v>
      </c>
      <c r="F36" s="240">
        <v>14137731.6</v>
      </c>
      <c r="G36" s="240">
        <v>18488587.359999999</v>
      </c>
      <c r="H36" s="240">
        <v>18486971.060000002</v>
      </c>
      <c r="I36" s="240">
        <v>18484665.539999999</v>
      </c>
      <c r="J36" s="240">
        <v>18482827.060000002</v>
      </c>
      <c r="K36" s="240">
        <v>18480561.890000001</v>
      </c>
      <c r="L36" s="240">
        <v>18478826.470000003</v>
      </c>
      <c r="M36" s="240">
        <v>18478349.199999999</v>
      </c>
      <c r="N36" s="240">
        <v>18501807.470000003</v>
      </c>
      <c r="O36" s="240">
        <v>18500225.260000002</v>
      </c>
      <c r="P36" s="240">
        <v>18498668.720000003</v>
      </c>
      <c r="Q36" s="240">
        <f t="shared" si="1"/>
        <v>17581721.864999998</v>
      </c>
    </row>
    <row r="37" spans="1:17" ht="15" customHeight="1" x14ac:dyDescent="0.3">
      <c r="A37" s="517"/>
      <c r="B37" s="241" t="s">
        <v>258</v>
      </c>
      <c r="C37" s="238"/>
      <c r="D37" s="240">
        <v>-4053176.94</v>
      </c>
      <c r="E37" s="240">
        <v>-4111810.57</v>
      </c>
      <c r="F37" s="240">
        <v>-3901897.72</v>
      </c>
      <c r="G37" s="240">
        <v>-3965148.72</v>
      </c>
      <c r="H37" s="240">
        <v>-4041490.49</v>
      </c>
      <c r="I37" s="240">
        <v>-4107884.26</v>
      </c>
      <c r="J37" s="240">
        <v>-4087078.22</v>
      </c>
      <c r="K37" s="240">
        <v>-4163333.99</v>
      </c>
      <c r="L37" s="240">
        <v>-4268622.26</v>
      </c>
      <c r="M37" s="240">
        <v>-4367024.72</v>
      </c>
      <c r="N37" s="240">
        <v>-4494193.72</v>
      </c>
      <c r="O37" s="240">
        <v>-4608549.72</v>
      </c>
      <c r="P37" s="240">
        <v>-4686796.24</v>
      </c>
      <c r="Q37" s="240">
        <f t="shared" si="1"/>
        <v>-4207251.7483333321</v>
      </c>
    </row>
    <row r="38" spans="1:17" ht="15" customHeight="1" x14ac:dyDescent="0.3">
      <c r="A38" s="517"/>
      <c r="B38" s="241" t="s">
        <v>290</v>
      </c>
      <c r="C38" s="238"/>
      <c r="D38" s="240">
        <v>311029.95999999996</v>
      </c>
      <c r="E38" s="240">
        <v>289990.23000000045</v>
      </c>
      <c r="F38" s="240">
        <v>273288.64000000013</v>
      </c>
      <c r="G38" s="240">
        <v>280355.16000000015</v>
      </c>
      <c r="H38" s="240">
        <v>257039.56999999983</v>
      </c>
      <c r="I38" s="240">
        <v>233206.7200000002</v>
      </c>
      <c r="J38" s="240">
        <v>209373.87000000011</v>
      </c>
      <c r="K38" s="240">
        <v>201171.62000000011</v>
      </c>
      <c r="L38" s="240">
        <v>177425.72999999998</v>
      </c>
      <c r="M38" s="240">
        <v>156586.9299999997</v>
      </c>
      <c r="N38" s="240">
        <v>134747.03000000026</v>
      </c>
      <c r="O38" s="240">
        <v>112134.62000000011</v>
      </c>
      <c r="P38" s="240">
        <v>89428.010000000242</v>
      </c>
      <c r="Q38" s="240">
        <f t="shared" si="1"/>
        <v>210462.42541666678</v>
      </c>
    </row>
    <row r="39" spans="1:17" s="233" customFormat="1" ht="15" customHeight="1" x14ac:dyDescent="0.3">
      <c r="A39" s="518"/>
      <c r="B39" s="243" t="s">
        <v>451</v>
      </c>
      <c r="C39" s="242"/>
      <c r="D39" s="240">
        <v>64227540.881361388</v>
      </c>
      <c r="E39" s="240">
        <v>63343617.152090661</v>
      </c>
      <c r="F39" s="240">
        <v>62401477.668470725</v>
      </c>
      <c r="G39" s="240">
        <v>61474177.715785049</v>
      </c>
      <c r="H39" s="240">
        <v>60379281.058799185</v>
      </c>
      <c r="I39" s="240">
        <v>59429947.92786704</v>
      </c>
      <c r="J39" s="240">
        <v>58399198.357815184</v>
      </c>
      <c r="K39" s="240">
        <v>57435594.756634399</v>
      </c>
      <c r="L39" s="240">
        <v>56459265.978967234</v>
      </c>
      <c r="M39" s="240">
        <v>55566517.431129336</v>
      </c>
      <c r="N39" s="240">
        <v>54392699.255927578</v>
      </c>
      <c r="O39" s="240">
        <v>53257965.584913865</v>
      </c>
      <c r="P39" s="240">
        <v>52190434.448521607</v>
      </c>
      <c r="Q39" s="240">
        <f t="shared" si="1"/>
        <v>58395727.546111822</v>
      </c>
    </row>
    <row r="40" spans="1:17" ht="15" customHeight="1" x14ac:dyDescent="0.3">
      <c r="A40" s="517"/>
      <c r="B40" s="493"/>
      <c r="C40" s="238"/>
      <c r="D40" s="240"/>
      <c r="E40" s="240"/>
      <c r="F40" s="240"/>
      <c r="G40" s="242"/>
      <c r="H40" s="512"/>
      <c r="I40" s="506"/>
      <c r="J40" s="506"/>
      <c r="K40" s="506"/>
      <c r="L40" s="506"/>
      <c r="M40" s="506"/>
      <c r="N40" s="506"/>
      <c r="O40" s="506"/>
      <c r="P40" s="506"/>
      <c r="Q40" s="506"/>
    </row>
    <row r="41" spans="1:17" s="233" customFormat="1" ht="15" customHeight="1" x14ac:dyDescent="0.3">
      <c r="A41" s="518"/>
      <c r="B41" s="243" t="s">
        <v>291</v>
      </c>
      <c r="C41" s="242"/>
      <c r="D41" s="244">
        <v>-430947126.47000003</v>
      </c>
      <c r="E41" s="244">
        <v>-431135548.3296119</v>
      </c>
      <c r="F41" s="244">
        <v>-431323970.18922377</v>
      </c>
      <c r="G41" s="244">
        <v>-431512392.04883564</v>
      </c>
      <c r="H41" s="244">
        <v>-431700813.9084475</v>
      </c>
      <c r="I41" s="244">
        <v>-431889235.76805937</v>
      </c>
      <c r="J41" s="244">
        <v>-432077657.62767124</v>
      </c>
      <c r="K41" s="244">
        <v>-432266079.48728311</v>
      </c>
      <c r="L41" s="244">
        <v>-432454501.34689498</v>
      </c>
      <c r="M41" s="244">
        <v>-432642923.20650685</v>
      </c>
      <c r="N41" s="244">
        <v>-432831345.06611872</v>
      </c>
      <c r="O41" s="244">
        <v>-433019766.92573059</v>
      </c>
      <c r="P41" s="244">
        <v>-433208188.78534251</v>
      </c>
      <c r="Q41" s="244">
        <f>+(P41+D41)/2</f>
        <v>-432077657.62767124</v>
      </c>
    </row>
    <row r="42" spans="1:17" ht="15" customHeight="1" x14ac:dyDescent="0.3">
      <c r="A42" s="517"/>
      <c r="B42" s="241"/>
      <c r="C42" s="238"/>
      <c r="D42" s="240"/>
      <c r="E42" s="240"/>
      <c r="F42" s="240"/>
      <c r="G42" s="519"/>
      <c r="H42" s="512"/>
      <c r="I42" s="505"/>
      <c r="J42" s="505"/>
      <c r="K42" s="505"/>
      <c r="L42" s="505"/>
      <c r="M42" s="505"/>
      <c r="N42" s="505"/>
      <c r="O42" s="505"/>
      <c r="P42" s="506"/>
      <c r="Q42" s="506"/>
    </row>
    <row r="43" spans="1:17" ht="15" customHeight="1" thickBot="1" x14ac:dyDescent="0.35">
      <c r="A43" s="517"/>
      <c r="B43" s="239" t="s">
        <v>292</v>
      </c>
      <c r="C43" s="238"/>
      <c r="D43" s="236">
        <f>+D20+D34+D36+D37+D38+D41+D39</f>
        <v>1270722497.1713624</v>
      </c>
      <c r="E43" s="236">
        <f t="shared" ref="E43:Q43" si="3">+E20+E34+E36+E37+E38+E41+E39</f>
        <v>1275711925.8824787</v>
      </c>
      <c r="F43" s="236">
        <f t="shared" si="3"/>
        <v>1282219679.3892472</v>
      </c>
      <c r="G43" s="236">
        <f t="shared" si="3"/>
        <v>1298029344.0669494</v>
      </c>
      <c r="H43" s="236">
        <f t="shared" si="3"/>
        <v>1298876079.3703516</v>
      </c>
      <c r="I43" s="236">
        <f t="shared" si="3"/>
        <v>1300083694.0998063</v>
      </c>
      <c r="J43" s="236">
        <f t="shared" si="3"/>
        <v>1306553993.3501432</v>
      </c>
      <c r="K43" s="236">
        <f t="shared" si="3"/>
        <v>1303653312.0093515</v>
      </c>
      <c r="L43" s="236">
        <f t="shared" si="3"/>
        <v>1304990459.8720717</v>
      </c>
      <c r="M43" s="236">
        <f t="shared" si="3"/>
        <v>1316640999.9946222</v>
      </c>
      <c r="N43" s="236">
        <f t="shared" si="3"/>
        <v>1317510029.6698086</v>
      </c>
      <c r="O43" s="236">
        <f t="shared" si="3"/>
        <v>1318484310.5991833</v>
      </c>
      <c r="P43" s="236">
        <f t="shared" si="3"/>
        <v>1326695548.4931788</v>
      </c>
      <c r="Q43" s="236">
        <f t="shared" si="3"/>
        <v>1301788570.9280243</v>
      </c>
    </row>
    <row r="44" spans="1:17" ht="15" customHeight="1" thickTop="1" x14ac:dyDescent="0.3">
      <c r="A44" s="517"/>
      <c r="B44" s="505"/>
      <c r="C44" s="504"/>
      <c r="D44" s="512"/>
      <c r="E44" s="512"/>
      <c r="F44" s="512"/>
      <c r="G44" s="512"/>
      <c r="H44" s="512"/>
      <c r="I44" s="505"/>
      <c r="J44" s="505"/>
      <c r="K44" s="505"/>
      <c r="L44" s="505"/>
      <c r="M44" s="505"/>
      <c r="N44" s="505"/>
      <c r="O44" s="505"/>
      <c r="P44" s="506"/>
      <c r="Q44" s="506"/>
    </row>
    <row r="45" spans="1:17" ht="15" customHeight="1" x14ac:dyDescent="0.3">
      <c r="A45" s="517"/>
      <c r="B45" s="503" t="s">
        <v>293</v>
      </c>
      <c r="C45" s="504"/>
      <c r="D45" s="512"/>
      <c r="E45" s="512"/>
      <c r="F45" s="512"/>
      <c r="G45" s="512"/>
      <c r="H45" s="512"/>
      <c r="I45" s="505"/>
      <c r="J45" s="505"/>
      <c r="K45" s="505"/>
      <c r="L45" s="505"/>
      <c r="M45" s="505"/>
      <c r="N45" s="505"/>
      <c r="O45" s="505"/>
      <c r="P45" s="235"/>
      <c r="Q45" s="235">
        <f>Q43</f>
        <v>1301788570.9280243</v>
      </c>
    </row>
    <row r="46" spans="1:17" ht="15" customHeight="1" x14ac:dyDescent="0.3">
      <c r="A46" s="517"/>
      <c r="B46" s="520" t="s">
        <v>294</v>
      </c>
      <c r="C46" s="504"/>
      <c r="D46" s="512"/>
      <c r="E46" s="512"/>
      <c r="F46" s="512"/>
      <c r="G46" s="512"/>
      <c r="H46" s="512"/>
      <c r="I46" s="505"/>
      <c r="J46" s="505"/>
      <c r="K46" s="505"/>
      <c r="L46" s="505"/>
      <c r="M46" s="505"/>
      <c r="N46" s="505"/>
      <c r="O46" s="505"/>
      <c r="P46" s="235"/>
      <c r="Q46" s="235">
        <f>-+Q41</f>
        <v>432077657.62767124</v>
      </c>
    </row>
    <row r="47" spans="1:17" ht="15" customHeight="1" x14ac:dyDescent="0.3">
      <c r="A47" s="517"/>
      <c r="B47" s="521" t="s">
        <v>295</v>
      </c>
      <c r="C47" s="504"/>
      <c r="D47" s="512"/>
      <c r="E47" s="512"/>
      <c r="F47" s="512"/>
      <c r="G47" s="512"/>
      <c r="H47" s="512"/>
      <c r="I47" s="505"/>
      <c r="J47" s="505"/>
      <c r="K47" s="505"/>
      <c r="L47" s="505"/>
      <c r="M47" s="505"/>
      <c r="N47" s="505"/>
      <c r="O47" s="522"/>
      <c r="P47" s="234"/>
      <c r="Q47" s="234">
        <f>+P41</f>
        <v>-433208188.78534251</v>
      </c>
    </row>
    <row r="48" spans="1:17" ht="15" customHeight="1" thickBot="1" x14ac:dyDescent="0.35">
      <c r="A48" s="517"/>
      <c r="B48" s="523" t="s">
        <v>296</v>
      </c>
      <c r="C48" s="504"/>
      <c r="D48" s="512"/>
      <c r="E48" s="512"/>
      <c r="F48" s="512"/>
      <c r="G48" s="512"/>
      <c r="H48" s="512"/>
      <c r="I48" s="505"/>
      <c r="J48" s="505"/>
      <c r="K48" s="505"/>
      <c r="L48" s="505"/>
      <c r="M48" s="505"/>
      <c r="N48" s="505"/>
      <c r="O48" s="505"/>
      <c r="P48" s="524"/>
      <c r="Q48" s="525">
        <f>SUM(Q45:Q47)</f>
        <v>1300658039.7703531</v>
      </c>
    </row>
    <row r="49" spans="1:17" ht="15" customHeight="1" thickTop="1" x14ac:dyDescent="0.3">
      <c r="A49" s="517"/>
      <c r="B49" s="505"/>
      <c r="C49" s="504"/>
      <c r="D49" s="512"/>
      <c r="E49" s="512"/>
      <c r="F49" s="512"/>
      <c r="G49" s="512"/>
      <c r="H49" s="512"/>
      <c r="I49" s="505"/>
      <c r="J49" s="505"/>
      <c r="K49" s="505"/>
      <c r="L49" s="505"/>
      <c r="M49" s="505"/>
      <c r="N49" s="505"/>
      <c r="O49" s="505"/>
      <c r="P49" s="512"/>
      <c r="Q49" s="506"/>
    </row>
    <row r="50" spans="1:17" ht="15" customHeight="1" thickBot="1" x14ac:dyDescent="0.35">
      <c r="A50" s="687" t="s">
        <v>147</v>
      </c>
      <c r="B50" s="687"/>
      <c r="C50" s="687"/>
      <c r="D50" s="512"/>
      <c r="E50" s="512"/>
      <c r="F50" s="512"/>
      <c r="G50" s="512"/>
      <c r="H50" s="512"/>
      <c r="I50" s="505"/>
      <c r="J50" s="505"/>
      <c r="K50" s="505"/>
      <c r="L50" s="505"/>
      <c r="M50" s="505"/>
      <c r="N50" s="505"/>
      <c r="O50" s="505"/>
      <c r="P50" s="506"/>
      <c r="Q50" s="506"/>
    </row>
    <row r="51" spans="1:17" ht="15" customHeight="1" x14ac:dyDescent="0.3">
      <c r="A51" s="513" t="s">
        <v>277</v>
      </c>
      <c r="B51" s="514"/>
      <c r="C51" s="238"/>
      <c r="D51" s="247"/>
      <c r="E51" s="247"/>
      <c r="F51" s="247"/>
      <c r="G51" s="246"/>
      <c r="H51" s="512"/>
      <c r="I51" s="505"/>
      <c r="J51" s="505"/>
      <c r="K51" s="505"/>
      <c r="L51" s="505"/>
      <c r="M51" s="505"/>
      <c r="N51" s="505"/>
      <c r="O51" s="505"/>
      <c r="P51" s="506"/>
      <c r="Q51" s="506"/>
    </row>
    <row r="52" spans="1:17" ht="15" customHeight="1" x14ac:dyDescent="0.3">
      <c r="A52" s="515"/>
      <c r="B52" s="515" t="s">
        <v>278</v>
      </c>
      <c r="C52" s="242"/>
      <c r="D52" s="240">
        <v>11421565.406064004</v>
      </c>
      <c r="E52" s="240">
        <v>11471970.986820003</v>
      </c>
      <c r="F52" s="240">
        <v>11595351.123468004</v>
      </c>
      <c r="G52" s="240">
        <v>11737594.015992004</v>
      </c>
      <c r="H52" s="240">
        <v>11741579.619156005</v>
      </c>
      <c r="I52" s="240">
        <v>11827003.294548005</v>
      </c>
      <c r="J52" s="240">
        <v>11822341.668804005</v>
      </c>
      <c r="K52" s="240">
        <v>11825044.211232005</v>
      </c>
      <c r="L52" s="240">
        <v>11825014.040172005</v>
      </c>
      <c r="M52" s="240">
        <v>11867501.430180004</v>
      </c>
      <c r="N52" s="240">
        <v>11868613.400304005</v>
      </c>
      <c r="O52" s="240">
        <v>11867246.881740004</v>
      </c>
      <c r="P52" s="240">
        <v>12378453.222708005</v>
      </c>
      <c r="Q52" s="240">
        <f t="shared" si="1"/>
        <v>11779105.832233503</v>
      </c>
    </row>
    <row r="53" spans="1:17" ht="15" customHeight="1" x14ac:dyDescent="0.3">
      <c r="A53" s="515"/>
      <c r="B53" s="515" t="s">
        <v>279</v>
      </c>
      <c r="C53" s="242"/>
      <c r="D53" s="240">
        <v>447</v>
      </c>
      <c r="E53" s="240">
        <v>447</v>
      </c>
      <c r="F53" s="240">
        <v>447</v>
      </c>
      <c r="G53" s="240">
        <v>447</v>
      </c>
      <c r="H53" s="240">
        <v>447</v>
      </c>
      <c r="I53" s="240">
        <v>447</v>
      </c>
      <c r="J53" s="240">
        <v>447</v>
      </c>
      <c r="K53" s="240">
        <v>447</v>
      </c>
      <c r="L53" s="240">
        <v>447</v>
      </c>
      <c r="M53" s="240">
        <v>447</v>
      </c>
      <c r="N53" s="240">
        <v>447</v>
      </c>
      <c r="O53" s="240">
        <v>447</v>
      </c>
      <c r="P53" s="240">
        <v>447</v>
      </c>
      <c r="Q53" s="240">
        <f t="shared" si="1"/>
        <v>447</v>
      </c>
    </row>
    <row r="54" spans="1:17" ht="15" customHeight="1" x14ac:dyDescent="0.3">
      <c r="A54" s="515"/>
      <c r="B54" s="515" t="s">
        <v>280</v>
      </c>
      <c r="C54" s="242"/>
      <c r="D54" s="240">
        <v>0</v>
      </c>
      <c r="E54" s="240">
        <v>0</v>
      </c>
      <c r="F54" s="240">
        <v>0</v>
      </c>
      <c r="G54" s="240">
        <v>0</v>
      </c>
      <c r="H54" s="240">
        <v>0</v>
      </c>
      <c r="I54" s="240">
        <v>0</v>
      </c>
      <c r="J54" s="240">
        <v>0</v>
      </c>
      <c r="K54" s="240">
        <v>0</v>
      </c>
      <c r="L54" s="240">
        <v>0</v>
      </c>
      <c r="M54" s="240">
        <v>0</v>
      </c>
      <c r="N54" s="240">
        <v>0</v>
      </c>
      <c r="O54" s="240">
        <v>0</v>
      </c>
      <c r="P54" s="240">
        <v>0</v>
      </c>
      <c r="Q54" s="240">
        <f t="shared" si="1"/>
        <v>0</v>
      </c>
    </row>
    <row r="55" spans="1:17" ht="15" customHeight="1" x14ac:dyDescent="0.3">
      <c r="A55" s="515"/>
      <c r="B55" s="515" t="s">
        <v>281</v>
      </c>
      <c r="C55" s="242"/>
      <c r="D55" s="240">
        <v>1114673.6699999997</v>
      </c>
      <c r="E55" s="240">
        <v>1114673.6699999997</v>
      </c>
      <c r="F55" s="240">
        <v>1114673.6699999997</v>
      </c>
      <c r="G55" s="240">
        <v>1114673.6699999997</v>
      </c>
      <c r="H55" s="240">
        <v>1115001.0699999996</v>
      </c>
      <c r="I55" s="240">
        <v>1115001.0699999996</v>
      </c>
      <c r="J55" s="240">
        <v>1115001.0699999996</v>
      </c>
      <c r="K55" s="240">
        <v>1115001.0699999996</v>
      </c>
      <c r="L55" s="240">
        <v>1115001.0699999996</v>
      </c>
      <c r="M55" s="240">
        <v>1115001.0699999996</v>
      </c>
      <c r="N55" s="240">
        <v>1115001.0699999996</v>
      </c>
      <c r="O55" s="240">
        <v>1115001.0699999996</v>
      </c>
      <c r="P55" s="240">
        <v>1115001.0699999996</v>
      </c>
      <c r="Q55" s="240">
        <f t="shared" si="1"/>
        <v>1114905.5783333329</v>
      </c>
    </row>
    <row r="56" spans="1:17" ht="15" customHeight="1" x14ac:dyDescent="0.3">
      <c r="A56" s="515"/>
      <c r="B56" s="515" t="s">
        <v>282</v>
      </c>
      <c r="C56" s="242"/>
      <c r="D56" s="240">
        <v>260330716.93000004</v>
      </c>
      <c r="E56" s="240">
        <v>261778867.17000005</v>
      </c>
      <c r="F56" s="240">
        <v>264513478.16000003</v>
      </c>
      <c r="G56" s="240">
        <v>267685383.40000004</v>
      </c>
      <c r="H56" s="240">
        <v>268646497.41000003</v>
      </c>
      <c r="I56" s="240">
        <v>269005468.62</v>
      </c>
      <c r="J56" s="240">
        <v>271664673.55000001</v>
      </c>
      <c r="K56" s="240">
        <v>272703898.68000001</v>
      </c>
      <c r="L56" s="240">
        <v>274534759.09999996</v>
      </c>
      <c r="M56" s="240">
        <v>277930132.24000007</v>
      </c>
      <c r="N56" s="240">
        <v>277960738.25999999</v>
      </c>
      <c r="O56" s="240">
        <v>279877159.53000003</v>
      </c>
      <c r="P56" s="240">
        <v>281297948.56</v>
      </c>
      <c r="Q56" s="240">
        <f t="shared" si="1"/>
        <v>271426282.40541673</v>
      </c>
    </row>
    <row r="57" spans="1:17" ht="15" customHeight="1" x14ac:dyDescent="0.3">
      <c r="A57" s="515"/>
      <c r="B57" s="515" t="s">
        <v>283</v>
      </c>
      <c r="C57" s="242"/>
      <c r="D57" s="240">
        <v>14670296.022434</v>
      </c>
      <c r="E57" s="240">
        <v>14277583.290374998</v>
      </c>
      <c r="F57" s="240">
        <v>14673776.739765003</v>
      </c>
      <c r="G57" s="240">
        <v>14831481.484844001</v>
      </c>
      <c r="H57" s="240">
        <v>14978040.149342999</v>
      </c>
      <c r="I57" s="240">
        <v>14976404.195572998</v>
      </c>
      <c r="J57" s="240">
        <v>15003734.431160999</v>
      </c>
      <c r="K57" s="240">
        <v>15012215.367871001</v>
      </c>
      <c r="L57" s="240">
        <v>15121018.889131999</v>
      </c>
      <c r="M57" s="240">
        <v>15698016.480224</v>
      </c>
      <c r="N57" s="240">
        <v>15914441.536982998</v>
      </c>
      <c r="O57" s="240">
        <v>15931541.700326001</v>
      </c>
      <c r="P57" s="240">
        <v>15954044.47945</v>
      </c>
      <c r="Q57" s="240">
        <f t="shared" si="1"/>
        <v>15144202.043044917</v>
      </c>
    </row>
    <row r="58" spans="1:17" ht="15" customHeight="1" x14ac:dyDescent="0.3">
      <c r="A58" s="515"/>
      <c r="B58" s="513" t="s">
        <v>28</v>
      </c>
      <c r="C58" s="242"/>
      <c r="D58" s="240">
        <v>1971164.4959887217</v>
      </c>
      <c r="E58" s="240">
        <v>1971164.4959887217</v>
      </c>
      <c r="F58" s="240">
        <v>1971164.4959887217</v>
      </c>
      <c r="G58" s="240">
        <v>1971164.4959887217</v>
      </c>
      <c r="H58" s="240">
        <v>1971164.4959887217</v>
      </c>
      <c r="I58" s="240">
        <v>1971164.4959887217</v>
      </c>
      <c r="J58" s="240">
        <v>1971164.4959887217</v>
      </c>
      <c r="K58" s="240">
        <v>1971164.4959887217</v>
      </c>
      <c r="L58" s="240">
        <v>1971164.4959887217</v>
      </c>
      <c r="M58" s="240">
        <v>1971164.4959887217</v>
      </c>
      <c r="N58" s="240">
        <v>1971164.4959887217</v>
      </c>
      <c r="O58" s="240">
        <v>1971164.4959887217</v>
      </c>
      <c r="P58" s="240">
        <v>1971164.4959887217</v>
      </c>
      <c r="Q58" s="240">
        <f t="shared" si="1"/>
        <v>1971164.4959887217</v>
      </c>
    </row>
    <row r="59" spans="1:17" ht="15" customHeight="1" x14ac:dyDescent="0.3">
      <c r="A59" s="515"/>
      <c r="B59" s="513" t="s">
        <v>284</v>
      </c>
      <c r="C59" s="242"/>
      <c r="D59" s="240">
        <v>5469156.0260237139</v>
      </c>
      <c r="E59" s="240">
        <v>5469572.914106275</v>
      </c>
      <c r="F59" s="240">
        <v>5470574.086236231</v>
      </c>
      <c r="G59" s="240">
        <v>5496551.9028919749</v>
      </c>
      <c r="H59" s="240">
        <v>5497218.4078155626</v>
      </c>
      <c r="I59" s="240">
        <v>5497386.1697567925</v>
      </c>
      <c r="J59" s="240">
        <v>5497552.6990312561</v>
      </c>
      <c r="K59" s="240">
        <v>5497714.979520048</v>
      </c>
      <c r="L59" s="240">
        <v>5496838.1446842737</v>
      </c>
      <c r="M59" s="240">
        <v>5502135.6284359982</v>
      </c>
      <c r="N59" s="240">
        <v>5502220.7143065147</v>
      </c>
      <c r="O59" s="240">
        <v>5503346.7845303053</v>
      </c>
      <c r="P59" s="240">
        <v>5507609.9406934511</v>
      </c>
      <c r="Q59" s="240">
        <f t="shared" si="1"/>
        <v>5493291.2845561514</v>
      </c>
    </row>
    <row r="60" spans="1:17" ht="15" customHeight="1" x14ac:dyDescent="0.3">
      <c r="A60" s="515"/>
      <c r="B60" s="515" t="s">
        <v>285</v>
      </c>
      <c r="C60" s="242"/>
      <c r="D60" s="245">
        <v>29152691.685392</v>
      </c>
      <c r="E60" s="245">
        <v>29520865.666502003</v>
      </c>
      <c r="F60" s="245">
        <v>29561051.659406003</v>
      </c>
      <c r="G60" s="245">
        <v>29303140.560506001</v>
      </c>
      <c r="H60" s="245">
        <v>29305513.363310002</v>
      </c>
      <c r="I60" s="245">
        <v>29703139.943319999</v>
      </c>
      <c r="J60" s="245">
        <v>29706215.803321999</v>
      </c>
      <c r="K60" s="245">
        <v>29708791.0636</v>
      </c>
      <c r="L60" s="245">
        <v>29707225.907702003</v>
      </c>
      <c r="M60" s="245">
        <v>29948016.744454</v>
      </c>
      <c r="N60" s="245">
        <v>29948903.750080004</v>
      </c>
      <c r="O60" s="245">
        <v>29948784.718251999</v>
      </c>
      <c r="P60" s="245">
        <v>30014702.601060003</v>
      </c>
      <c r="Q60" s="245">
        <f t="shared" si="1"/>
        <v>29662112.193640005</v>
      </c>
    </row>
    <row r="61" spans="1:17" ht="15" customHeight="1" x14ac:dyDescent="0.3">
      <c r="A61" s="515"/>
      <c r="B61" s="515" t="s">
        <v>286</v>
      </c>
      <c r="C61" s="242"/>
      <c r="D61" s="244">
        <v>424945.14772899996</v>
      </c>
      <c r="E61" s="244">
        <v>424945.14772899996</v>
      </c>
      <c r="F61" s="244">
        <v>424945.14772899996</v>
      </c>
      <c r="G61" s="244">
        <v>424945.14772899996</v>
      </c>
      <c r="H61" s="244">
        <v>424945.14772899996</v>
      </c>
      <c r="I61" s="244">
        <v>424945.14772899996</v>
      </c>
      <c r="J61" s="244">
        <v>424945.14772899996</v>
      </c>
      <c r="K61" s="244">
        <v>424945.14772899996</v>
      </c>
      <c r="L61" s="244">
        <v>424945.14772899996</v>
      </c>
      <c r="M61" s="244">
        <v>424945.14772899996</v>
      </c>
      <c r="N61" s="244">
        <v>424945.14772899996</v>
      </c>
      <c r="O61" s="244">
        <v>424945.14772899996</v>
      </c>
      <c r="P61" s="244">
        <v>424945.14772899996</v>
      </c>
      <c r="Q61" s="244">
        <f t="shared" si="1"/>
        <v>424945.14772900002</v>
      </c>
    </row>
    <row r="62" spans="1:17" ht="15" customHeight="1" x14ac:dyDescent="0.3">
      <c r="A62" s="515"/>
      <c r="B62" s="515"/>
      <c r="C62" s="242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</row>
    <row r="63" spans="1:17" ht="15" customHeight="1" thickBot="1" x14ac:dyDescent="0.35">
      <c r="A63" s="515"/>
      <c r="B63" s="515" t="s">
        <v>287</v>
      </c>
      <c r="C63" s="242"/>
      <c r="D63" s="237">
        <f>SUM(D52:D62)</f>
        <v>324555656.38363147</v>
      </c>
      <c r="E63" s="237">
        <f t="shared" ref="E63:Q63" si="4">SUM(E52:E62)</f>
        <v>326030090.34152102</v>
      </c>
      <c r="F63" s="237">
        <f t="shared" si="4"/>
        <v>329325462.08259296</v>
      </c>
      <c r="G63" s="237">
        <f t="shared" si="4"/>
        <v>332565381.67795175</v>
      </c>
      <c r="H63" s="237">
        <f t="shared" si="4"/>
        <v>333680406.6633423</v>
      </c>
      <c r="I63" s="237">
        <f t="shared" si="4"/>
        <v>334520959.93691546</v>
      </c>
      <c r="J63" s="237">
        <f t="shared" si="4"/>
        <v>337206075.86603594</v>
      </c>
      <c r="K63" s="237">
        <f t="shared" si="4"/>
        <v>338259222.01594073</v>
      </c>
      <c r="L63" s="237">
        <f t="shared" si="4"/>
        <v>340196413.79540801</v>
      </c>
      <c r="M63" s="237">
        <f t="shared" si="4"/>
        <v>344457360.23701179</v>
      </c>
      <c r="N63" s="237">
        <f t="shared" si="4"/>
        <v>344706475.37539124</v>
      </c>
      <c r="O63" s="237">
        <f t="shared" si="4"/>
        <v>346639637.32856607</v>
      </c>
      <c r="P63" s="237">
        <f t="shared" si="4"/>
        <v>348664316.51762909</v>
      </c>
      <c r="Q63" s="237">
        <f t="shared" si="4"/>
        <v>337016455.98094231</v>
      </c>
    </row>
    <row r="64" spans="1:17" ht="15" customHeight="1" thickTop="1" x14ac:dyDescent="0.3">
      <c r="A64" s="516"/>
      <c r="B64" s="516"/>
      <c r="C64" s="242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506"/>
    </row>
    <row r="65" spans="1:17" ht="15" customHeight="1" x14ac:dyDescent="0.3">
      <c r="A65" s="513" t="s">
        <v>288</v>
      </c>
      <c r="B65" s="514"/>
      <c r="C65" s="242"/>
      <c r="D65" s="240"/>
      <c r="E65" s="240"/>
      <c r="F65" s="240"/>
      <c r="G65" s="242"/>
      <c r="H65" s="512"/>
      <c r="I65" s="505"/>
      <c r="J65" s="505"/>
      <c r="K65" s="505"/>
      <c r="L65" s="505"/>
      <c r="M65" s="505"/>
      <c r="N65" s="505"/>
      <c r="O65" s="505"/>
      <c r="P65" s="506"/>
      <c r="Q65" s="240"/>
    </row>
    <row r="66" spans="1:17" ht="15" customHeight="1" x14ac:dyDescent="0.3">
      <c r="A66" s="515"/>
      <c r="B66" s="515" t="s">
        <v>278</v>
      </c>
      <c r="C66" s="242"/>
      <c r="D66" s="240">
        <v>-6977716.071696003</v>
      </c>
      <c r="E66" s="240">
        <v>-7003926.9777960032</v>
      </c>
      <c r="F66" s="240">
        <v>-7030449.9889200022</v>
      </c>
      <c r="G66" s="240">
        <v>-7057447.2922320021</v>
      </c>
      <c r="H66" s="240">
        <v>-7084709.9211960034</v>
      </c>
      <c r="I66" s="240">
        <v>-7112133.0901080025</v>
      </c>
      <c r="J66" s="240">
        <v>-7139701.3233960029</v>
      </c>
      <c r="K66" s="240">
        <v>-7167266.0211960031</v>
      </c>
      <c r="L66" s="240">
        <v>-7194835.5289560026</v>
      </c>
      <c r="M66" s="240">
        <v>-7222481.2695600027</v>
      </c>
      <c r="N66" s="240">
        <v>-7250205.3254640019</v>
      </c>
      <c r="O66" s="240">
        <v>-7277928.8992560022</v>
      </c>
      <c r="P66" s="240">
        <v>-7306568.0740440022</v>
      </c>
      <c r="Q66" s="240">
        <f t="shared" si="1"/>
        <v>-7140268.975912503</v>
      </c>
    </row>
    <row r="67" spans="1:17" ht="15" customHeight="1" x14ac:dyDescent="0.3">
      <c r="A67" s="515"/>
      <c r="B67" s="515" t="s">
        <v>279</v>
      </c>
      <c r="C67" s="242"/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f t="shared" si="1"/>
        <v>0</v>
      </c>
    </row>
    <row r="68" spans="1:17" ht="15" customHeight="1" x14ac:dyDescent="0.3">
      <c r="A68" s="515"/>
      <c r="B68" s="515" t="s">
        <v>280</v>
      </c>
      <c r="C68" s="242"/>
      <c r="D68" s="240">
        <v>0</v>
      </c>
      <c r="E68" s="240">
        <v>0</v>
      </c>
      <c r="F68" s="240">
        <v>0</v>
      </c>
      <c r="G68" s="240">
        <v>0</v>
      </c>
      <c r="H68" s="240">
        <v>0</v>
      </c>
      <c r="I68" s="240">
        <v>0</v>
      </c>
      <c r="J68" s="240">
        <v>0</v>
      </c>
      <c r="K68" s="240">
        <v>0</v>
      </c>
      <c r="L68" s="240">
        <v>0</v>
      </c>
      <c r="M68" s="240">
        <v>0</v>
      </c>
      <c r="N68" s="240">
        <v>0</v>
      </c>
      <c r="O68" s="240">
        <v>0</v>
      </c>
      <c r="P68" s="240">
        <v>0</v>
      </c>
      <c r="Q68" s="240">
        <f t="shared" si="1"/>
        <v>0</v>
      </c>
    </row>
    <row r="69" spans="1:17" ht="15" customHeight="1" x14ac:dyDescent="0.3">
      <c r="A69" s="515"/>
      <c r="B69" s="515" t="s">
        <v>281</v>
      </c>
      <c r="C69" s="242"/>
      <c r="D69" s="240">
        <v>-142343.25</v>
      </c>
      <c r="E69" s="240">
        <v>-144247.47</v>
      </c>
      <c r="F69" s="240">
        <v>-146151.71</v>
      </c>
      <c r="G69" s="240">
        <v>-148055.94</v>
      </c>
      <c r="H69" s="240">
        <v>-149960.45000000001</v>
      </c>
      <c r="I69" s="240">
        <v>-151865.25</v>
      </c>
      <c r="J69" s="240">
        <v>-153770.06</v>
      </c>
      <c r="K69" s="240">
        <v>-155674.84</v>
      </c>
      <c r="L69" s="240">
        <v>-157579.62</v>
      </c>
      <c r="M69" s="240">
        <v>-159484.42000000001</v>
      </c>
      <c r="N69" s="240">
        <v>-161389.22</v>
      </c>
      <c r="O69" s="240">
        <v>-163293.99</v>
      </c>
      <c r="P69" s="240">
        <v>-165198.81</v>
      </c>
      <c r="Q69" s="240">
        <f t="shared" si="1"/>
        <v>-153770.33333333334</v>
      </c>
    </row>
    <row r="70" spans="1:17" ht="15" customHeight="1" x14ac:dyDescent="0.3">
      <c r="A70" s="515"/>
      <c r="B70" s="515" t="s">
        <v>282</v>
      </c>
      <c r="C70" s="242"/>
      <c r="D70" s="240">
        <v>-105955041.16250001</v>
      </c>
      <c r="E70" s="240">
        <v>-106374361.06000002</v>
      </c>
      <c r="F70" s="240">
        <v>-106868265.04000002</v>
      </c>
      <c r="G70" s="240">
        <v>-107403156.14000002</v>
      </c>
      <c r="H70" s="240">
        <v>-107922695.62000002</v>
      </c>
      <c r="I70" s="240">
        <v>-108475864.66999999</v>
      </c>
      <c r="J70" s="240">
        <v>-109032955.55999999</v>
      </c>
      <c r="K70" s="240">
        <v>-109570211.27</v>
      </c>
      <c r="L70" s="240">
        <v>-110067678.03000002</v>
      </c>
      <c r="M70" s="240">
        <v>-110578630.31</v>
      </c>
      <c r="N70" s="240">
        <v>-110734781.75999999</v>
      </c>
      <c r="O70" s="240">
        <v>-111277217.59</v>
      </c>
      <c r="P70" s="240">
        <v>-111862300.07000002</v>
      </c>
      <c r="Q70" s="240">
        <f t="shared" si="1"/>
        <v>-108934540.63885415</v>
      </c>
    </row>
    <row r="71" spans="1:17" ht="15" customHeight="1" x14ac:dyDescent="0.3">
      <c r="A71" s="515"/>
      <c r="B71" s="515" t="s">
        <v>283</v>
      </c>
      <c r="C71" s="242"/>
      <c r="D71" s="240">
        <v>-6074167.0339339999</v>
      </c>
      <c r="E71" s="240">
        <v>-5700716.485231</v>
      </c>
      <c r="F71" s="240">
        <v>-5786814.5987709984</v>
      </c>
      <c r="G71" s="240">
        <v>-5875688.7085079988</v>
      </c>
      <c r="H71" s="240">
        <v>-5969807.0143059986</v>
      </c>
      <c r="I71" s="240">
        <v>-6024790.2000829987</v>
      </c>
      <c r="J71" s="240">
        <v>-6092697.0551969977</v>
      </c>
      <c r="K71" s="240">
        <v>-6184133.593816</v>
      </c>
      <c r="L71" s="240">
        <v>-6235554.7101709992</v>
      </c>
      <c r="M71" s="240">
        <v>-6329121.8325999975</v>
      </c>
      <c r="N71" s="240">
        <v>-6429555.731329998</v>
      </c>
      <c r="O71" s="240">
        <v>-6530309.1105759982</v>
      </c>
      <c r="P71" s="240">
        <v>-6618685.4335369989</v>
      </c>
      <c r="Q71" s="240">
        <f t="shared" si="1"/>
        <v>-6125467.9395270413</v>
      </c>
    </row>
    <row r="72" spans="1:17" ht="15" customHeight="1" x14ac:dyDescent="0.3">
      <c r="A72" s="515"/>
      <c r="B72" s="513" t="s">
        <v>28</v>
      </c>
      <c r="C72" s="242"/>
      <c r="D72" s="240">
        <v>-80061.125888335082</v>
      </c>
      <c r="E72" s="240">
        <v>-80061.125888335082</v>
      </c>
      <c r="F72" s="240">
        <v>-80061.125888335082</v>
      </c>
      <c r="G72" s="240">
        <v>-80061.125888335082</v>
      </c>
      <c r="H72" s="240">
        <v>-80061.125888335082</v>
      </c>
      <c r="I72" s="240">
        <v>-80061.125888335082</v>
      </c>
      <c r="J72" s="240">
        <v>-80061.125888335082</v>
      </c>
      <c r="K72" s="240">
        <v>-80061.125888335082</v>
      </c>
      <c r="L72" s="240">
        <v>-80061.125888335082</v>
      </c>
      <c r="M72" s="240">
        <v>-80061.125888335082</v>
      </c>
      <c r="N72" s="240">
        <v>-80061.125888335082</v>
      </c>
      <c r="O72" s="240">
        <v>-80061.125888335082</v>
      </c>
      <c r="P72" s="240">
        <v>-80061.125888335082</v>
      </c>
      <c r="Q72" s="240">
        <f t="shared" si="1"/>
        <v>-80061.125888335067</v>
      </c>
    </row>
    <row r="73" spans="1:17" ht="15" customHeight="1" x14ac:dyDescent="0.3">
      <c r="A73" s="515"/>
      <c r="B73" s="513" t="s">
        <v>284</v>
      </c>
      <c r="C73" s="242"/>
      <c r="D73" s="240">
        <v>-941661.52482060692</v>
      </c>
      <c r="E73" s="240">
        <v>-950557.29396022682</v>
      </c>
      <c r="F73" s="240">
        <v>-959454.19289265119</v>
      </c>
      <c r="G73" s="240">
        <v>-968373.02855949895</v>
      </c>
      <c r="H73" s="240">
        <v>-977313.94753340643</v>
      </c>
      <c r="I73" s="240">
        <v>-986255.59390816058</v>
      </c>
      <c r="J73" s="240">
        <v>-995197.48881912418</v>
      </c>
      <c r="K73" s="240">
        <v>-1004139.6786961382</v>
      </c>
      <c r="L73" s="240">
        <v>-1013081.295028054</v>
      </c>
      <c r="M73" s="240">
        <v>-1022026.4809954144</v>
      </c>
      <c r="N73" s="240">
        <v>-1030976.097826256</v>
      </c>
      <c r="O73" s="240">
        <v>-1039926.7415759402</v>
      </c>
      <c r="P73" s="240">
        <v>-1048881.7879670446</v>
      </c>
      <c r="Q73" s="240">
        <f t="shared" si="1"/>
        <v>-995214.45801572467</v>
      </c>
    </row>
    <row r="74" spans="1:17" ht="15" customHeight="1" x14ac:dyDescent="0.3">
      <c r="A74" s="515"/>
      <c r="B74" s="515" t="s">
        <v>285</v>
      </c>
      <c r="C74" s="242"/>
      <c r="D74" s="245">
        <v>-13152930.549679989</v>
      </c>
      <c r="E74" s="245">
        <v>-13210764.919507995</v>
      </c>
      <c r="F74" s="245">
        <v>-13268709.576699993</v>
      </c>
      <c r="G74" s="245">
        <v>-12985612.797001991</v>
      </c>
      <c r="H74" s="245">
        <v>-13043370.81011199</v>
      </c>
      <c r="I74" s="245">
        <v>-13101619.137363993</v>
      </c>
      <c r="J74" s="245">
        <v>-13160101.560336003</v>
      </c>
      <c r="K74" s="245">
        <v>-13218632.707227988</v>
      </c>
      <c r="L74" s="245">
        <v>-13277125.989923995</v>
      </c>
      <c r="M74" s="245">
        <v>-13335858.592927989</v>
      </c>
      <c r="N74" s="245">
        <v>-13394748.733827991</v>
      </c>
      <c r="O74" s="245">
        <v>-13453638.986221997</v>
      </c>
      <c r="P74" s="245">
        <v>-13512642.958327996</v>
      </c>
      <c r="Q74" s="245">
        <f>((D74/2)+SUM(E74:O74)+(P74/2))/12</f>
        <v>-13231914.213762997</v>
      </c>
    </row>
    <row r="75" spans="1:17" ht="15" customHeight="1" x14ac:dyDescent="0.3">
      <c r="A75" s="515"/>
      <c r="B75" s="515" t="s">
        <v>286</v>
      </c>
      <c r="C75" s="242"/>
      <c r="D75" s="244">
        <v>-238078.40934299995</v>
      </c>
      <c r="E75" s="244">
        <v>-238374.85442999992</v>
      </c>
      <c r="F75" s="244">
        <v>-238671.30063799999</v>
      </c>
      <c r="G75" s="244">
        <v>-238967.74460399998</v>
      </c>
      <c r="H75" s="244">
        <v>-239264.18408599996</v>
      </c>
      <c r="I75" s="244">
        <v>-239560.63365699994</v>
      </c>
      <c r="J75" s="244">
        <v>-239857.075381</v>
      </c>
      <c r="K75" s="244">
        <v>-240153.51710499992</v>
      </c>
      <c r="L75" s="244">
        <v>-240449.95658699994</v>
      </c>
      <c r="M75" s="244">
        <v>-240746.40615799994</v>
      </c>
      <c r="N75" s="244">
        <v>-241042.84900299992</v>
      </c>
      <c r="O75" s="244">
        <v>-241339.29296899991</v>
      </c>
      <c r="P75" s="244">
        <v>-241635.73245099996</v>
      </c>
      <c r="Q75" s="244">
        <f>((D75/2)+SUM(E75:O75)+(P75/2))/12</f>
        <v>-239857.07379291661</v>
      </c>
    </row>
    <row r="76" spans="1:17" ht="15" customHeight="1" x14ac:dyDescent="0.3">
      <c r="A76" s="515"/>
      <c r="B76" s="515"/>
      <c r="C76" s="242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</row>
    <row r="77" spans="1:17" ht="15" customHeight="1" thickBot="1" x14ac:dyDescent="0.35">
      <c r="A77" s="515"/>
      <c r="B77" s="515" t="s">
        <v>289</v>
      </c>
      <c r="C77" s="242"/>
      <c r="D77" s="237">
        <f t="shared" ref="D77:Q77" si="5">SUM(D66:D76)</f>
        <v>-133561999.12786195</v>
      </c>
      <c r="E77" s="237">
        <f t="shared" si="5"/>
        <v>-133703010.18681358</v>
      </c>
      <c r="F77" s="237">
        <f t="shared" si="5"/>
        <v>-134378577.53380999</v>
      </c>
      <c r="G77" s="237">
        <f t="shared" si="5"/>
        <v>-134757362.77679384</v>
      </c>
      <c r="H77" s="237">
        <f t="shared" si="5"/>
        <v>-135467183.07312176</v>
      </c>
      <c r="I77" s="237">
        <f t="shared" si="5"/>
        <v>-136172149.7010085</v>
      </c>
      <c r="J77" s="237">
        <f t="shared" si="5"/>
        <v>-136894341.24901745</v>
      </c>
      <c r="K77" s="237">
        <f t="shared" si="5"/>
        <v>-137620272.75392947</v>
      </c>
      <c r="L77" s="237">
        <f t="shared" si="5"/>
        <v>-138266366.25655439</v>
      </c>
      <c r="M77" s="237">
        <f t="shared" si="5"/>
        <v>-138968410.43812972</v>
      </c>
      <c r="N77" s="237">
        <f t="shared" si="5"/>
        <v>-139322760.84333956</v>
      </c>
      <c r="O77" s="237">
        <f t="shared" si="5"/>
        <v>-140063715.73648727</v>
      </c>
      <c r="P77" s="237">
        <f t="shared" si="5"/>
        <v>-140835973.99221539</v>
      </c>
      <c r="Q77" s="237">
        <f t="shared" si="5"/>
        <v>-136901094.75908697</v>
      </c>
    </row>
    <row r="78" spans="1:17" ht="15" customHeight="1" thickTop="1" x14ac:dyDescent="0.3">
      <c r="A78" s="517"/>
      <c r="B78" s="243"/>
      <c r="C78" s="242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506"/>
    </row>
    <row r="79" spans="1:17" ht="15" customHeight="1" x14ac:dyDescent="0.3">
      <c r="A79" s="517"/>
      <c r="B79" s="241" t="s">
        <v>257</v>
      </c>
      <c r="C79" s="238"/>
      <c r="D79" s="240">
        <v>1473586.2238279993</v>
      </c>
      <c r="E79" s="240">
        <v>1473369.6545479994</v>
      </c>
      <c r="F79" s="240">
        <v>1473151.6327199994</v>
      </c>
      <c r="G79" s="240">
        <v>1926510.8029119992</v>
      </c>
      <c r="H79" s="240">
        <v>1926342.3844519996</v>
      </c>
      <c r="I79" s="240">
        <v>1926102.1492679992</v>
      </c>
      <c r="J79" s="240">
        <v>1925910.5796519995</v>
      </c>
      <c r="K79" s="240">
        <v>1925674.5489379994</v>
      </c>
      <c r="L79" s="240">
        <v>1925493.7181739996</v>
      </c>
      <c r="M79" s="240">
        <v>1925443.9866399991</v>
      </c>
      <c r="N79" s="240">
        <v>1927888.3383739996</v>
      </c>
      <c r="O79" s="240">
        <v>1927723.4720919994</v>
      </c>
      <c r="P79" s="240">
        <v>1927561.2806239994</v>
      </c>
      <c r="Q79" s="240">
        <f>((D79/2)+SUM(E79:O79)+(P79/2))/12</f>
        <v>1832015.4183329996</v>
      </c>
    </row>
    <row r="80" spans="1:17" ht="15" customHeight="1" x14ac:dyDescent="0.3">
      <c r="A80" s="517"/>
      <c r="B80" s="241" t="s">
        <v>258</v>
      </c>
      <c r="C80" s="238"/>
      <c r="D80" s="240">
        <v>-621336.63</v>
      </c>
      <c r="E80" s="240">
        <v>-653472.6</v>
      </c>
      <c r="F80" s="240">
        <v>-657715.6</v>
      </c>
      <c r="G80" s="240">
        <v>-668836.6</v>
      </c>
      <c r="H80" s="240">
        <v>-683152.6</v>
      </c>
      <c r="I80" s="240">
        <v>-696245.6</v>
      </c>
      <c r="J80" s="240">
        <v>-698517.6</v>
      </c>
      <c r="K80" s="240">
        <v>-713865.6</v>
      </c>
      <c r="L80" s="240">
        <v>-735486.6</v>
      </c>
      <c r="M80" s="240">
        <v>-765623.6</v>
      </c>
      <c r="N80" s="240">
        <v>-795603.6</v>
      </c>
      <c r="O80" s="240">
        <v>-818448.6</v>
      </c>
      <c r="P80" s="240">
        <v>-847225.6</v>
      </c>
      <c r="Q80" s="240">
        <f>((D80/2)+SUM(E80:O80)+(P80/2))/12</f>
        <v>-718437.47624999995</v>
      </c>
    </row>
    <row r="81" spans="1:17" ht="15" customHeight="1" x14ac:dyDescent="0.3">
      <c r="A81" s="517"/>
      <c r="B81" s="241" t="s">
        <v>290</v>
      </c>
      <c r="C81" s="238"/>
      <c r="D81" s="240">
        <v>34866.458515999992</v>
      </c>
      <c r="E81" s="240">
        <v>32507.904783000042</v>
      </c>
      <c r="F81" s="240">
        <v>30635.656544000009</v>
      </c>
      <c r="G81" s="240">
        <v>31427.813436000011</v>
      </c>
      <c r="H81" s="240">
        <v>28814.135796999977</v>
      </c>
      <c r="I81" s="240">
        <v>26142.473312000016</v>
      </c>
      <c r="J81" s="240">
        <v>23470.810827000008</v>
      </c>
      <c r="K81" s="240">
        <v>22551.338602000007</v>
      </c>
      <c r="L81" s="240">
        <v>19889.424332999995</v>
      </c>
      <c r="M81" s="240">
        <v>17553.394852999962</v>
      </c>
      <c r="N81" s="240">
        <v>15105.142063000027</v>
      </c>
      <c r="O81" s="240">
        <v>12570.29090200001</v>
      </c>
      <c r="P81" s="240">
        <v>10024.879921000025</v>
      </c>
      <c r="Q81" s="240">
        <f>((D81/2)+SUM(E81:O81)+(P81/2))/12</f>
        <v>23592.837889208338</v>
      </c>
    </row>
    <row r="82" spans="1:17" ht="15" customHeight="1" x14ac:dyDescent="0.3">
      <c r="A82" s="517"/>
      <c r="B82" s="241" t="s">
        <v>451</v>
      </c>
      <c r="C82" s="238"/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f>((D82/2)+SUM(E82:O82)+(P82/2))/12</f>
        <v>0</v>
      </c>
    </row>
    <row r="83" spans="1:17" ht="15" customHeight="1" x14ac:dyDescent="0.3">
      <c r="A83" s="517"/>
      <c r="B83" s="241"/>
      <c r="C83" s="238"/>
      <c r="D83" s="240"/>
      <c r="E83" s="240"/>
      <c r="F83" s="240"/>
      <c r="G83" s="242"/>
      <c r="H83" s="512"/>
      <c r="I83" s="506"/>
      <c r="J83" s="506"/>
      <c r="K83" s="506"/>
      <c r="L83" s="506"/>
      <c r="M83" s="506"/>
      <c r="N83" s="506"/>
      <c r="O83" s="506"/>
      <c r="P83" s="506"/>
      <c r="Q83" s="506"/>
    </row>
    <row r="84" spans="1:17" ht="15" customHeight="1" x14ac:dyDescent="0.3">
      <c r="A84" s="517"/>
      <c r="B84" s="241" t="s">
        <v>291</v>
      </c>
      <c r="C84" s="238"/>
      <c r="D84" s="240">
        <v>-39553664.093337148</v>
      </c>
      <c r="E84" s="240">
        <v>-39451171.718343228</v>
      </c>
      <c r="F84" s="240">
        <v>-39348679.343349308</v>
      </c>
      <c r="G84" s="240">
        <v>-39246186.968355387</v>
      </c>
      <c r="H84" s="240">
        <v>-39143694.593361467</v>
      </c>
      <c r="I84" s="240">
        <v>-39041202.218367547</v>
      </c>
      <c r="J84" s="240">
        <v>-38938709.843373626</v>
      </c>
      <c r="K84" s="240">
        <v>-38836217.468379706</v>
      </c>
      <c r="L84" s="240">
        <v>-38733725.093385786</v>
      </c>
      <c r="M84" s="240">
        <v>-38631232.718391865</v>
      </c>
      <c r="N84" s="240">
        <v>-38528740.343397945</v>
      </c>
      <c r="O84" s="240">
        <v>-38426247.968404025</v>
      </c>
      <c r="P84" s="240">
        <v>-38323755.593410142</v>
      </c>
      <c r="Q84" s="240">
        <f>+(P84+D84)/2</f>
        <v>-38938709.843373641</v>
      </c>
    </row>
    <row r="85" spans="1:17" ht="15" customHeight="1" x14ac:dyDescent="0.3">
      <c r="A85" s="517"/>
      <c r="B85" s="241"/>
      <c r="C85" s="238"/>
      <c r="D85" s="240"/>
      <c r="E85" s="240"/>
      <c r="F85" s="240"/>
      <c r="G85" s="519"/>
      <c r="H85" s="512"/>
      <c r="I85" s="505"/>
      <c r="J85" s="505"/>
      <c r="K85" s="505"/>
      <c r="L85" s="505"/>
      <c r="M85" s="505"/>
      <c r="N85" s="505"/>
      <c r="O85" s="505"/>
      <c r="P85" s="506"/>
      <c r="Q85" s="506"/>
    </row>
    <row r="86" spans="1:17" ht="15" customHeight="1" thickBot="1" x14ac:dyDescent="0.35">
      <c r="A86" s="517"/>
      <c r="B86" s="239" t="s">
        <v>292</v>
      </c>
      <c r="C86" s="238"/>
      <c r="D86" s="236">
        <f>D63+D77+D79+D80+D81+D84</f>
        <v>152327109.21477637</v>
      </c>
      <c r="E86" s="236">
        <f t="shared" ref="E86:Q86" si="6">E63+E77+E79+E80+E81+E84</f>
        <v>153728313.39569521</v>
      </c>
      <c r="F86" s="236">
        <f t="shared" si="6"/>
        <v>156444276.89469767</v>
      </c>
      <c r="G86" s="236">
        <f t="shared" si="6"/>
        <v>159850933.94915053</v>
      </c>
      <c r="H86" s="236">
        <f t="shared" si="6"/>
        <v>160341532.91710806</v>
      </c>
      <c r="I86" s="236">
        <f t="shared" si="6"/>
        <v>160563607.04011941</v>
      </c>
      <c r="J86" s="236">
        <f t="shared" si="6"/>
        <v>162623888.56412387</v>
      </c>
      <c r="K86" s="236">
        <f t="shared" si="6"/>
        <v>163037092.08117157</v>
      </c>
      <c r="L86" s="236">
        <f t="shared" si="6"/>
        <v>164406218.98797485</v>
      </c>
      <c r="M86" s="236">
        <f t="shared" si="6"/>
        <v>168035090.86198321</v>
      </c>
      <c r="N86" s="236">
        <f t="shared" si="6"/>
        <v>168002364.06909072</v>
      </c>
      <c r="O86" s="236">
        <f t="shared" si="6"/>
        <v>169271518.78666878</v>
      </c>
      <c r="P86" s="237">
        <f t="shared" si="6"/>
        <v>170594947.49254856</v>
      </c>
      <c r="Q86" s="236">
        <f t="shared" si="6"/>
        <v>162313822.15845388</v>
      </c>
    </row>
    <row r="87" spans="1:17" ht="15" customHeight="1" thickTop="1" x14ac:dyDescent="0.3">
      <c r="A87" s="517"/>
      <c r="B87" s="505"/>
      <c r="C87" s="504"/>
      <c r="D87" s="512"/>
      <c r="E87" s="512"/>
      <c r="F87" s="512"/>
      <c r="G87" s="512"/>
      <c r="H87" s="512"/>
      <c r="I87" s="505"/>
      <c r="J87" s="505"/>
      <c r="K87" s="505"/>
      <c r="L87" s="505"/>
      <c r="M87" s="505"/>
      <c r="N87" s="505"/>
      <c r="O87" s="505"/>
      <c r="P87" s="506"/>
      <c r="Q87" s="506"/>
    </row>
    <row r="88" spans="1:17" ht="15" customHeight="1" x14ac:dyDescent="0.3">
      <c r="A88" s="517"/>
      <c r="B88" s="503" t="s">
        <v>293</v>
      </c>
      <c r="C88" s="504"/>
      <c r="D88" s="512"/>
      <c r="E88" s="512"/>
      <c r="F88" s="512"/>
      <c r="G88" s="512"/>
      <c r="H88" s="512"/>
      <c r="I88" s="505"/>
      <c r="J88" s="505"/>
      <c r="K88" s="505"/>
      <c r="L88" s="505"/>
      <c r="M88" s="505"/>
      <c r="N88" s="505"/>
      <c r="O88" s="505"/>
      <c r="P88" s="506"/>
      <c r="Q88" s="235">
        <f>Q86</f>
        <v>162313822.15845388</v>
      </c>
    </row>
    <row r="89" spans="1:17" ht="15" customHeight="1" x14ac:dyDescent="0.3">
      <c r="A89" s="517"/>
      <c r="B89" s="520" t="s">
        <v>294</v>
      </c>
      <c r="C89" s="504"/>
      <c r="D89" s="512"/>
      <c r="E89" s="512"/>
      <c r="F89" s="512"/>
      <c r="G89" s="512"/>
      <c r="H89" s="512"/>
      <c r="I89" s="505"/>
      <c r="J89" s="505"/>
      <c r="K89" s="505"/>
      <c r="L89" s="505"/>
      <c r="M89" s="505"/>
      <c r="N89" s="505"/>
      <c r="O89" s="505"/>
      <c r="P89" s="506"/>
      <c r="Q89" s="235">
        <f>-Q84</f>
        <v>38938709.843373641</v>
      </c>
    </row>
    <row r="90" spans="1:17" ht="15" customHeight="1" x14ac:dyDescent="0.3">
      <c r="A90" s="517"/>
      <c r="B90" s="521" t="s">
        <v>295</v>
      </c>
      <c r="C90" s="504"/>
      <c r="D90" s="512"/>
      <c r="E90" s="512"/>
      <c r="F90" s="512"/>
      <c r="G90" s="512"/>
      <c r="H90" s="512"/>
      <c r="I90" s="505"/>
      <c r="J90" s="505"/>
      <c r="K90" s="505"/>
      <c r="L90" s="505"/>
      <c r="M90" s="505"/>
      <c r="N90" s="505"/>
      <c r="O90" s="505"/>
      <c r="P90" s="506"/>
      <c r="Q90" s="234">
        <f>P84</f>
        <v>-38323755.593410142</v>
      </c>
    </row>
    <row r="91" spans="1:17" ht="15" customHeight="1" thickBot="1" x14ac:dyDescent="0.35">
      <c r="A91" s="517"/>
      <c r="B91" s="523" t="s">
        <v>296</v>
      </c>
      <c r="C91" s="504"/>
      <c r="D91" s="512"/>
      <c r="E91" s="512"/>
      <c r="F91" s="512"/>
      <c r="G91" s="512"/>
      <c r="H91" s="512"/>
      <c r="I91" s="505"/>
      <c r="J91" s="505"/>
      <c r="K91" s="505"/>
      <c r="L91" s="505"/>
      <c r="M91" s="505"/>
      <c r="N91" s="505"/>
      <c r="O91" s="505"/>
      <c r="P91" s="506"/>
      <c r="Q91" s="525">
        <f>SUM(Q88:Q90)</f>
        <v>162928776.4084174</v>
      </c>
    </row>
    <row r="92" spans="1:17" ht="15" thickTop="1" x14ac:dyDescent="0.3">
      <c r="A92" s="493"/>
      <c r="B92" s="493"/>
      <c r="C92" s="497"/>
      <c r="D92" s="493"/>
      <c r="E92" s="493"/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526"/>
      <c r="Q92" s="526"/>
    </row>
    <row r="93" spans="1:17" x14ac:dyDescent="0.3">
      <c r="A93" s="493"/>
      <c r="B93" s="493"/>
      <c r="C93" s="497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526"/>
      <c r="Q93" s="526"/>
    </row>
    <row r="94" spans="1:17" x14ac:dyDescent="0.3">
      <c r="A94" s="487" t="s">
        <v>2414</v>
      </c>
      <c r="B94" s="493"/>
      <c r="C94" s="493"/>
      <c r="D94" s="493"/>
      <c r="E94" s="493"/>
      <c r="F94" s="493"/>
      <c r="G94" s="493"/>
      <c r="H94" s="493"/>
      <c r="I94" s="493"/>
      <c r="J94" s="493"/>
      <c r="K94" s="493"/>
      <c r="L94" s="493"/>
      <c r="M94" s="493"/>
      <c r="N94" s="493"/>
      <c r="O94" s="493"/>
      <c r="P94" s="526"/>
      <c r="Q94" s="493"/>
    </row>
    <row r="95" spans="1:17" x14ac:dyDescent="0.3">
      <c r="A95" s="493"/>
      <c r="B95" s="493"/>
      <c r="C95" s="493"/>
      <c r="D95" s="493"/>
      <c r="E95" s="493"/>
      <c r="F95" s="493"/>
      <c r="G95" s="493"/>
      <c r="H95" s="493"/>
      <c r="I95" s="493"/>
      <c r="J95" s="493"/>
      <c r="K95" s="493"/>
      <c r="L95" s="493"/>
      <c r="M95" s="493"/>
      <c r="N95" s="493"/>
      <c r="O95" s="493"/>
      <c r="P95" s="526"/>
      <c r="Q95" s="493"/>
    </row>
    <row r="96" spans="1:17" x14ac:dyDescent="0.3">
      <c r="A96" s="493"/>
      <c r="B96" s="493"/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526"/>
      <c r="Q96" s="493"/>
    </row>
    <row r="97" spans="1:17" x14ac:dyDescent="0.3">
      <c r="A97" s="493"/>
      <c r="B97" s="493"/>
      <c r="C97" s="493"/>
      <c r="D97" s="493"/>
      <c r="E97" s="493"/>
      <c r="F97" s="493"/>
      <c r="G97" s="493"/>
      <c r="H97" s="493"/>
      <c r="I97" s="493"/>
      <c r="J97" s="493"/>
      <c r="K97" s="493"/>
      <c r="L97" s="493"/>
      <c r="M97" s="493"/>
      <c r="N97" s="493"/>
      <c r="O97" s="493"/>
      <c r="P97" s="526"/>
      <c r="Q97" s="493"/>
    </row>
    <row r="98" spans="1:17" x14ac:dyDescent="0.3">
      <c r="A98" s="493"/>
      <c r="B98" s="493"/>
      <c r="C98" s="493"/>
      <c r="D98" s="493"/>
      <c r="E98" s="493"/>
      <c r="F98" s="493"/>
      <c r="G98" s="493"/>
      <c r="H98" s="493"/>
      <c r="I98" s="493"/>
      <c r="J98" s="493"/>
      <c r="K98" s="493"/>
      <c r="L98" s="493"/>
      <c r="M98" s="493"/>
      <c r="N98" s="493"/>
      <c r="O98" s="493"/>
      <c r="P98" s="526"/>
      <c r="Q98" s="493"/>
    </row>
    <row r="99" spans="1:17" x14ac:dyDescent="0.3">
      <c r="A99" s="493"/>
      <c r="B99" s="493"/>
      <c r="C99" s="493"/>
      <c r="D99" s="493"/>
      <c r="E99" s="493"/>
      <c r="F99" s="493"/>
      <c r="G99" s="493"/>
      <c r="H99" s="493"/>
      <c r="I99" s="493"/>
      <c r="J99" s="493"/>
      <c r="K99" s="493"/>
      <c r="L99" s="493"/>
      <c r="M99" s="493"/>
      <c r="N99" s="493"/>
      <c r="O99" s="493"/>
      <c r="P99" s="526"/>
      <c r="Q99" s="493"/>
    </row>
    <row r="100" spans="1:17" x14ac:dyDescent="0.3">
      <c r="A100" s="493"/>
      <c r="B100" s="493"/>
      <c r="C100" s="493"/>
      <c r="D100" s="493"/>
      <c r="E100" s="493"/>
      <c r="F100" s="493"/>
      <c r="G100" s="493"/>
      <c r="H100" s="493"/>
      <c r="I100" s="493"/>
      <c r="J100" s="493"/>
      <c r="K100" s="493"/>
      <c r="L100" s="493"/>
      <c r="M100" s="493"/>
      <c r="N100" s="493"/>
      <c r="O100" s="493"/>
      <c r="P100" s="526"/>
      <c r="Q100" s="493"/>
    </row>
    <row r="101" spans="1:17" x14ac:dyDescent="0.3">
      <c r="A101" s="493"/>
      <c r="B101" s="493"/>
      <c r="C101" s="493"/>
      <c r="D101" s="493"/>
      <c r="E101" s="493"/>
      <c r="F101" s="493"/>
      <c r="G101" s="493"/>
      <c r="H101" s="493"/>
      <c r="I101" s="493"/>
      <c r="J101" s="493"/>
      <c r="K101" s="493"/>
      <c r="L101" s="493"/>
      <c r="M101" s="493"/>
      <c r="N101" s="493"/>
      <c r="O101" s="493"/>
      <c r="P101" s="526"/>
      <c r="Q101" s="493"/>
    </row>
    <row r="102" spans="1:17" x14ac:dyDescent="0.3">
      <c r="A102" s="493"/>
      <c r="B102" s="493"/>
      <c r="C102" s="493"/>
      <c r="D102" s="493"/>
      <c r="E102" s="493"/>
      <c r="F102" s="493"/>
      <c r="G102" s="493"/>
      <c r="H102" s="493"/>
      <c r="I102" s="493"/>
      <c r="J102" s="493"/>
      <c r="K102" s="493"/>
      <c r="L102" s="493"/>
      <c r="M102" s="493"/>
      <c r="N102" s="493"/>
      <c r="O102" s="493"/>
      <c r="P102" s="526"/>
      <c r="Q102" s="493"/>
    </row>
    <row r="103" spans="1:17" x14ac:dyDescent="0.3">
      <c r="A103" s="493"/>
      <c r="B103" s="493"/>
      <c r="C103" s="493"/>
      <c r="D103" s="493"/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526"/>
      <c r="Q103" s="493"/>
    </row>
    <row r="104" spans="1:17" x14ac:dyDescent="0.3">
      <c r="A104" s="493"/>
      <c r="B104" s="493"/>
      <c r="C104" s="493"/>
      <c r="D104" s="493"/>
      <c r="E104" s="493"/>
      <c r="F104" s="493"/>
      <c r="G104" s="493"/>
      <c r="H104" s="493"/>
      <c r="I104" s="493"/>
      <c r="J104" s="493"/>
      <c r="K104" s="493"/>
      <c r="L104" s="493"/>
      <c r="M104" s="493"/>
      <c r="N104" s="493"/>
      <c r="O104" s="493"/>
      <c r="P104" s="526"/>
      <c r="Q104" s="493"/>
    </row>
    <row r="105" spans="1:17" x14ac:dyDescent="0.3">
      <c r="A105" s="493"/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93"/>
      <c r="M105" s="493"/>
      <c r="N105" s="493"/>
      <c r="O105" s="493"/>
      <c r="P105" s="526"/>
      <c r="Q105" s="493"/>
    </row>
    <row r="106" spans="1:17" x14ac:dyDescent="0.3">
      <c r="A106" s="493"/>
      <c r="B106" s="493"/>
      <c r="C106" s="493"/>
      <c r="D106" s="493"/>
      <c r="E106" s="493"/>
      <c r="F106" s="493"/>
      <c r="G106" s="493"/>
      <c r="H106" s="493"/>
      <c r="I106" s="493"/>
      <c r="J106" s="493"/>
      <c r="K106" s="493"/>
      <c r="L106" s="493"/>
      <c r="M106" s="493"/>
      <c r="N106" s="493"/>
      <c r="O106" s="493"/>
      <c r="P106" s="526"/>
      <c r="Q106" s="493"/>
    </row>
    <row r="107" spans="1:17" x14ac:dyDescent="0.3">
      <c r="A107" s="493"/>
      <c r="B107" s="493"/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493"/>
      <c r="N107" s="493"/>
      <c r="O107" s="493"/>
      <c r="P107" s="526"/>
      <c r="Q107" s="493"/>
    </row>
    <row r="108" spans="1:17" x14ac:dyDescent="0.3">
      <c r="A108" s="493"/>
      <c r="B108" s="493"/>
      <c r="C108" s="493"/>
      <c r="D108" s="493"/>
      <c r="E108" s="493"/>
      <c r="F108" s="493"/>
      <c r="G108" s="493"/>
      <c r="H108" s="493"/>
      <c r="I108" s="493"/>
      <c r="J108" s="493"/>
      <c r="K108" s="493"/>
      <c r="L108" s="493"/>
      <c r="M108" s="493"/>
      <c r="N108" s="493"/>
      <c r="O108" s="493"/>
      <c r="P108" s="526"/>
      <c r="Q108" s="493"/>
    </row>
    <row r="109" spans="1:17" x14ac:dyDescent="0.3">
      <c r="A109" s="493"/>
      <c r="B109" s="493"/>
      <c r="C109" s="493"/>
      <c r="D109" s="493"/>
      <c r="E109" s="493"/>
      <c r="F109" s="493"/>
      <c r="G109" s="493"/>
      <c r="H109" s="493"/>
      <c r="I109" s="493"/>
      <c r="J109" s="493"/>
      <c r="K109" s="493"/>
      <c r="L109" s="493"/>
      <c r="M109" s="493"/>
      <c r="N109" s="493"/>
      <c r="O109" s="493"/>
      <c r="P109" s="526"/>
      <c r="Q109" s="493"/>
    </row>
    <row r="110" spans="1:17" x14ac:dyDescent="0.3">
      <c r="A110" s="493"/>
      <c r="B110" s="493"/>
      <c r="C110" s="493"/>
      <c r="D110" s="493"/>
      <c r="E110" s="493"/>
      <c r="F110" s="493"/>
      <c r="G110" s="493"/>
      <c r="H110" s="493"/>
      <c r="I110" s="493"/>
      <c r="J110" s="493"/>
      <c r="K110" s="493"/>
      <c r="L110" s="493"/>
      <c r="M110" s="493"/>
      <c r="N110" s="493"/>
      <c r="O110" s="493"/>
      <c r="P110" s="526"/>
      <c r="Q110" s="493"/>
    </row>
    <row r="111" spans="1:17" x14ac:dyDescent="0.3">
      <c r="A111" s="493"/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  <c r="M111" s="493"/>
      <c r="N111" s="493"/>
      <c r="O111" s="493"/>
      <c r="P111" s="526"/>
      <c r="Q111" s="493"/>
    </row>
    <row r="112" spans="1:17" x14ac:dyDescent="0.3">
      <c r="A112" s="493"/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  <c r="M112" s="493"/>
      <c r="N112" s="493"/>
      <c r="O112" s="493"/>
      <c r="P112" s="526"/>
      <c r="Q112" s="493"/>
    </row>
    <row r="113" spans="1:17" x14ac:dyDescent="0.3">
      <c r="A113" s="493"/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  <c r="O113" s="493"/>
      <c r="P113" s="526"/>
      <c r="Q113" s="493"/>
    </row>
    <row r="114" spans="1:17" x14ac:dyDescent="0.3">
      <c r="A114" s="493"/>
      <c r="B114" s="493"/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3"/>
      <c r="P114" s="526"/>
      <c r="Q114" s="493"/>
    </row>
    <row r="115" spans="1:17" x14ac:dyDescent="0.3">
      <c r="A115" s="493"/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493"/>
      <c r="O115" s="493"/>
      <c r="P115" s="526"/>
      <c r="Q115" s="493"/>
    </row>
    <row r="116" spans="1:17" x14ac:dyDescent="0.3">
      <c r="A116" s="493"/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  <c r="M116" s="493"/>
      <c r="N116" s="493"/>
      <c r="O116" s="493"/>
      <c r="P116" s="526"/>
      <c r="Q116" s="493"/>
    </row>
    <row r="117" spans="1:17" x14ac:dyDescent="0.3">
      <c r="A117" s="493"/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  <c r="O117" s="493"/>
      <c r="P117" s="526"/>
      <c r="Q117" s="493"/>
    </row>
    <row r="118" spans="1:17" x14ac:dyDescent="0.3">
      <c r="A118" s="493"/>
      <c r="B118" s="493"/>
      <c r="C118" s="493"/>
      <c r="D118" s="493"/>
      <c r="E118" s="493"/>
      <c r="F118" s="493"/>
      <c r="G118" s="493"/>
      <c r="H118" s="493"/>
      <c r="I118" s="493"/>
      <c r="J118" s="493"/>
      <c r="K118" s="493"/>
      <c r="L118" s="493"/>
      <c r="M118" s="493"/>
      <c r="N118" s="493"/>
      <c r="O118" s="493"/>
      <c r="P118" s="526"/>
      <c r="Q118" s="493"/>
    </row>
    <row r="119" spans="1:17" x14ac:dyDescent="0.3">
      <c r="A119" s="493"/>
      <c r="B119" s="493"/>
      <c r="C119" s="493"/>
      <c r="D119" s="493"/>
      <c r="E119" s="493"/>
      <c r="F119" s="493"/>
      <c r="G119" s="493"/>
      <c r="H119" s="493"/>
      <c r="I119" s="493"/>
      <c r="J119" s="493"/>
      <c r="K119" s="493"/>
      <c r="L119" s="493"/>
      <c r="M119" s="493"/>
      <c r="N119" s="493"/>
      <c r="O119" s="493"/>
      <c r="P119" s="526"/>
      <c r="Q119" s="493"/>
    </row>
    <row r="120" spans="1:17" x14ac:dyDescent="0.3">
      <c r="A120" s="493"/>
      <c r="B120" s="493"/>
      <c r="C120" s="493"/>
      <c r="D120" s="493"/>
      <c r="E120" s="493"/>
      <c r="F120" s="493"/>
      <c r="G120" s="493"/>
      <c r="H120" s="493"/>
      <c r="I120" s="493"/>
      <c r="J120" s="493"/>
      <c r="K120" s="493"/>
      <c r="L120" s="493"/>
      <c r="M120" s="493"/>
      <c r="N120" s="493"/>
      <c r="O120" s="493"/>
      <c r="P120" s="526"/>
      <c r="Q120" s="493"/>
    </row>
    <row r="121" spans="1:17" x14ac:dyDescent="0.3">
      <c r="A121" s="493"/>
      <c r="B121" s="493"/>
      <c r="C121" s="493"/>
      <c r="D121" s="493"/>
      <c r="E121" s="493"/>
      <c r="F121" s="493"/>
      <c r="G121" s="493"/>
      <c r="H121" s="493"/>
      <c r="I121" s="493"/>
      <c r="J121" s="493"/>
      <c r="K121" s="493"/>
      <c r="L121" s="493"/>
      <c r="M121" s="493"/>
      <c r="N121" s="493"/>
      <c r="O121" s="493"/>
      <c r="P121" s="526"/>
      <c r="Q121" s="493"/>
    </row>
  </sheetData>
  <mergeCells count="2">
    <mergeCell ref="A7:C7"/>
    <mergeCell ref="A50:C50"/>
  </mergeCells>
  <printOptions horizontalCentered="1"/>
  <pageMargins left="0.5" right="0.5" top="0.5" bottom="0.5" header="0.25" footer="0.25"/>
  <pageSetup scale="48" fitToHeight="0" orientation="landscape" r:id="rId1"/>
  <headerFooter alignWithMargins="0"/>
  <rowBreaks count="1" manualBreakCount="1">
    <brk id="49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85" zoomScaleNormal="85" workbookViewId="0">
      <selection activeCell="J8" sqref="J8"/>
    </sheetView>
  </sheetViews>
  <sheetFormatPr defaultColWidth="8.88671875" defaultRowHeight="14.4" x14ac:dyDescent="0.3"/>
  <cols>
    <col min="1" max="3" width="5.6640625" style="3" customWidth="1"/>
    <col min="4" max="4" width="50.5546875" style="3" bestFit="1" customWidth="1"/>
    <col min="5" max="7" width="14.6640625" style="1" customWidth="1"/>
    <col min="8" max="8" width="8.88671875" style="2"/>
    <col min="9" max="16384" width="8.88671875" style="1"/>
  </cols>
  <sheetData>
    <row r="1" spans="1:10" x14ac:dyDescent="0.3">
      <c r="A1" s="527" t="s">
        <v>142</v>
      </c>
      <c r="B1" s="527"/>
      <c r="C1" s="527"/>
      <c r="D1" s="527"/>
      <c r="E1" s="528"/>
      <c r="F1" s="528"/>
      <c r="G1" s="529"/>
      <c r="H1" s="530"/>
      <c r="J1" s="1" t="s">
        <v>2415</v>
      </c>
    </row>
    <row r="2" spans="1:10" x14ac:dyDescent="0.3">
      <c r="A2" s="527" t="s">
        <v>143</v>
      </c>
      <c r="B2" s="527"/>
      <c r="C2" s="527"/>
      <c r="D2" s="527"/>
      <c r="E2" s="528"/>
      <c r="F2" s="528"/>
      <c r="G2" s="529"/>
      <c r="H2" s="530"/>
      <c r="J2" s="8" t="s">
        <v>1904</v>
      </c>
    </row>
    <row r="3" spans="1:10" x14ac:dyDescent="0.3">
      <c r="A3" s="527" t="s">
        <v>144</v>
      </c>
      <c r="B3" s="527"/>
      <c r="C3" s="527"/>
      <c r="D3" s="527"/>
      <c r="E3" s="528"/>
      <c r="F3" s="528"/>
      <c r="G3" s="529"/>
      <c r="H3" s="530"/>
      <c r="J3" s="8" t="s">
        <v>2430</v>
      </c>
    </row>
    <row r="4" spans="1:10" x14ac:dyDescent="0.3">
      <c r="A4" s="527" t="s">
        <v>145</v>
      </c>
      <c r="B4" s="527"/>
      <c r="C4" s="527"/>
      <c r="D4" s="527"/>
      <c r="E4" s="527"/>
      <c r="F4" s="528"/>
      <c r="G4" s="529"/>
      <c r="H4" s="530"/>
      <c r="J4" s="8" t="s">
        <v>1959</v>
      </c>
    </row>
    <row r="5" spans="1:10" x14ac:dyDescent="0.3">
      <c r="A5" s="527"/>
      <c r="B5" s="527"/>
      <c r="C5" s="527"/>
      <c r="D5" s="527"/>
      <c r="E5" s="527"/>
      <c r="F5" s="528"/>
      <c r="G5" s="529"/>
      <c r="H5" s="530"/>
      <c r="J5" s="8" t="s">
        <v>2428</v>
      </c>
    </row>
    <row r="6" spans="1:10" x14ac:dyDescent="0.3">
      <c r="A6" s="527"/>
      <c r="B6" s="527"/>
      <c r="C6" s="527"/>
      <c r="D6" s="527"/>
      <c r="E6" s="531" t="s">
        <v>146</v>
      </c>
      <c r="F6" s="531" t="s">
        <v>147</v>
      </c>
      <c r="G6" s="531" t="s">
        <v>148</v>
      </c>
      <c r="H6" s="530"/>
      <c r="J6" s="485"/>
    </row>
    <row r="7" spans="1:10" x14ac:dyDescent="0.3">
      <c r="A7" s="527" t="s">
        <v>149</v>
      </c>
      <c r="B7" s="527"/>
      <c r="C7" s="527"/>
      <c r="D7" s="527"/>
      <c r="E7" s="528"/>
      <c r="F7" s="528"/>
      <c r="G7" s="528"/>
      <c r="H7" s="530"/>
      <c r="J7" s="485"/>
    </row>
    <row r="8" spans="1:10" x14ac:dyDescent="0.3">
      <c r="A8" s="527"/>
      <c r="B8" s="527" t="s">
        <v>150</v>
      </c>
      <c r="C8" s="527"/>
      <c r="D8" s="527"/>
      <c r="E8" s="528"/>
      <c r="F8" s="528"/>
      <c r="G8" s="528"/>
      <c r="H8" s="530"/>
      <c r="J8" s="231"/>
    </row>
    <row r="9" spans="1:10" x14ac:dyDescent="0.3">
      <c r="A9" s="527"/>
      <c r="B9" s="527"/>
      <c r="C9" s="527" t="s">
        <v>151</v>
      </c>
      <c r="D9" s="527"/>
      <c r="E9" s="528"/>
      <c r="F9" s="528"/>
      <c r="G9" s="528"/>
      <c r="H9" s="530"/>
    </row>
    <row r="10" spans="1:10" x14ac:dyDescent="0.3">
      <c r="A10" s="527"/>
      <c r="B10" s="527"/>
      <c r="C10" s="527" t="s">
        <v>152</v>
      </c>
      <c r="D10" s="527" t="s">
        <v>63</v>
      </c>
      <c r="E10" s="532">
        <v>291773.74999999994</v>
      </c>
      <c r="F10" s="532">
        <v>30402.824749999985</v>
      </c>
      <c r="G10" s="532">
        <v>261370.92524999997</v>
      </c>
      <c r="H10" s="530"/>
    </row>
    <row r="11" spans="1:10" x14ac:dyDescent="0.3">
      <c r="A11" s="527"/>
      <c r="B11" s="527"/>
      <c r="C11" s="527" t="s">
        <v>153</v>
      </c>
      <c r="D11" s="527" t="s">
        <v>154</v>
      </c>
      <c r="E11" s="532">
        <v>73077.67</v>
      </c>
      <c r="F11" s="532">
        <v>7614.6932139999972</v>
      </c>
      <c r="G11" s="532">
        <v>65462.976785999999</v>
      </c>
      <c r="H11" s="530"/>
    </row>
    <row r="12" spans="1:10" x14ac:dyDescent="0.3">
      <c r="A12" s="527"/>
      <c r="B12" s="527"/>
      <c r="C12" s="527" t="s">
        <v>155</v>
      </c>
      <c r="D12" s="527" t="s">
        <v>156</v>
      </c>
      <c r="E12" s="532">
        <v>2626828.3900000006</v>
      </c>
      <c r="F12" s="532">
        <v>272282.4249655999</v>
      </c>
      <c r="G12" s="532">
        <v>2354545.9650344006</v>
      </c>
      <c r="H12" s="530"/>
    </row>
    <row r="13" spans="1:10" x14ac:dyDescent="0.3">
      <c r="A13" s="527"/>
      <c r="B13" s="527"/>
      <c r="C13" s="527" t="s">
        <v>157</v>
      </c>
      <c r="D13" s="527" t="s">
        <v>158</v>
      </c>
      <c r="E13" s="532">
        <v>20987.289999999997</v>
      </c>
      <c r="F13" s="532">
        <v>2137.958881999999</v>
      </c>
      <c r="G13" s="532">
        <v>18849.331117999998</v>
      </c>
      <c r="H13" s="530"/>
    </row>
    <row r="14" spans="1:10" x14ac:dyDescent="0.3">
      <c r="A14" s="527"/>
      <c r="B14" s="527"/>
      <c r="C14" s="527"/>
      <c r="D14" s="527"/>
      <c r="E14" s="532"/>
      <c r="F14" s="532"/>
      <c r="G14" s="532"/>
      <c r="H14" s="493"/>
    </row>
    <row r="15" spans="1:10" x14ac:dyDescent="0.3">
      <c r="A15" s="527"/>
      <c r="B15" s="527"/>
      <c r="C15" s="527" t="s">
        <v>159</v>
      </c>
      <c r="D15" s="527"/>
      <c r="E15" s="532"/>
      <c r="F15" s="532"/>
      <c r="G15" s="532"/>
      <c r="H15" s="530"/>
    </row>
    <row r="16" spans="1:10" x14ac:dyDescent="0.3">
      <c r="A16" s="527"/>
      <c r="B16" s="527"/>
      <c r="C16" s="527" t="s">
        <v>160</v>
      </c>
      <c r="D16" s="527" t="s">
        <v>63</v>
      </c>
      <c r="E16" s="533">
        <v>237433.8</v>
      </c>
      <c r="F16" s="533">
        <v>24740.601959999989</v>
      </c>
      <c r="G16" s="533">
        <v>212693.19803999999</v>
      </c>
      <c r="H16" s="530"/>
    </row>
    <row r="17" spans="1:8" x14ac:dyDescent="0.3">
      <c r="A17" s="527"/>
      <c r="B17" s="527"/>
      <c r="C17" s="534">
        <v>834</v>
      </c>
      <c r="D17" s="527" t="s">
        <v>161</v>
      </c>
      <c r="E17" s="535">
        <v>232439.48999999993</v>
      </c>
      <c r="F17" s="535">
        <v>24220.194857999988</v>
      </c>
      <c r="G17" s="535">
        <v>208219.29514199996</v>
      </c>
      <c r="H17" s="530"/>
    </row>
    <row r="18" spans="1:8" x14ac:dyDescent="0.3">
      <c r="A18" s="527"/>
      <c r="B18" s="527"/>
      <c r="C18" s="527"/>
      <c r="D18" s="527" t="s">
        <v>162</v>
      </c>
      <c r="E18" s="532">
        <v>3482540.39</v>
      </c>
      <c r="F18" s="532">
        <v>361398.69862959988</v>
      </c>
      <c r="G18" s="532">
        <v>3121141.6913704011</v>
      </c>
      <c r="H18" s="493"/>
    </row>
    <row r="19" spans="1:8" x14ac:dyDescent="0.3">
      <c r="A19" s="527"/>
      <c r="B19" s="527"/>
      <c r="C19" s="527"/>
      <c r="D19" s="527"/>
      <c r="E19" s="532"/>
      <c r="F19" s="532"/>
      <c r="G19" s="532"/>
      <c r="H19" s="530"/>
    </row>
    <row r="20" spans="1:8" x14ac:dyDescent="0.3">
      <c r="A20" s="527"/>
      <c r="B20" s="527" t="s">
        <v>163</v>
      </c>
      <c r="C20" s="527"/>
      <c r="D20" s="527"/>
      <c r="E20" s="532"/>
      <c r="F20" s="532"/>
      <c r="G20" s="532"/>
      <c r="H20" s="530"/>
    </row>
    <row r="21" spans="1:8" x14ac:dyDescent="0.3">
      <c r="A21" s="527"/>
      <c r="B21" s="527"/>
      <c r="C21" s="527" t="s">
        <v>151</v>
      </c>
      <c r="D21" s="527"/>
      <c r="E21" s="532"/>
      <c r="F21" s="532"/>
      <c r="G21" s="532"/>
      <c r="H21" s="530"/>
    </row>
    <row r="22" spans="1:8" x14ac:dyDescent="0.3">
      <c r="A22" s="527"/>
      <c r="B22" s="527"/>
      <c r="C22" s="527" t="s">
        <v>164</v>
      </c>
      <c r="D22" s="527" t="s">
        <v>165</v>
      </c>
      <c r="E22" s="535">
        <v>172056.93000000002</v>
      </c>
      <c r="F22" s="535">
        <v>17928.332105999994</v>
      </c>
      <c r="G22" s="535">
        <v>154128.59789400004</v>
      </c>
      <c r="H22" s="530"/>
    </row>
    <row r="23" spans="1:8" x14ac:dyDescent="0.3">
      <c r="A23" s="527"/>
      <c r="B23" s="527"/>
      <c r="C23" s="527"/>
      <c r="D23" s="527" t="s">
        <v>166</v>
      </c>
      <c r="E23" s="532">
        <v>172056.93000000002</v>
      </c>
      <c r="F23" s="532">
        <v>17928.332105999994</v>
      </c>
      <c r="G23" s="532">
        <v>154128.59789400004</v>
      </c>
      <c r="H23" s="493"/>
    </row>
    <row r="24" spans="1:8" x14ac:dyDescent="0.3">
      <c r="A24" s="527"/>
      <c r="B24" s="527"/>
      <c r="C24" s="527"/>
      <c r="D24" s="527"/>
      <c r="E24" s="532"/>
      <c r="F24" s="532"/>
      <c r="G24" s="532"/>
      <c r="H24" s="530"/>
    </row>
    <row r="25" spans="1:8" x14ac:dyDescent="0.3">
      <c r="A25" s="527"/>
      <c r="B25" s="527" t="s">
        <v>167</v>
      </c>
      <c r="C25" s="527"/>
      <c r="D25" s="527"/>
      <c r="E25" s="532"/>
      <c r="F25" s="532"/>
      <c r="G25" s="532"/>
      <c r="H25" s="530"/>
    </row>
    <row r="26" spans="1:8" x14ac:dyDescent="0.3">
      <c r="A26" s="527"/>
      <c r="B26" s="527"/>
      <c r="C26" s="527" t="s">
        <v>151</v>
      </c>
      <c r="D26" s="527"/>
      <c r="E26" s="532"/>
      <c r="F26" s="532"/>
      <c r="G26" s="532"/>
      <c r="H26" s="530"/>
    </row>
    <row r="27" spans="1:8" x14ac:dyDescent="0.3">
      <c r="A27" s="527"/>
      <c r="B27" s="527"/>
      <c r="C27" s="527" t="s">
        <v>168</v>
      </c>
      <c r="D27" s="527" t="s">
        <v>165</v>
      </c>
      <c r="E27" s="532">
        <v>1892076.6600000001</v>
      </c>
      <c r="F27" s="532">
        <v>197154.38797199994</v>
      </c>
      <c r="G27" s="532">
        <v>1694922.2720280001</v>
      </c>
      <c r="H27" s="493"/>
    </row>
    <row r="28" spans="1:8" x14ac:dyDescent="0.3">
      <c r="A28" s="527"/>
      <c r="B28" s="527"/>
      <c r="C28" s="527" t="s">
        <v>169</v>
      </c>
      <c r="D28" s="527" t="s">
        <v>170</v>
      </c>
      <c r="E28" s="532">
        <v>-100562.02000000002</v>
      </c>
      <c r="F28" s="532">
        <v>-10478.562483999998</v>
      </c>
      <c r="G28" s="532">
        <v>-90083.457516000024</v>
      </c>
      <c r="H28" s="530"/>
    </row>
    <row r="29" spans="1:8" x14ac:dyDescent="0.3">
      <c r="A29" s="527"/>
      <c r="B29" s="527"/>
      <c r="C29" s="527"/>
      <c r="D29" s="527"/>
      <c r="E29" s="532"/>
      <c r="F29" s="532"/>
      <c r="G29" s="532"/>
      <c r="H29" s="530"/>
    </row>
    <row r="30" spans="1:8" x14ac:dyDescent="0.3">
      <c r="A30" s="527"/>
      <c r="B30" s="527"/>
      <c r="C30" s="527" t="s">
        <v>159</v>
      </c>
      <c r="D30" s="527"/>
      <c r="E30" s="532"/>
      <c r="F30" s="532"/>
      <c r="G30" s="532"/>
      <c r="H30" s="530"/>
    </row>
    <row r="31" spans="1:8" x14ac:dyDescent="0.3">
      <c r="A31" s="527"/>
      <c r="B31" s="527"/>
      <c r="C31" s="527" t="s">
        <v>171</v>
      </c>
      <c r="D31" s="527" t="s">
        <v>165</v>
      </c>
      <c r="E31" s="535">
        <v>1117824.45</v>
      </c>
      <c r="F31" s="535">
        <v>116477.30768999996</v>
      </c>
      <c r="G31" s="535">
        <v>1001347.14231</v>
      </c>
      <c r="H31" s="530"/>
    </row>
    <row r="32" spans="1:8" x14ac:dyDescent="0.3">
      <c r="A32" s="527"/>
      <c r="B32" s="527"/>
      <c r="C32" s="527"/>
      <c r="D32" s="527" t="s">
        <v>172</v>
      </c>
      <c r="E32" s="532">
        <v>2909339.09</v>
      </c>
      <c r="F32" s="532">
        <v>303153.13317799987</v>
      </c>
      <c r="G32" s="532">
        <v>2606185.956822</v>
      </c>
      <c r="H32" s="530"/>
    </row>
    <row r="33" spans="1:8" x14ac:dyDescent="0.3">
      <c r="A33" s="527"/>
      <c r="B33" s="527"/>
      <c r="C33" s="527"/>
      <c r="D33" s="527"/>
      <c r="E33" s="535"/>
      <c r="F33" s="535"/>
      <c r="G33" s="535"/>
      <c r="H33" s="493"/>
    </row>
    <row r="34" spans="1:8" x14ac:dyDescent="0.3">
      <c r="A34" s="527"/>
      <c r="B34" s="527"/>
      <c r="C34" s="527"/>
      <c r="D34" s="527" t="s">
        <v>173</v>
      </c>
      <c r="E34" s="532">
        <v>6563936.4100000001</v>
      </c>
      <c r="F34" s="532">
        <v>682480.16391359968</v>
      </c>
      <c r="G34" s="532">
        <v>5881456.2460864009</v>
      </c>
      <c r="H34" s="530"/>
    </row>
    <row r="35" spans="1:8" x14ac:dyDescent="0.3">
      <c r="A35" s="527"/>
      <c r="B35" s="527"/>
      <c r="C35" s="527"/>
      <c r="D35" s="527"/>
      <c r="E35" s="532"/>
      <c r="F35" s="532"/>
      <c r="G35" s="532"/>
      <c r="H35" s="530"/>
    </row>
    <row r="36" spans="1:8" x14ac:dyDescent="0.3">
      <c r="A36" s="527" t="s">
        <v>174</v>
      </c>
      <c r="B36" s="527"/>
      <c r="C36" s="527"/>
      <c r="D36" s="527"/>
      <c r="E36" s="532"/>
      <c r="F36" s="532"/>
      <c r="G36" s="532"/>
      <c r="H36" s="530"/>
    </row>
    <row r="37" spans="1:8" x14ac:dyDescent="0.3">
      <c r="A37" s="527"/>
      <c r="B37" s="527"/>
      <c r="C37" s="527" t="s">
        <v>151</v>
      </c>
      <c r="D37" s="527"/>
      <c r="E37" s="532"/>
      <c r="F37" s="532"/>
      <c r="G37" s="532"/>
      <c r="H37" s="493"/>
    </row>
    <row r="38" spans="1:8" x14ac:dyDescent="0.3">
      <c r="A38" s="527"/>
      <c r="B38" s="527"/>
      <c r="C38" s="527" t="s">
        <v>175</v>
      </c>
      <c r="D38" s="527" t="s">
        <v>73</v>
      </c>
      <c r="E38" s="532">
        <v>1998784.92</v>
      </c>
      <c r="F38" s="532">
        <v>136387.00635411995</v>
      </c>
      <c r="G38" s="532">
        <v>1862397.9136458801</v>
      </c>
      <c r="H38" s="530"/>
    </row>
    <row r="39" spans="1:8" x14ac:dyDescent="0.3">
      <c r="A39" s="527"/>
      <c r="B39" s="527"/>
      <c r="C39" s="527"/>
      <c r="D39" s="527"/>
      <c r="E39" s="532"/>
      <c r="F39" s="532"/>
      <c r="G39" s="532"/>
      <c r="H39" s="530"/>
    </row>
    <row r="40" spans="1:8" x14ac:dyDescent="0.3">
      <c r="A40" s="527"/>
      <c r="B40" s="527"/>
      <c r="C40" s="527" t="s">
        <v>159</v>
      </c>
      <c r="D40" s="527"/>
      <c r="E40" s="532"/>
      <c r="F40" s="532"/>
      <c r="G40" s="532"/>
      <c r="H40" s="530"/>
    </row>
    <row r="41" spans="1:8" x14ac:dyDescent="0.3">
      <c r="A41" s="527"/>
      <c r="B41" s="527"/>
      <c r="C41" s="527" t="s">
        <v>176</v>
      </c>
      <c r="D41" s="527" t="s">
        <v>177</v>
      </c>
      <c r="E41" s="535">
        <v>166376.11000000002</v>
      </c>
      <c r="F41" s="535">
        <v>18635.184115999997</v>
      </c>
      <c r="G41" s="535">
        <v>147740.92588400003</v>
      </c>
      <c r="H41" s="493"/>
    </row>
    <row r="42" spans="1:8" x14ac:dyDescent="0.3">
      <c r="A42" s="527"/>
      <c r="B42" s="527"/>
      <c r="C42" s="527"/>
      <c r="D42" s="527" t="s">
        <v>178</v>
      </c>
      <c r="E42" s="532">
        <v>2165161.0299999998</v>
      </c>
      <c r="F42" s="532">
        <v>155022.19047011994</v>
      </c>
      <c r="G42" s="532">
        <v>2010138.8395298801</v>
      </c>
      <c r="H42" s="530"/>
    </row>
    <row r="43" spans="1:8" x14ac:dyDescent="0.3">
      <c r="A43" s="527"/>
      <c r="B43" s="527"/>
      <c r="C43" s="527"/>
      <c r="D43" s="527"/>
      <c r="E43" s="532"/>
      <c r="F43" s="532"/>
      <c r="G43" s="532"/>
      <c r="H43" s="530"/>
    </row>
    <row r="44" spans="1:8" x14ac:dyDescent="0.3">
      <c r="A44" s="527" t="s">
        <v>179</v>
      </c>
      <c r="B44" s="527"/>
      <c r="C44" s="527"/>
      <c r="D44" s="527"/>
      <c r="E44" s="532"/>
      <c r="F44" s="532"/>
      <c r="G44" s="532"/>
      <c r="H44" s="530"/>
    </row>
    <row r="45" spans="1:8" x14ac:dyDescent="0.3">
      <c r="A45" s="527"/>
      <c r="B45" s="527"/>
      <c r="C45" s="527" t="s">
        <v>151</v>
      </c>
      <c r="D45" s="527"/>
      <c r="E45" s="532"/>
      <c r="F45" s="532"/>
      <c r="G45" s="532"/>
      <c r="H45" s="530"/>
    </row>
    <row r="46" spans="1:8" x14ac:dyDescent="0.3">
      <c r="A46" s="527"/>
      <c r="B46" s="527"/>
      <c r="C46" s="527" t="s">
        <v>180</v>
      </c>
      <c r="D46" s="527" t="s">
        <v>165</v>
      </c>
      <c r="E46" s="532">
        <v>3497211.93</v>
      </c>
      <c r="F46" s="532">
        <v>302733.33109600004</v>
      </c>
      <c r="G46" s="532">
        <v>3194478.5989040001</v>
      </c>
      <c r="H46" s="530"/>
    </row>
    <row r="47" spans="1:8" x14ac:dyDescent="0.3">
      <c r="A47" s="527"/>
      <c r="B47" s="527"/>
      <c r="C47" s="527" t="s">
        <v>181</v>
      </c>
      <c r="D47" s="527" t="s">
        <v>182</v>
      </c>
      <c r="E47" s="532">
        <v>12875978.76</v>
      </c>
      <c r="F47" s="532">
        <v>1505786.4810249701</v>
      </c>
      <c r="G47" s="532">
        <v>11370192.27897503</v>
      </c>
      <c r="H47" s="530"/>
    </row>
    <row r="48" spans="1:8" x14ac:dyDescent="0.3">
      <c r="A48" s="527"/>
      <c r="B48" s="527"/>
      <c r="C48" s="527" t="s">
        <v>183</v>
      </c>
      <c r="D48" s="527" t="s">
        <v>184</v>
      </c>
      <c r="E48" s="532">
        <v>199446.18999999997</v>
      </c>
      <c r="F48" s="532">
        <v>20985.3571763617</v>
      </c>
      <c r="G48" s="532">
        <v>178460.83282363828</v>
      </c>
      <c r="H48" s="530"/>
    </row>
    <row r="49" spans="1:8" x14ac:dyDescent="0.3">
      <c r="A49" s="527"/>
      <c r="B49" s="527"/>
      <c r="C49" s="527" t="s">
        <v>185</v>
      </c>
      <c r="D49" s="527" t="s">
        <v>186</v>
      </c>
      <c r="E49" s="532">
        <v>504446.95</v>
      </c>
      <c r="F49" s="532">
        <v>43948.897824</v>
      </c>
      <c r="G49" s="532">
        <v>460498.05217600003</v>
      </c>
      <c r="H49" s="530"/>
    </row>
    <row r="50" spans="1:8" x14ac:dyDescent="0.3">
      <c r="A50" s="527"/>
      <c r="B50" s="527"/>
      <c r="C50" s="527" t="s">
        <v>187</v>
      </c>
      <c r="D50" s="527" t="s">
        <v>188</v>
      </c>
      <c r="E50" s="532">
        <v>6022667.0600000005</v>
      </c>
      <c r="F50" s="532">
        <v>670318.2904106502</v>
      </c>
      <c r="G50" s="532">
        <v>5352348.7695893506</v>
      </c>
      <c r="H50" s="530"/>
    </row>
    <row r="51" spans="1:8" x14ac:dyDescent="0.3">
      <c r="A51" s="527"/>
      <c r="B51" s="527"/>
      <c r="C51" s="527" t="s">
        <v>189</v>
      </c>
      <c r="D51" s="527" t="s">
        <v>190</v>
      </c>
      <c r="E51" s="532">
        <v>11036725.700000001</v>
      </c>
      <c r="F51" s="532">
        <v>1229187.7961862104</v>
      </c>
      <c r="G51" s="532">
        <v>9807537.9038137905</v>
      </c>
      <c r="H51" s="530"/>
    </row>
    <row r="52" spans="1:8" x14ac:dyDescent="0.3">
      <c r="A52" s="527"/>
      <c r="B52" s="527"/>
      <c r="C52" s="527" t="s">
        <v>191</v>
      </c>
      <c r="D52" s="527" t="s">
        <v>192</v>
      </c>
      <c r="E52" s="532">
        <v>1778613.6499999997</v>
      </c>
      <c r="F52" s="532">
        <v>182680.69190023001</v>
      </c>
      <c r="G52" s="532">
        <v>1595932.9580997697</v>
      </c>
      <c r="H52" s="493"/>
    </row>
    <row r="53" spans="1:8" x14ac:dyDescent="0.3">
      <c r="A53" s="527"/>
      <c r="B53" s="527"/>
      <c r="C53" s="527" t="s">
        <v>193</v>
      </c>
      <c r="D53" s="527" t="s">
        <v>58</v>
      </c>
      <c r="E53" s="532">
        <v>224750.72999999998</v>
      </c>
      <c r="F53" s="532">
        <v>31096.358330999989</v>
      </c>
      <c r="G53" s="532">
        <v>193654.37166899999</v>
      </c>
      <c r="H53" s="493"/>
    </row>
    <row r="54" spans="1:8" x14ac:dyDescent="0.3">
      <c r="A54" s="527"/>
      <c r="B54" s="527"/>
      <c r="C54" s="527"/>
      <c r="D54" s="527"/>
      <c r="E54" s="532"/>
      <c r="F54" s="532"/>
      <c r="G54" s="532"/>
      <c r="H54" s="530"/>
    </row>
    <row r="55" spans="1:8" x14ac:dyDescent="0.3">
      <c r="A55" s="527"/>
      <c r="B55" s="527"/>
      <c r="C55" s="527"/>
      <c r="D55" s="527"/>
      <c r="E55" s="532"/>
      <c r="F55" s="532"/>
      <c r="G55" s="532"/>
      <c r="H55" s="530"/>
    </row>
    <row r="56" spans="1:8" x14ac:dyDescent="0.3">
      <c r="A56" s="527"/>
      <c r="B56" s="527"/>
      <c r="C56" s="527" t="s">
        <v>159</v>
      </c>
      <c r="D56" s="527"/>
      <c r="E56" s="532"/>
      <c r="F56" s="532"/>
      <c r="G56" s="532"/>
      <c r="H56" s="530"/>
    </row>
    <row r="57" spans="1:8" x14ac:dyDescent="0.3">
      <c r="A57" s="527"/>
      <c r="B57" s="527"/>
      <c r="C57" s="527" t="s">
        <v>194</v>
      </c>
      <c r="D57" s="527" t="s">
        <v>165</v>
      </c>
      <c r="E57" s="532">
        <v>7357253.8700000001</v>
      </c>
      <c r="F57" s="532">
        <v>345666.10514636</v>
      </c>
      <c r="G57" s="532">
        <v>7011587.7648536405</v>
      </c>
      <c r="H57" s="530"/>
    </row>
    <row r="58" spans="1:8" x14ac:dyDescent="0.3">
      <c r="A58" s="527"/>
      <c r="B58" s="527"/>
      <c r="C58" s="527" t="s">
        <v>195</v>
      </c>
      <c r="D58" s="527" t="s">
        <v>23</v>
      </c>
      <c r="E58" s="532">
        <v>3229684.62</v>
      </c>
      <c r="F58" s="532">
        <v>167430.60777713003</v>
      </c>
      <c r="G58" s="532">
        <v>3062254.0122228703</v>
      </c>
      <c r="H58" s="530"/>
    </row>
    <row r="59" spans="1:8" x14ac:dyDescent="0.3">
      <c r="A59" s="527"/>
      <c r="B59" s="527"/>
      <c r="C59" s="527" t="s">
        <v>196</v>
      </c>
      <c r="D59" s="527" t="s">
        <v>184</v>
      </c>
      <c r="E59" s="532">
        <v>1499233.73</v>
      </c>
      <c r="F59" s="532">
        <v>136348.00809895742</v>
      </c>
      <c r="G59" s="532">
        <v>1362885.7219010426</v>
      </c>
      <c r="H59" s="530"/>
    </row>
    <row r="60" spans="1:8" x14ac:dyDescent="0.3">
      <c r="A60" s="527"/>
      <c r="B60" s="527"/>
      <c r="C60" s="527" t="s">
        <v>197</v>
      </c>
      <c r="D60" s="527" t="s">
        <v>186</v>
      </c>
      <c r="E60" s="532">
        <v>201537.63999999996</v>
      </c>
      <c r="F60" s="532">
        <v>14444.307356999998</v>
      </c>
      <c r="G60" s="532">
        <v>187093.33264299994</v>
      </c>
      <c r="H60" s="530"/>
    </row>
    <row r="61" spans="1:8" x14ac:dyDescent="0.3">
      <c r="A61" s="527"/>
      <c r="B61" s="527"/>
      <c r="C61" s="527" t="s">
        <v>198</v>
      </c>
      <c r="D61" s="527" t="s">
        <v>34</v>
      </c>
      <c r="E61" s="532">
        <v>689871.3</v>
      </c>
      <c r="F61" s="532">
        <v>51255.474151049995</v>
      </c>
      <c r="G61" s="532">
        <v>638615.82584895007</v>
      </c>
      <c r="H61" s="530"/>
    </row>
    <row r="62" spans="1:8" x14ac:dyDescent="0.3">
      <c r="A62" s="527"/>
      <c r="B62" s="527"/>
      <c r="C62" s="527" t="s">
        <v>199</v>
      </c>
      <c r="D62" s="527" t="s">
        <v>200</v>
      </c>
      <c r="E62" s="532">
        <v>2834504.5</v>
      </c>
      <c r="F62" s="532">
        <v>282483.51459533011</v>
      </c>
      <c r="G62" s="532">
        <v>2552020.9854046698</v>
      </c>
      <c r="H62" s="530"/>
    </row>
    <row r="63" spans="1:8" x14ac:dyDescent="0.3">
      <c r="A63" s="527"/>
      <c r="B63" s="527"/>
      <c r="C63" s="527" t="s">
        <v>201</v>
      </c>
      <c r="D63" s="527" t="s">
        <v>12</v>
      </c>
      <c r="E63" s="535">
        <v>70468.14</v>
      </c>
      <c r="F63" s="535">
        <v>2285.6702649999993</v>
      </c>
      <c r="G63" s="535">
        <v>68182.469735000006</v>
      </c>
      <c r="H63" s="493"/>
    </row>
    <row r="64" spans="1:8" x14ac:dyDescent="0.3">
      <c r="A64" s="527"/>
      <c r="B64" s="527"/>
      <c r="C64" s="527"/>
      <c r="D64" s="527" t="s">
        <v>202</v>
      </c>
      <c r="E64" s="532">
        <v>52022394.769999988</v>
      </c>
      <c r="F64" s="532">
        <v>4986650.8913402492</v>
      </c>
      <c r="G64" s="532">
        <v>47035743.878659755</v>
      </c>
      <c r="H64" s="530"/>
    </row>
    <row r="65" spans="1:8" x14ac:dyDescent="0.3">
      <c r="A65" s="527"/>
      <c r="B65" s="527"/>
      <c r="C65" s="527"/>
      <c r="D65" s="527"/>
      <c r="E65" s="532"/>
      <c r="F65" s="532"/>
      <c r="G65" s="532"/>
      <c r="H65" s="530"/>
    </row>
    <row r="66" spans="1:8" x14ac:dyDescent="0.3">
      <c r="A66" s="527" t="s">
        <v>93</v>
      </c>
      <c r="B66" s="527"/>
      <c r="C66" s="527"/>
      <c r="D66" s="527"/>
      <c r="E66" s="532"/>
      <c r="F66" s="532"/>
      <c r="G66" s="532"/>
      <c r="H66" s="530"/>
    </row>
    <row r="67" spans="1:8" x14ac:dyDescent="0.3">
      <c r="A67" s="527"/>
      <c r="B67" s="527"/>
      <c r="C67" s="527" t="s">
        <v>151</v>
      </c>
      <c r="D67" s="527"/>
      <c r="E67" s="532"/>
      <c r="F67" s="532"/>
      <c r="G67" s="532"/>
      <c r="H67" s="530"/>
    </row>
    <row r="68" spans="1:8" x14ac:dyDescent="0.3">
      <c r="A68" s="527"/>
      <c r="B68" s="527"/>
      <c r="C68" s="527" t="s">
        <v>203</v>
      </c>
      <c r="D68" s="527" t="s">
        <v>94</v>
      </c>
      <c r="E68" s="532">
        <v>1718145.9500000002</v>
      </c>
      <c r="F68" s="532">
        <v>191745.08802000008</v>
      </c>
      <c r="G68" s="532">
        <v>1526400.86198</v>
      </c>
      <c r="H68" s="530"/>
    </row>
    <row r="69" spans="1:8" x14ac:dyDescent="0.3">
      <c r="A69" s="527"/>
      <c r="B69" s="527"/>
      <c r="C69" s="527" t="s">
        <v>204</v>
      </c>
      <c r="D69" s="527" t="s">
        <v>95</v>
      </c>
      <c r="E69" s="532">
        <v>890733.68</v>
      </c>
      <c r="F69" s="532">
        <v>99320.238044460028</v>
      </c>
      <c r="G69" s="532">
        <v>791413.44195553998</v>
      </c>
      <c r="H69" s="530"/>
    </row>
    <row r="70" spans="1:8" x14ac:dyDescent="0.3">
      <c r="A70" s="527"/>
      <c r="B70" s="527"/>
      <c r="C70" s="527" t="s">
        <v>205</v>
      </c>
      <c r="D70" s="527" t="s">
        <v>206</v>
      </c>
      <c r="E70" s="532">
        <v>18222749.409999996</v>
      </c>
      <c r="F70" s="532">
        <v>2023143.7413922404</v>
      </c>
      <c r="G70" s="532">
        <v>16199605.668607756</v>
      </c>
      <c r="H70" s="530"/>
    </row>
    <row r="71" spans="1:8" x14ac:dyDescent="0.3">
      <c r="A71" s="527"/>
      <c r="B71" s="527"/>
      <c r="C71" s="527" t="s">
        <v>207</v>
      </c>
      <c r="D71" s="527" t="s">
        <v>97</v>
      </c>
      <c r="E71" s="535">
        <v>525403.72000000009</v>
      </c>
      <c r="F71" s="535">
        <v>58165.898717000018</v>
      </c>
      <c r="G71" s="535">
        <v>467237.82128300006</v>
      </c>
      <c r="H71" s="493"/>
    </row>
    <row r="72" spans="1:8" x14ac:dyDescent="0.3">
      <c r="A72" s="527"/>
      <c r="B72" s="527"/>
      <c r="C72" s="527"/>
      <c r="D72" s="527" t="s">
        <v>208</v>
      </c>
      <c r="E72" s="532">
        <v>21357032.759999994</v>
      </c>
      <c r="F72" s="532">
        <v>2372374.9661737005</v>
      </c>
      <c r="G72" s="532">
        <v>18984657.793826297</v>
      </c>
      <c r="H72" s="530"/>
    </row>
    <row r="73" spans="1:8" x14ac:dyDescent="0.3">
      <c r="A73" s="527"/>
      <c r="B73" s="527"/>
      <c r="C73" s="527"/>
      <c r="D73" s="527"/>
      <c r="E73" s="532"/>
      <c r="F73" s="532"/>
      <c r="G73" s="532"/>
      <c r="H73" s="530"/>
    </row>
    <row r="74" spans="1:8" x14ac:dyDescent="0.3">
      <c r="A74" s="527" t="s">
        <v>209</v>
      </c>
      <c r="B74" s="527"/>
      <c r="C74" s="527"/>
      <c r="D74" s="527"/>
      <c r="E74" s="532"/>
      <c r="F74" s="532"/>
      <c r="G74" s="532"/>
      <c r="H74" s="530"/>
    </row>
    <row r="75" spans="1:8" x14ac:dyDescent="0.3">
      <c r="A75" s="527"/>
      <c r="B75" s="527"/>
      <c r="C75" s="527" t="s">
        <v>151</v>
      </c>
      <c r="D75" s="527"/>
      <c r="E75" s="532"/>
      <c r="F75" s="532"/>
      <c r="G75" s="532"/>
      <c r="H75" s="530"/>
    </row>
    <row r="76" spans="1:8" x14ac:dyDescent="0.3">
      <c r="A76" s="527"/>
      <c r="B76" s="527"/>
      <c r="C76" s="527" t="s">
        <v>210</v>
      </c>
      <c r="D76" s="527" t="s">
        <v>94</v>
      </c>
      <c r="E76" s="532">
        <v>2697.02</v>
      </c>
      <c r="F76" s="532">
        <v>303.95415400000007</v>
      </c>
      <c r="G76" s="532">
        <v>2393.065846</v>
      </c>
      <c r="H76" s="530"/>
    </row>
    <row r="77" spans="1:8" x14ac:dyDescent="0.3">
      <c r="A77" s="527"/>
      <c r="B77" s="527"/>
      <c r="C77" s="527" t="s">
        <v>211</v>
      </c>
      <c r="D77" s="527" t="s">
        <v>212</v>
      </c>
      <c r="E77" s="532">
        <v>2330245.9300000002</v>
      </c>
      <c r="F77" s="532">
        <v>278562.35634000006</v>
      </c>
      <c r="G77" s="532">
        <v>2051683.5736600002</v>
      </c>
      <c r="H77" s="530"/>
    </row>
    <row r="78" spans="1:8" x14ac:dyDescent="0.3">
      <c r="A78" s="527"/>
      <c r="B78" s="527"/>
      <c r="C78" s="534">
        <v>909</v>
      </c>
      <c r="D78" s="527" t="s">
        <v>213</v>
      </c>
      <c r="E78" s="532">
        <v>3040742.6</v>
      </c>
      <c r="F78" s="532">
        <v>339346.87416000012</v>
      </c>
      <c r="G78" s="532">
        <v>2701395.72584</v>
      </c>
      <c r="H78" s="530"/>
    </row>
    <row r="79" spans="1:8" x14ac:dyDescent="0.3">
      <c r="A79" s="527"/>
      <c r="B79" s="527"/>
      <c r="C79" s="527" t="s">
        <v>214</v>
      </c>
      <c r="D79" s="527" t="s">
        <v>215</v>
      </c>
      <c r="E79" s="535">
        <v>247275.72</v>
      </c>
      <c r="F79" s="535">
        <v>27866.793651000007</v>
      </c>
      <c r="G79" s="535">
        <v>219408.92634899999</v>
      </c>
      <c r="H79" s="493"/>
    </row>
    <row r="80" spans="1:8" x14ac:dyDescent="0.3">
      <c r="A80" s="527"/>
      <c r="B80" s="527"/>
      <c r="C80" s="527"/>
      <c r="D80" s="527" t="s">
        <v>216</v>
      </c>
      <c r="E80" s="532">
        <v>5620961.2700000005</v>
      </c>
      <c r="F80" s="532">
        <v>646079.97830500023</v>
      </c>
      <c r="G80" s="532">
        <v>4974881.2916950006</v>
      </c>
      <c r="H80" s="530"/>
    </row>
    <row r="81" spans="1:8" x14ac:dyDescent="0.3">
      <c r="A81" s="527"/>
      <c r="B81" s="527"/>
      <c r="C81" s="527"/>
      <c r="D81" s="527"/>
      <c r="E81" s="532"/>
      <c r="F81" s="532"/>
      <c r="G81" s="532"/>
      <c r="H81" s="530"/>
    </row>
    <row r="82" spans="1:8" x14ac:dyDescent="0.3">
      <c r="A82" s="527" t="s">
        <v>104</v>
      </c>
      <c r="B82" s="527"/>
      <c r="C82" s="527"/>
      <c r="D82" s="527"/>
      <c r="E82" s="532"/>
      <c r="F82" s="532"/>
      <c r="G82" s="532"/>
      <c r="H82" s="530"/>
    </row>
    <row r="83" spans="1:8" x14ac:dyDescent="0.3">
      <c r="A83" s="527"/>
      <c r="B83" s="527"/>
      <c r="C83" s="527" t="s">
        <v>151</v>
      </c>
      <c r="D83" s="527"/>
      <c r="E83" s="532"/>
      <c r="F83" s="532"/>
      <c r="G83" s="532"/>
      <c r="H83" s="530"/>
    </row>
    <row r="84" spans="1:8" x14ac:dyDescent="0.3">
      <c r="A84" s="527"/>
      <c r="B84" s="527"/>
      <c r="C84" s="527" t="s">
        <v>217</v>
      </c>
      <c r="D84" s="527" t="s">
        <v>94</v>
      </c>
      <c r="E84" s="532">
        <v>162705.07999999999</v>
      </c>
      <c r="F84" s="532">
        <v>18157.886928000004</v>
      </c>
      <c r="G84" s="532">
        <v>144547.19307199999</v>
      </c>
      <c r="H84" s="530"/>
    </row>
    <row r="85" spans="1:8" x14ac:dyDescent="0.3">
      <c r="A85" s="527"/>
      <c r="B85" s="527"/>
      <c r="C85" s="527" t="s">
        <v>218</v>
      </c>
      <c r="D85" s="527" t="s">
        <v>219</v>
      </c>
      <c r="E85" s="532">
        <v>3675850.33</v>
      </c>
      <c r="F85" s="532">
        <v>407173.96651060018</v>
      </c>
      <c r="G85" s="532">
        <v>3268676.3634893997</v>
      </c>
      <c r="H85" s="530"/>
    </row>
    <row r="86" spans="1:8" x14ac:dyDescent="0.3">
      <c r="A86" s="527"/>
      <c r="B86" s="527"/>
      <c r="C86" s="527" t="s">
        <v>220</v>
      </c>
      <c r="D86" s="527" t="s">
        <v>221</v>
      </c>
      <c r="E86" s="532">
        <v>452073.36000000004</v>
      </c>
      <c r="F86" s="532">
        <v>50451.423276000016</v>
      </c>
      <c r="G86" s="532">
        <v>401621.93672400003</v>
      </c>
      <c r="H86" s="530"/>
    </row>
    <row r="87" spans="1:8" x14ac:dyDescent="0.3">
      <c r="A87" s="527"/>
      <c r="B87" s="527"/>
      <c r="C87" s="527" t="s">
        <v>222</v>
      </c>
      <c r="D87" s="527" t="s">
        <v>223</v>
      </c>
      <c r="E87" s="535">
        <v>0</v>
      </c>
      <c r="F87" s="535">
        <v>0</v>
      </c>
      <c r="G87" s="535">
        <v>0</v>
      </c>
      <c r="H87" s="493"/>
    </row>
    <row r="88" spans="1:8" x14ac:dyDescent="0.3">
      <c r="A88" s="527"/>
      <c r="B88" s="527"/>
      <c r="C88" s="527"/>
      <c r="D88" s="527" t="s">
        <v>224</v>
      </c>
      <c r="E88" s="532">
        <v>4290628.7700000005</v>
      </c>
      <c r="F88" s="532">
        <v>475783.27671460022</v>
      </c>
      <c r="G88" s="532">
        <v>3814845.4932853999</v>
      </c>
      <c r="H88" s="530"/>
    </row>
    <row r="89" spans="1:8" x14ac:dyDescent="0.3">
      <c r="A89" s="527"/>
      <c r="B89" s="527"/>
      <c r="C89" s="527"/>
      <c r="D89" s="527"/>
      <c r="E89" s="532"/>
      <c r="F89" s="532"/>
      <c r="G89" s="532"/>
      <c r="H89" s="530"/>
    </row>
    <row r="90" spans="1:8" x14ac:dyDescent="0.3">
      <c r="A90" s="527" t="s">
        <v>140</v>
      </c>
      <c r="B90" s="527"/>
      <c r="C90" s="527"/>
      <c r="D90" s="527"/>
      <c r="E90" s="532"/>
      <c r="F90" s="532"/>
      <c r="G90" s="532"/>
      <c r="H90" s="530"/>
    </row>
    <row r="91" spans="1:8" x14ac:dyDescent="0.3">
      <c r="A91" s="527"/>
      <c r="B91" s="527"/>
      <c r="C91" s="527" t="s">
        <v>151</v>
      </c>
      <c r="D91" s="527"/>
      <c r="E91" s="532"/>
      <c r="F91" s="532"/>
      <c r="G91" s="532"/>
      <c r="H91" s="530"/>
    </row>
    <row r="92" spans="1:8" x14ac:dyDescent="0.3">
      <c r="A92" s="527"/>
      <c r="B92" s="527"/>
      <c r="C92" s="527" t="s">
        <v>225</v>
      </c>
      <c r="D92" s="527" t="s">
        <v>226</v>
      </c>
      <c r="E92" s="532">
        <v>62735082.86999999</v>
      </c>
      <c r="F92" s="532">
        <v>7368438.3797128005</v>
      </c>
      <c r="G92" s="532">
        <v>55366644.490287192</v>
      </c>
      <c r="H92" s="530"/>
    </row>
    <row r="93" spans="1:8" x14ac:dyDescent="0.3">
      <c r="A93" s="527"/>
      <c r="B93" s="527"/>
      <c r="C93" s="527" t="s">
        <v>227</v>
      </c>
      <c r="D93" s="527" t="s">
        <v>228</v>
      </c>
      <c r="E93" s="532">
        <v>-20271975.779999997</v>
      </c>
      <c r="F93" s="532">
        <v>-2526442.0295369998</v>
      </c>
      <c r="G93" s="532">
        <v>-17745533.750462998</v>
      </c>
      <c r="H93" s="530"/>
    </row>
    <row r="94" spans="1:8" x14ac:dyDescent="0.3">
      <c r="A94" s="527"/>
      <c r="B94" s="527"/>
      <c r="C94" s="527" t="s">
        <v>229</v>
      </c>
      <c r="D94" s="527" t="s">
        <v>230</v>
      </c>
      <c r="E94" s="532">
        <v>3182476.4</v>
      </c>
      <c r="F94" s="532">
        <v>356755.60443999991</v>
      </c>
      <c r="G94" s="532">
        <v>2825720.79556</v>
      </c>
      <c r="H94" s="530"/>
    </row>
    <row r="95" spans="1:8" x14ac:dyDescent="0.3">
      <c r="A95" s="527"/>
      <c r="B95" s="527"/>
      <c r="C95" s="527" t="s">
        <v>231</v>
      </c>
      <c r="D95" s="527" t="s">
        <v>115</v>
      </c>
      <c r="E95" s="532">
        <v>267744.71999999997</v>
      </c>
      <c r="F95" s="532">
        <v>30014.123111999994</v>
      </c>
      <c r="G95" s="532">
        <v>237730.59688799997</v>
      </c>
      <c r="H95" s="530"/>
    </row>
    <row r="96" spans="1:8" x14ac:dyDescent="0.3">
      <c r="A96" s="527"/>
      <c r="B96" s="527"/>
      <c r="C96" s="527" t="s">
        <v>232</v>
      </c>
      <c r="D96" s="527" t="s">
        <v>116</v>
      </c>
      <c r="E96" s="532">
        <v>4898086.389999995</v>
      </c>
      <c r="F96" s="532">
        <v>1826245.6182438</v>
      </c>
      <c r="G96" s="532">
        <v>3071840.771756195</v>
      </c>
      <c r="H96" s="530"/>
    </row>
    <row r="97" spans="1:8" x14ac:dyDescent="0.3">
      <c r="A97" s="527"/>
      <c r="B97" s="527"/>
      <c r="C97" s="527" t="s">
        <v>233</v>
      </c>
      <c r="D97" s="527" t="s">
        <v>234</v>
      </c>
      <c r="E97" s="532">
        <v>0</v>
      </c>
      <c r="F97" s="532">
        <v>0</v>
      </c>
      <c r="G97" s="532">
        <v>0</v>
      </c>
      <c r="H97" s="530"/>
    </row>
    <row r="98" spans="1:8" x14ac:dyDescent="0.3">
      <c r="A98" s="527"/>
      <c r="B98" s="527"/>
      <c r="C98" s="527" t="s">
        <v>235</v>
      </c>
      <c r="D98" s="527" t="s">
        <v>236</v>
      </c>
      <c r="E98" s="532">
        <v>3226982.92</v>
      </c>
      <c r="F98" s="532">
        <v>361744.78533199994</v>
      </c>
      <c r="G98" s="532">
        <v>2865238.134668</v>
      </c>
      <c r="H98" s="493"/>
    </row>
    <row r="99" spans="1:8" x14ac:dyDescent="0.3">
      <c r="A99" s="527"/>
      <c r="B99" s="527"/>
      <c r="C99" s="527" t="s">
        <v>237</v>
      </c>
      <c r="D99" s="527" t="s">
        <v>58</v>
      </c>
      <c r="E99" s="532">
        <v>4775371.9099999992</v>
      </c>
      <c r="F99" s="532">
        <v>529184.17018899985</v>
      </c>
      <c r="G99" s="532">
        <v>4246187.7398109995</v>
      </c>
      <c r="H99" s="530"/>
    </row>
    <row r="100" spans="1:8" x14ac:dyDescent="0.3">
      <c r="A100" s="527"/>
      <c r="B100" s="527"/>
      <c r="C100" s="527"/>
      <c r="D100" s="527"/>
      <c r="E100" s="532"/>
      <c r="F100" s="532"/>
      <c r="G100" s="532"/>
      <c r="H100" s="530"/>
    </row>
    <row r="101" spans="1:8" x14ac:dyDescent="0.3">
      <c r="A101" s="527"/>
      <c r="B101" s="527"/>
      <c r="C101" s="527" t="s">
        <v>159</v>
      </c>
      <c r="D101" s="527"/>
      <c r="E101" s="532"/>
      <c r="F101" s="532"/>
      <c r="G101" s="532"/>
      <c r="H101" s="530"/>
    </row>
    <row r="102" spans="1:8" x14ac:dyDescent="0.3">
      <c r="A102" s="527"/>
      <c r="B102" s="527"/>
      <c r="C102" s="527" t="s">
        <v>238</v>
      </c>
      <c r="D102" s="527" t="s">
        <v>118</v>
      </c>
      <c r="E102" s="532">
        <v>3990022.01</v>
      </c>
      <c r="F102" s="532">
        <v>433138.43705399992</v>
      </c>
      <c r="G102" s="532">
        <v>3556883.5729459999</v>
      </c>
      <c r="H102" s="530"/>
    </row>
    <row r="103" spans="1:8" x14ac:dyDescent="0.3">
      <c r="A103" s="527"/>
      <c r="B103" s="527"/>
      <c r="C103" s="527"/>
      <c r="D103" s="527"/>
      <c r="E103" s="535"/>
      <c r="F103" s="535"/>
      <c r="G103" s="535"/>
      <c r="H103" s="530"/>
    </row>
    <row r="104" spans="1:8" x14ac:dyDescent="0.3">
      <c r="A104" s="527"/>
      <c r="B104" s="527"/>
      <c r="C104" s="527"/>
      <c r="D104" s="527" t="s">
        <v>239</v>
      </c>
      <c r="E104" s="532">
        <v>62803791.439999975</v>
      </c>
      <c r="F104" s="532">
        <v>8379079.0885466002</v>
      </c>
      <c r="G104" s="532">
        <v>54424712.351453379</v>
      </c>
      <c r="H104" s="530"/>
    </row>
    <row r="105" spans="1:8" x14ac:dyDescent="0.3">
      <c r="A105" s="527"/>
      <c r="B105" s="527"/>
      <c r="C105" s="527"/>
      <c r="D105" s="527"/>
      <c r="E105" s="535"/>
      <c r="F105" s="535"/>
      <c r="G105" s="535"/>
      <c r="H105" s="530"/>
    </row>
    <row r="106" spans="1:8" ht="15" thickBot="1" x14ac:dyDescent="0.35">
      <c r="A106" s="527"/>
      <c r="B106" s="527"/>
      <c r="C106" s="527"/>
      <c r="D106" s="527" t="s">
        <v>240</v>
      </c>
      <c r="E106" s="536">
        <v>154823906.44999996</v>
      </c>
      <c r="F106" s="536">
        <v>17697470.555463873</v>
      </c>
      <c r="G106" s="536">
        <v>137126435.89453611</v>
      </c>
      <c r="H106" s="493"/>
    </row>
    <row r="107" spans="1:8" ht="15" thickTop="1" x14ac:dyDescent="0.3">
      <c r="A107" s="527"/>
      <c r="B107" s="527"/>
      <c r="C107" s="527"/>
      <c r="D107" s="527"/>
      <c r="E107" s="533"/>
      <c r="F107" s="533"/>
      <c r="G107" s="533"/>
      <c r="H107" s="493"/>
    </row>
    <row r="108" spans="1:8" x14ac:dyDescent="0.3">
      <c r="A108" s="537"/>
      <c r="B108" s="537"/>
      <c r="C108" s="537"/>
      <c r="D108" s="537" t="s">
        <v>2416</v>
      </c>
      <c r="E108" s="530"/>
      <c r="F108" s="486">
        <f>+F106/E106</f>
        <v>0.1143070922395259</v>
      </c>
      <c r="G108" s="486">
        <f>+G106/E106</f>
        <v>0.88569290776047427</v>
      </c>
      <c r="H108" s="493"/>
    </row>
    <row r="109" spans="1:8" x14ac:dyDescent="0.3">
      <c r="A109" s="537"/>
      <c r="B109" s="537"/>
      <c r="C109" s="537"/>
      <c r="D109" s="537"/>
      <c r="E109" s="530"/>
      <c r="F109" s="530"/>
      <c r="G109" s="530"/>
      <c r="H109" s="493"/>
    </row>
    <row r="110" spans="1:8" x14ac:dyDescent="0.3">
      <c r="A110" s="537" t="s">
        <v>2417</v>
      </c>
      <c r="B110" s="538" t="s">
        <v>2418</v>
      </c>
      <c r="C110" s="539"/>
      <c r="D110" s="539"/>
      <c r="E110" s="530"/>
      <c r="F110" s="530"/>
      <c r="G110" s="530"/>
      <c r="H110" s="493"/>
    </row>
    <row r="111" spans="1:8" x14ac:dyDescent="0.3">
      <c r="A111" s="537"/>
      <c r="B111" s="538" t="s">
        <v>241</v>
      </c>
      <c r="C111" s="539"/>
      <c r="D111" s="539"/>
      <c r="E111" s="530"/>
      <c r="F111" s="530"/>
      <c r="G111" s="530"/>
      <c r="H111" s="493"/>
    </row>
    <row r="112" spans="1:8" x14ac:dyDescent="0.3">
      <c r="A112" s="537"/>
      <c r="B112" s="537" t="s">
        <v>2419</v>
      </c>
      <c r="C112" s="537"/>
      <c r="D112" s="537"/>
      <c r="E112" s="530"/>
      <c r="F112" s="530"/>
      <c r="G112" s="530"/>
      <c r="H112" s="493"/>
    </row>
  </sheetData>
  <printOptions horizontalCentered="1"/>
  <pageMargins left="0.75" right="0.75" top="1" bottom="1" header="0.5" footer="0.5"/>
  <pageSetup scale="71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85" zoomScaleNormal="85" workbookViewId="0">
      <selection activeCell="G2" sqref="G2"/>
    </sheetView>
  </sheetViews>
  <sheetFormatPr defaultColWidth="9.109375" defaultRowHeight="14.4" x14ac:dyDescent="0.3"/>
  <cols>
    <col min="1" max="1" width="4.6640625" style="231" customWidth="1"/>
    <col min="2" max="2" width="41.6640625" style="231" customWidth="1"/>
    <col min="3" max="22" width="15.6640625" style="2" customWidth="1"/>
    <col min="23" max="16384" width="9.109375" style="2"/>
  </cols>
  <sheetData>
    <row r="1" spans="1:25" s="231" customFormat="1" x14ac:dyDescent="0.3">
      <c r="A1" s="487" t="s">
        <v>142</v>
      </c>
      <c r="B1" s="487"/>
      <c r="C1" s="491"/>
      <c r="D1" s="491"/>
      <c r="E1" s="491"/>
      <c r="F1" s="491"/>
      <c r="G1" s="487"/>
      <c r="H1" s="487"/>
      <c r="I1" s="487"/>
      <c r="J1" s="487"/>
      <c r="K1" s="487"/>
      <c r="L1" s="487"/>
      <c r="M1" s="487"/>
      <c r="N1" s="491"/>
      <c r="O1" s="487"/>
      <c r="P1" s="487"/>
      <c r="Q1" s="487"/>
      <c r="R1" s="487"/>
      <c r="S1" s="491"/>
      <c r="T1" s="491"/>
      <c r="U1" s="491"/>
      <c r="V1" s="487" t="s">
        <v>2174</v>
      </c>
      <c r="W1" s="487"/>
      <c r="X1" s="487"/>
      <c r="Y1" s="231" t="s">
        <v>2420</v>
      </c>
    </row>
    <row r="2" spans="1:25" s="231" customFormat="1" x14ac:dyDescent="0.3">
      <c r="A2" s="487" t="s">
        <v>2429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8" t="s">
        <v>1904</v>
      </c>
    </row>
    <row r="3" spans="1:25" s="231" customFormat="1" x14ac:dyDescent="0.3">
      <c r="A3" s="489" t="s">
        <v>2306</v>
      </c>
      <c r="B3" s="487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87"/>
      <c r="X3" s="487"/>
      <c r="Y3" s="8" t="s">
        <v>2430</v>
      </c>
    </row>
    <row r="4" spans="1:25" s="231" customFormat="1" x14ac:dyDescent="0.3">
      <c r="A4" s="487"/>
      <c r="B4" s="487"/>
      <c r="C4" s="487"/>
      <c r="D4" s="487"/>
      <c r="E4" s="487"/>
      <c r="F4" s="491"/>
      <c r="G4" s="487"/>
      <c r="H4" s="487"/>
      <c r="I4" s="487"/>
      <c r="J4" s="487"/>
      <c r="K4" s="491"/>
      <c r="L4" s="487"/>
      <c r="M4" s="491" t="s">
        <v>432</v>
      </c>
      <c r="N4" s="487"/>
      <c r="O4" s="487"/>
      <c r="P4" s="491"/>
      <c r="Q4" s="491"/>
      <c r="R4" s="491"/>
      <c r="S4" s="491"/>
      <c r="T4" s="491"/>
      <c r="U4" s="491" t="s">
        <v>432</v>
      </c>
      <c r="V4" s="487"/>
      <c r="W4" s="487"/>
      <c r="X4" s="487"/>
      <c r="Y4" s="8" t="s">
        <v>1959</v>
      </c>
    </row>
    <row r="5" spans="1:25" s="231" customFormat="1" ht="15" thickBot="1" x14ac:dyDescent="0.35">
      <c r="A5" s="487"/>
      <c r="B5" s="487"/>
      <c r="C5" s="620" t="s">
        <v>2157</v>
      </c>
      <c r="D5" s="620" t="s">
        <v>2157</v>
      </c>
      <c r="E5" s="620" t="s">
        <v>2157</v>
      </c>
      <c r="F5" s="620" t="s">
        <v>2157</v>
      </c>
      <c r="G5" s="620" t="s">
        <v>2157</v>
      </c>
      <c r="H5" s="620" t="s">
        <v>2157</v>
      </c>
      <c r="I5" s="620" t="s">
        <v>2157</v>
      </c>
      <c r="J5" s="620" t="s">
        <v>2157</v>
      </c>
      <c r="K5" s="620" t="s">
        <v>2157</v>
      </c>
      <c r="L5" s="620" t="s">
        <v>2157</v>
      </c>
      <c r="M5" s="620" t="s">
        <v>2157</v>
      </c>
      <c r="N5" s="620" t="s">
        <v>2153</v>
      </c>
      <c r="O5" s="620" t="s">
        <v>2153</v>
      </c>
      <c r="P5" s="620" t="s">
        <v>2153</v>
      </c>
      <c r="Q5" s="620" t="s">
        <v>2153</v>
      </c>
      <c r="R5" s="620" t="s">
        <v>2153</v>
      </c>
      <c r="S5" s="620" t="s">
        <v>2153</v>
      </c>
      <c r="T5" s="620" t="s">
        <v>2153</v>
      </c>
      <c r="U5" s="620" t="s">
        <v>2153</v>
      </c>
      <c r="V5" s="487"/>
      <c r="W5" s="487"/>
      <c r="X5" s="487"/>
      <c r="Y5" s="8" t="s">
        <v>2428</v>
      </c>
    </row>
    <row r="6" spans="1:25" s="231" customFormat="1" x14ac:dyDescent="0.3">
      <c r="A6" s="487"/>
      <c r="B6" s="487"/>
      <c r="C6" s="491" t="s">
        <v>2173</v>
      </c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87"/>
      <c r="X6" s="487"/>
      <c r="Y6" s="485"/>
    </row>
    <row r="7" spans="1:25" s="231" customFormat="1" x14ac:dyDescent="0.3">
      <c r="A7" s="487"/>
      <c r="B7" s="487"/>
      <c r="C7" s="491" t="s">
        <v>2172</v>
      </c>
      <c r="D7" s="491" t="s">
        <v>2171</v>
      </c>
      <c r="E7" s="491"/>
      <c r="F7" s="491" t="s">
        <v>243</v>
      </c>
      <c r="G7" s="491" t="s">
        <v>2170</v>
      </c>
      <c r="H7" s="491" t="s">
        <v>2169</v>
      </c>
      <c r="I7" s="491" t="s">
        <v>2168</v>
      </c>
      <c r="J7" s="491"/>
      <c r="K7" s="491"/>
      <c r="L7" s="491"/>
      <c r="M7" s="491" t="s">
        <v>432</v>
      </c>
      <c r="N7" s="491"/>
      <c r="O7" s="491" t="s">
        <v>245</v>
      </c>
      <c r="P7" s="491"/>
      <c r="Q7" s="491" t="s">
        <v>2167</v>
      </c>
      <c r="R7" s="491" t="s">
        <v>2166</v>
      </c>
      <c r="S7" s="491"/>
      <c r="T7" s="491"/>
      <c r="U7" s="491" t="s">
        <v>432</v>
      </c>
      <c r="V7" s="491"/>
      <c r="W7" s="487"/>
      <c r="X7" s="487"/>
      <c r="Y7" s="485"/>
    </row>
    <row r="8" spans="1:25" s="231" customFormat="1" x14ac:dyDescent="0.3">
      <c r="A8" s="491" t="s">
        <v>298</v>
      </c>
      <c r="B8" s="487"/>
      <c r="C8" s="491" t="s">
        <v>2165</v>
      </c>
      <c r="D8" s="491" t="s">
        <v>2164</v>
      </c>
      <c r="E8" s="491" t="s">
        <v>2163</v>
      </c>
      <c r="F8" s="491" t="s">
        <v>1436</v>
      </c>
      <c r="G8" s="491" t="s">
        <v>2162</v>
      </c>
      <c r="H8" s="491" t="s">
        <v>2155</v>
      </c>
      <c r="I8" s="491" t="s">
        <v>2161</v>
      </c>
      <c r="J8" s="491" t="s">
        <v>2160</v>
      </c>
      <c r="K8" s="491" t="s">
        <v>2159</v>
      </c>
      <c r="L8" s="491" t="s">
        <v>2158</v>
      </c>
      <c r="M8" s="491" t="s">
        <v>2157</v>
      </c>
      <c r="N8" s="491" t="s">
        <v>245</v>
      </c>
      <c r="O8" s="491" t="s">
        <v>2156</v>
      </c>
      <c r="P8" s="491" t="s">
        <v>1939</v>
      </c>
      <c r="Q8" s="491" t="s">
        <v>2155</v>
      </c>
      <c r="R8" s="491" t="s">
        <v>2154</v>
      </c>
      <c r="S8" s="491" t="s">
        <v>2308</v>
      </c>
      <c r="T8" s="491" t="s">
        <v>2307</v>
      </c>
      <c r="U8" s="491" t="s">
        <v>2153</v>
      </c>
      <c r="V8" s="491" t="s">
        <v>2152</v>
      </c>
      <c r="W8" s="487"/>
      <c r="X8" s="487"/>
    </row>
    <row r="9" spans="1:25" s="231" customFormat="1" x14ac:dyDescent="0.3">
      <c r="A9" s="619" t="s">
        <v>300</v>
      </c>
      <c r="B9" s="540"/>
      <c r="C9" s="619" t="s">
        <v>2151</v>
      </c>
      <c r="D9" s="619" t="s">
        <v>2150</v>
      </c>
      <c r="E9" s="619" t="s">
        <v>2150</v>
      </c>
      <c r="F9" s="619" t="s">
        <v>2150</v>
      </c>
      <c r="G9" s="619" t="s">
        <v>2150</v>
      </c>
      <c r="H9" s="619" t="s">
        <v>2150</v>
      </c>
      <c r="I9" s="619" t="s">
        <v>2150</v>
      </c>
      <c r="J9" s="619" t="s">
        <v>2150</v>
      </c>
      <c r="K9" s="619" t="s">
        <v>2150</v>
      </c>
      <c r="L9" s="619" t="s">
        <v>2150</v>
      </c>
      <c r="M9" s="619" t="s">
        <v>2088</v>
      </c>
      <c r="N9" s="619" t="s">
        <v>2150</v>
      </c>
      <c r="O9" s="619" t="s">
        <v>2150</v>
      </c>
      <c r="P9" s="619" t="s">
        <v>2150</v>
      </c>
      <c r="Q9" s="619" t="s">
        <v>2150</v>
      </c>
      <c r="R9" s="619" t="s">
        <v>2150</v>
      </c>
      <c r="S9" s="619" t="s">
        <v>2150</v>
      </c>
      <c r="T9" s="619" t="s">
        <v>2150</v>
      </c>
      <c r="U9" s="619" t="s">
        <v>2088</v>
      </c>
      <c r="V9" s="619" t="s">
        <v>2088</v>
      </c>
      <c r="W9" s="487"/>
      <c r="X9" s="487"/>
    </row>
    <row r="10" spans="1:25" s="231" customFormat="1" x14ac:dyDescent="0.3">
      <c r="A10" s="491"/>
      <c r="B10" s="487"/>
      <c r="C10" s="491" t="s">
        <v>593</v>
      </c>
      <c r="D10" s="491" t="s">
        <v>594</v>
      </c>
      <c r="E10" s="491" t="s">
        <v>595</v>
      </c>
      <c r="F10" s="491" t="s">
        <v>596</v>
      </c>
      <c r="G10" s="491" t="s">
        <v>597</v>
      </c>
      <c r="H10" s="491" t="s">
        <v>600</v>
      </c>
      <c r="I10" s="491" t="s">
        <v>2149</v>
      </c>
      <c r="J10" s="491" t="s">
        <v>2148</v>
      </c>
      <c r="K10" s="491" t="s">
        <v>2147</v>
      </c>
      <c r="L10" s="491" t="s">
        <v>2146</v>
      </c>
      <c r="M10" s="491" t="s">
        <v>2145</v>
      </c>
      <c r="N10" s="491" t="s">
        <v>2144</v>
      </c>
      <c r="O10" s="491" t="s">
        <v>2143</v>
      </c>
      <c r="P10" s="491" t="s">
        <v>2142</v>
      </c>
      <c r="Q10" s="491" t="s">
        <v>2141</v>
      </c>
      <c r="R10" s="491" t="s">
        <v>2140</v>
      </c>
      <c r="S10" s="491" t="s">
        <v>2139</v>
      </c>
      <c r="T10" s="491" t="s">
        <v>2138</v>
      </c>
      <c r="U10" s="491" t="s">
        <v>2137</v>
      </c>
      <c r="V10" s="491" t="s">
        <v>2136</v>
      </c>
      <c r="W10" s="487"/>
      <c r="X10" s="487"/>
    </row>
    <row r="11" spans="1:25" x14ac:dyDescent="0.3">
      <c r="A11" s="491"/>
      <c r="B11" s="487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87"/>
      <c r="X11" s="487"/>
    </row>
    <row r="12" spans="1:25" x14ac:dyDescent="0.3">
      <c r="A12" s="491"/>
      <c r="B12" s="487" t="s">
        <v>2092</v>
      </c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3"/>
      <c r="X12" s="493"/>
    </row>
    <row r="13" spans="1:25" x14ac:dyDescent="0.3">
      <c r="A13" s="491">
        <v>1</v>
      </c>
      <c r="B13" s="487" t="s">
        <v>2135</v>
      </c>
      <c r="C13" s="522">
        <v>-3593725.3960132077</v>
      </c>
      <c r="D13" s="522"/>
      <c r="E13" s="522"/>
      <c r="F13" s="522"/>
      <c r="G13" s="522"/>
      <c r="H13" s="522"/>
      <c r="I13" s="522"/>
      <c r="J13" s="522"/>
      <c r="K13" s="522"/>
      <c r="L13" s="522"/>
      <c r="M13" s="522">
        <f>SUM(C13:L13)</f>
        <v>-3593725.3960132077</v>
      </c>
      <c r="N13" s="522"/>
      <c r="O13" s="522"/>
      <c r="P13" s="522"/>
      <c r="Q13" s="522"/>
      <c r="R13" s="522"/>
      <c r="S13" s="522"/>
      <c r="T13" s="522"/>
      <c r="U13" s="522">
        <f>SUM(N13:T13)</f>
        <v>0</v>
      </c>
      <c r="V13" s="522">
        <f>+U13+M13</f>
        <v>-3593725.3960132077</v>
      </c>
      <c r="W13" s="493"/>
      <c r="X13" s="493"/>
    </row>
    <row r="14" spans="1:25" x14ac:dyDescent="0.3">
      <c r="A14" s="491">
        <v>2</v>
      </c>
      <c r="B14" s="489" t="s">
        <v>2134</v>
      </c>
      <c r="C14" s="522">
        <v>-9876.9533199756406</v>
      </c>
      <c r="D14" s="522"/>
      <c r="E14" s="522"/>
      <c r="F14" s="522"/>
      <c r="G14" s="522"/>
      <c r="H14" s="522"/>
      <c r="I14" s="522"/>
      <c r="J14" s="522"/>
      <c r="K14" s="522"/>
      <c r="L14" s="522"/>
      <c r="M14" s="522">
        <f>SUM(C14:L14)</f>
        <v>-9876.9533199756406</v>
      </c>
      <c r="N14" s="522"/>
      <c r="O14" s="522"/>
      <c r="P14" s="522"/>
      <c r="Q14" s="522"/>
      <c r="R14" s="522"/>
      <c r="S14" s="522"/>
      <c r="T14" s="522"/>
      <c r="U14" s="522">
        <f>SUM(N14:T14)</f>
        <v>0</v>
      </c>
      <c r="V14" s="522">
        <f>+U14+M14</f>
        <v>-9876.9533199756406</v>
      </c>
      <c r="W14" s="493"/>
      <c r="X14" s="493"/>
    </row>
    <row r="15" spans="1:25" x14ac:dyDescent="0.3">
      <c r="A15" s="491">
        <v>3</v>
      </c>
      <c r="B15" s="489" t="s">
        <v>2095</v>
      </c>
      <c r="C15" s="541"/>
      <c r="D15" s="541">
        <v>2287568.4330936661</v>
      </c>
      <c r="E15" s="541"/>
      <c r="F15" s="541"/>
      <c r="G15" s="541"/>
      <c r="H15" s="541"/>
      <c r="I15" s="541"/>
      <c r="J15" s="541"/>
      <c r="K15" s="541"/>
      <c r="L15" s="541"/>
      <c r="M15" s="541">
        <f>SUM(C15:L15)</f>
        <v>2287568.4330936661</v>
      </c>
      <c r="N15" s="541"/>
      <c r="O15" s="541"/>
      <c r="P15" s="541"/>
      <c r="Q15" s="541"/>
      <c r="R15" s="541"/>
      <c r="S15" s="541"/>
      <c r="T15" s="541"/>
      <c r="U15" s="541">
        <f>SUM(N15:T15)</f>
        <v>0</v>
      </c>
      <c r="V15" s="541">
        <f>+U15+M15</f>
        <v>2287568.4330936661</v>
      </c>
      <c r="W15" s="493"/>
      <c r="X15" s="493"/>
    </row>
    <row r="16" spans="1:25" x14ac:dyDescent="0.3">
      <c r="A16" s="491"/>
      <c r="B16" s="487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493"/>
      <c r="X16" s="493"/>
    </row>
    <row r="17" spans="1:24" x14ac:dyDescent="0.3">
      <c r="A17" s="491">
        <v>4</v>
      </c>
      <c r="B17" s="487" t="s">
        <v>2096</v>
      </c>
      <c r="C17" s="522">
        <f t="shared" ref="C17:V17" si="0">SUM(C13:C15)</f>
        <v>-3603602.3493331834</v>
      </c>
      <c r="D17" s="522">
        <f t="shared" si="0"/>
        <v>2287568.4330936661</v>
      </c>
      <c r="E17" s="522">
        <f t="shared" si="0"/>
        <v>0</v>
      </c>
      <c r="F17" s="522">
        <f t="shared" si="0"/>
        <v>0</v>
      </c>
      <c r="G17" s="522">
        <f t="shared" si="0"/>
        <v>0</v>
      </c>
      <c r="H17" s="522">
        <f t="shared" si="0"/>
        <v>0</v>
      </c>
      <c r="I17" s="522">
        <f t="shared" si="0"/>
        <v>0</v>
      </c>
      <c r="J17" s="522">
        <f t="shared" si="0"/>
        <v>0</v>
      </c>
      <c r="K17" s="522">
        <f t="shared" si="0"/>
        <v>0</v>
      </c>
      <c r="L17" s="522">
        <f t="shared" si="0"/>
        <v>0</v>
      </c>
      <c r="M17" s="522">
        <f t="shared" si="0"/>
        <v>-1316033.9162395173</v>
      </c>
      <c r="N17" s="522">
        <f t="shared" si="0"/>
        <v>0</v>
      </c>
      <c r="O17" s="522">
        <f t="shared" si="0"/>
        <v>0</v>
      </c>
      <c r="P17" s="522">
        <f t="shared" si="0"/>
        <v>0</v>
      </c>
      <c r="Q17" s="522">
        <f t="shared" si="0"/>
        <v>0</v>
      </c>
      <c r="R17" s="522">
        <f>SUM(R13:R15)</f>
        <v>0</v>
      </c>
      <c r="S17" s="522">
        <f t="shared" ref="S17:T17" si="1">SUM(S13:S15)</f>
        <v>0</v>
      </c>
      <c r="T17" s="522">
        <f t="shared" si="1"/>
        <v>0</v>
      </c>
      <c r="U17" s="522">
        <f t="shared" si="0"/>
        <v>0</v>
      </c>
      <c r="V17" s="522">
        <f t="shared" si="0"/>
        <v>-1316033.9162395173</v>
      </c>
      <c r="W17" s="493"/>
      <c r="X17" s="493"/>
    </row>
    <row r="18" spans="1:24" x14ac:dyDescent="0.3">
      <c r="A18" s="491"/>
      <c r="B18" s="496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493"/>
      <c r="X18" s="493"/>
    </row>
    <row r="19" spans="1:24" x14ac:dyDescent="0.3">
      <c r="A19" s="491"/>
      <c r="B19" s="487" t="s">
        <v>2097</v>
      </c>
      <c r="C19" s="522"/>
      <c r="D19" s="522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522"/>
      <c r="V19" s="522"/>
      <c r="W19" s="493"/>
      <c r="X19" s="493"/>
    </row>
    <row r="20" spans="1:24" x14ac:dyDescent="0.3">
      <c r="A20" s="491">
        <v>5</v>
      </c>
      <c r="B20" s="487" t="s">
        <v>2098</v>
      </c>
      <c r="C20" s="522">
        <v>-1327404.5505870208</v>
      </c>
      <c r="D20" s="522"/>
      <c r="E20" s="522"/>
      <c r="F20" s="522"/>
      <c r="G20" s="522"/>
      <c r="H20" s="522"/>
      <c r="I20" s="522"/>
      <c r="J20" s="522"/>
      <c r="K20" s="522"/>
      <c r="L20" s="522"/>
      <c r="M20" s="522">
        <f>SUM(C20:L20)</f>
        <v>-1327404.5505870208</v>
      </c>
      <c r="N20" s="522"/>
      <c r="O20" s="522"/>
      <c r="P20" s="522"/>
      <c r="Q20" s="522"/>
      <c r="R20" s="522"/>
      <c r="S20" s="522"/>
      <c r="T20" s="522"/>
      <c r="U20" s="522">
        <f>SUM(N20:T20)</f>
        <v>0</v>
      </c>
      <c r="V20" s="522">
        <f>+U20+M20</f>
        <v>-1327404.5505870208</v>
      </c>
      <c r="W20" s="493"/>
      <c r="X20" s="493"/>
    </row>
    <row r="21" spans="1:24" x14ac:dyDescent="0.3">
      <c r="A21" s="491">
        <v>6</v>
      </c>
      <c r="B21" s="487" t="s">
        <v>2133</v>
      </c>
      <c r="C21" s="522">
        <v>-3803.676173476445</v>
      </c>
      <c r="D21" s="522"/>
      <c r="E21" s="522"/>
      <c r="F21" s="522"/>
      <c r="G21" s="522">
        <v>21280.118138945065</v>
      </c>
      <c r="H21" s="522"/>
      <c r="I21" s="522"/>
      <c r="J21" s="522"/>
      <c r="K21" s="522"/>
      <c r="L21" s="522"/>
      <c r="M21" s="522">
        <f>SUM(C21:L21)</f>
        <v>17476.441965468621</v>
      </c>
      <c r="N21" s="522"/>
      <c r="O21" s="522"/>
      <c r="P21" s="522"/>
      <c r="Q21" s="522"/>
      <c r="R21" s="522"/>
      <c r="S21" s="522"/>
      <c r="T21" s="522"/>
      <c r="U21" s="522">
        <f>SUM(N21:T21)</f>
        <v>0</v>
      </c>
      <c r="V21" s="522">
        <f>+U21+M21</f>
        <v>17476.441965468621</v>
      </c>
      <c r="W21" s="493"/>
      <c r="X21" s="493"/>
    </row>
    <row r="22" spans="1:24" x14ac:dyDescent="0.3">
      <c r="A22" s="491">
        <v>7</v>
      </c>
      <c r="B22" s="487" t="s">
        <v>2132</v>
      </c>
      <c r="C22" s="541"/>
      <c r="D22" s="541"/>
      <c r="E22" s="541">
        <v>-160538.36394096908</v>
      </c>
      <c r="F22" s="541"/>
      <c r="G22" s="541"/>
      <c r="H22" s="541"/>
      <c r="I22" s="541">
        <v>-287523.47004028718</v>
      </c>
      <c r="J22" s="541">
        <v>35322.827704999996</v>
      </c>
      <c r="K22" s="541">
        <v>137833.33333333334</v>
      </c>
      <c r="L22" s="541">
        <v>16362.686401747262</v>
      </c>
      <c r="M22" s="541">
        <f>SUM(C22:L22)</f>
        <v>-258542.98654117566</v>
      </c>
      <c r="N22" s="541">
        <v>538699.06600924488</v>
      </c>
      <c r="O22" s="541">
        <v>157153.29191673436</v>
      </c>
      <c r="P22" s="541"/>
      <c r="Q22" s="541"/>
      <c r="R22" s="541"/>
      <c r="S22" s="541">
        <v>-37466.568138226001</v>
      </c>
      <c r="T22" s="541">
        <v>19159.54954708333</v>
      </c>
      <c r="U22" s="541">
        <f>SUM(N22:T22)</f>
        <v>677545.33933483646</v>
      </c>
      <c r="V22" s="541">
        <f>+U22+M22</f>
        <v>419002.35279366083</v>
      </c>
      <c r="W22" s="493"/>
      <c r="X22" s="493"/>
    </row>
    <row r="23" spans="1:24" x14ac:dyDescent="0.3">
      <c r="A23" s="491"/>
      <c r="B23" s="487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522"/>
      <c r="W23" s="493"/>
      <c r="X23" s="493"/>
    </row>
    <row r="24" spans="1:24" x14ac:dyDescent="0.3">
      <c r="A24" s="491">
        <v>8</v>
      </c>
      <c r="B24" s="489" t="s">
        <v>2101</v>
      </c>
      <c r="C24" s="522">
        <f t="shared" ref="C24:V24" si="2">C20+C21+C22</f>
        <v>-1331208.2267604973</v>
      </c>
      <c r="D24" s="522">
        <f t="shared" si="2"/>
        <v>0</v>
      </c>
      <c r="E24" s="522">
        <f t="shared" si="2"/>
        <v>-160538.36394096908</v>
      </c>
      <c r="F24" s="522">
        <f t="shared" si="2"/>
        <v>0</v>
      </c>
      <c r="G24" s="522">
        <f t="shared" si="2"/>
        <v>21280.118138945065</v>
      </c>
      <c r="H24" s="522">
        <f t="shared" si="2"/>
        <v>0</v>
      </c>
      <c r="I24" s="522">
        <f t="shared" si="2"/>
        <v>-287523.47004028718</v>
      </c>
      <c r="J24" s="522">
        <f t="shared" si="2"/>
        <v>35322.827704999996</v>
      </c>
      <c r="K24" s="522">
        <f t="shared" si="2"/>
        <v>137833.33333333334</v>
      </c>
      <c r="L24" s="522">
        <f t="shared" si="2"/>
        <v>16362.686401747262</v>
      </c>
      <c r="M24" s="522">
        <f t="shared" si="2"/>
        <v>-1568471.0951627279</v>
      </c>
      <c r="N24" s="522">
        <f t="shared" si="2"/>
        <v>538699.06600924488</v>
      </c>
      <c r="O24" s="522">
        <f t="shared" si="2"/>
        <v>157153.29191673436</v>
      </c>
      <c r="P24" s="522">
        <f t="shared" si="2"/>
        <v>0</v>
      </c>
      <c r="Q24" s="522">
        <f t="shared" si="2"/>
        <v>0</v>
      </c>
      <c r="R24" s="522">
        <f t="shared" si="2"/>
        <v>0</v>
      </c>
      <c r="S24" s="522">
        <f t="shared" si="2"/>
        <v>-37466.568138226001</v>
      </c>
      <c r="T24" s="522">
        <f t="shared" si="2"/>
        <v>19159.54954708333</v>
      </c>
      <c r="U24" s="522">
        <f t="shared" si="2"/>
        <v>677545.33933483646</v>
      </c>
      <c r="V24" s="522">
        <f t="shared" si="2"/>
        <v>-890925.75582789129</v>
      </c>
      <c r="W24" s="493"/>
      <c r="X24" s="493"/>
    </row>
    <row r="25" spans="1:24" x14ac:dyDescent="0.3">
      <c r="A25" s="491"/>
      <c r="B25" s="487"/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493"/>
      <c r="X25" s="493"/>
    </row>
    <row r="26" spans="1:24" x14ac:dyDescent="0.3">
      <c r="A26" s="491"/>
      <c r="B26" s="487"/>
      <c r="C26" s="522"/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2"/>
      <c r="Q26" s="522"/>
      <c r="R26" s="522"/>
      <c r="S26" s="522"/>
      <c r="T26" s="522"/>
      <c r="U26" s="522"/>
      <c r="V26" s="522"/>
      <c r="W26" s="493"/>
      <c r="X26" s="493"/>
    </row>
    <row r="27" spans="1:24" x14ac:dyDescent="0.3">
      <c r="A27" s="491">
        <v>9</v>
      </c>
      <c r="B27" s="487" t="s">
        <v>2102</v>
      </c>
      <c r="C27" s="522">
        <v>-446539</v>
      </c>
      <c r="D27" s="522">
        <v>460924</v>
      </c>
      <c r="E27" s="522">
        <v>34540</v>
      </c>
      <c r="F27" s="522">
        <v>-47910</v>
      </c>
      <c r="G27" s="522">
        <v>-4469</v>
      </c>
      <c r="H27" s="522">
        <v>-67568</v>
      </c>
      <c r="I27" s="522">
        <v>60380</v>
      </c>
      <c r="J27" s="522">
        <v>-7402</v>
      </c>
      <c r="K27" s="522">
        <v>-28945</v>
      </c>
      <c r="L27" s="522">
        <v>-4777</v>
      </c>
      <c r="M27" s="522">
        <f>SUM(C27:L27)</f>
        <v>-51766</v>
      </c>
      <c r="N27" s="522">
        <v>-113127</v>
      </c>
      <c r="O27" s="522">
        <v>-41656</v>
      </c>
      <c r="P27" s="522">
        <v>35583</v>
      </c>
      <c r="Q27" s="522">
        <v>-116861</v>
      </c>
      <c r="R27" s="522">
        <v>-2919</v>
      </c>
      <c r="S27" s="522">
        <v>7868</v>
      </c>
      <c r="T27" s="522">
        <v>-4024</v>
      </c>
      <c r="U27" s="522">
        <f>SUM(N27:T27)</f>
        <v>-235136</v>
      </c>
      <c r="V27" s="522">
        <f>+U27+M27</f>
        <v>-286902</v>
      </c>
      <c r="W27" s="493"/>
      <c r="X27" s="493"/>
    </row>
    <row r="28" spans="1:24" x14ac:dyDescent="0.3">
      <c r="A28" s="491">
        <v>10</v>
      </c>
      <c r="B28" s="487" t="s">
        <v>2103</v>
      </c>
      <c r="C28" s="522"/>
      <c r="D28" s="522"/>
      <c r="E28" s="522"/>
      <c r="F28" s="522">
        <v>228144.16664799984</v>
      </c>
      <c r="G28" s="522"/>
      <c r="H28" s="522"/>
      <c r="I28" s="522"/>
      <c r="J28" s="522"/>
      <c r="K28" s="522"/>
      <c r="L28" s="522"/>
      <c r="M28" s="522">
        <f>SUM(C28:L28)</f>
        <v>228144.16664799984</v>
      </c>
      <c r="N28" s="522"/>
      <c r="O28" s="522"/>
      <c r="P28" s="522"/>
      <c r="Q28" s="522"/>
      <c r="R28" s="522"/>
      <c r="S28" s="522"/>
      <c r="T28" s="522"/>
      <c r="U28" s="522">
        <f>SUM(N28:T28)</f>
        <v>0</v>
      </c>
      <c r="V28" s="522">
        <f>+U28+M28</f>
        <v>228144.16664799984</v>
      </c>
      <c r="W28" s="493"/>
      <c r="X28" s="493"/>
    </row>
    <row r="29" spans="1:24" x14ac:dyDescent="0.3">
      <c r="A29" s="491">
        <v>11</v>
      </c>
      <c r="B29" s="487" t="s">
        <v>2104</v>
      </c>
      <c r="C29" s="522">
        <v>-146017.96719498059</v>
      </c>
      <c r="D29" s="522">
        <v>92692.272908955347</v>
      </c>
      <c r="E29" s="522"/>
      <c r="F29" s="522"/>
      <c r="G29" s="522"/>
      <c r="H29" s="522"/>
      <c r="I29" s="522"/>
      <c r="J29" s="522"/>
      <c r="K29" s="522"/>
      <c r="L29" s="522"/>
      <c r="M29" s="522">
        <f>SUM(C29:L29)</f>
        <v>-53325.694286025246</v>
      </c>
      <c r="N29" s="522"/>
      <c r="O29" s="522">
        <v>41210.47854970723</v>
      </c>
      <c r="P29" s="522"/>
      <c r="Q29" s="522"/>
      <c r="R29" s="522"/>
      <c r="S29" s="522"/>
      <c r="T29" s="522"/>
      <c r="U29" s="522">
        <f>SUM(N29:T29)</f>
        <v>41210.47854970723</v>
      </c>
      <c r="V29" s="522">
        <f>+U29+M29</f>
        <v>-12115.215736318016</v>
      </c>
      <c r="W29" s="493"/>
      <c r="X29" s="493"/>
    </row>
    <row r="30" spans="1:24" x14ac:dyDescent="0.3">
      <c r="A30" s="491">
        <v>12</v>
      </c>
      <c r="B30" s="487" t="s">
        <v>2105</v>
      </c>
      <c r="C30" s="541"/>
      <c r="D30" s="541"/>
      <c r="E30" s="541"/>
      <c r="F30" s="541"/>
      <c r="G30" s="541"/>
      <c r="H30" s="541"/>
      <c r="I30" s="541"/>
      <c r="J30" s="541"/>
      <c r="K30" s="541"/>
      <c r="L30" s="541"/>
      <c r="M30" s="541">
        <f>SUM(C30:L30)</f>
        <v>0</v>
      </c>
      <c r="N30" s="541"/>
      <c r="O30" s="541"/>
      <c r="P30" s="541">
        <v>-169443.90401688404</v>
      </c>
      <c r="Q30" s="541">
        <v>298683.79668370174</v>
      </c>
      <c r="R30" s="541">
        <v>0</v>
      </c>
      <c r="S30" s="541"/>
      <c r="T30" s="541"/>
      <c r="U30" s="541">
        <f>SUM(N30:T30)</f>
        <v>129239.8926668177</v>
      </c>
      <c r="V30" s="541">
        <f>+U30+M30</f>
        <v>129239.8926668177</v>
      </c>
      <c r="W30" s="493"/>
      <c r="X30" s="493"/>
    </row>
    <row r="31" spans="1:24" x14ac:dyDescent="0.3">
      <c r="A31" s="491"/>
      <c r="B31" s="487"/>
      <c r="C31" s="522"/>
      <c r="D31" s="522"/>
      <c r="E31" s="522"/>
      <c r="F31" s="522"/>
      <c r="G31" s="522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2"/>
      <c r="U31" s="522"/>
      <c r="V31" s="522"/>
      <c r="W31" s="493"/>
      <c r="X31" s="493"/>
    </row>
    <row r="32" spans="1:24" x14ac:dyDescent="0.3">
      <c r="A32" s="491">
        <v>13</v>
      </c>
      <c r="B32" s="487" t="s">
        <v>2106</v>
      </c>
      <c r="C32" s="541">
        <f t="shared" ref="C32:V32" si="3">SUM(C24:C30)</f>
        <v>-1923765.1939554778</v>
      </c>
      <c r="D32" s="541">
        <f t="shared" si="3"/>
        <v>553616.27290895535</v>
      </c>
      <c r="E32" s="541">
        <f t="shared" si="3"/>
        <v>-125998.36394096908</v>
      </c>
      <c r="F32" s="541">
        <f t="shared" si="3"/>
        <v>180234.16664799984</v>
      </c>
      <c r="G32" s="541">
        <f t="shared" si="3"/>
        <v>16811.118138945065</v>
      </c>
      <c r="H32" s="541">
        <f t="shared" si="3"/>
        <v>-67568</v>
      </c>
      <c r="I32" s="541">
        <f t="shared" si="3"/>
        <v>-227143.47004028718</v>
      </c>
      <c r="J32" s="541">
        <f t="shared" si="3"/>
        <v>27920.827704999996</v>
      </c>
      <c r="K32" s="541">
        <f t="shared" si="3"/>
        <v>108888.33333333334</v>
      </c>
      <c r="L32" s="541">
        <f t="shared" si="3"/>
        <v>11585.686401747262</v>
      </c>
      <c r="M32" s="541">
        <f t="shared" si="3"/>
        <v>-1445418.6228007535</v>
      </c>
      <c r="N32" s="541">
        <f t="shared" si="3"/>
        <v>425572.06600924488</v>
      </c>
      <c r="O32" s="541">
        <f t="shared" si="3"/>
        <v>156707.77046644158</v>
      </c>
      <c r="P32" s="541">
        <f t="shared" si="3"/>
        <v>-133860.90401688404</v>
      </c>
      <c r="Q32" s="541">
        <f t="shared" si="3"/>
        <v>181822.79668370174</v>
      </c>
      <c r="R32" s="541">
        <f t="shared" si="3"/>
        <v>-2919</v>
      </c>
      <c r="S32" s="541">
        <f t="shared" si="3"/>
        <v>-29598.568138226001</v>
      </c>
      <c r="T32" s="541">
        <f t="shared" si="3"/>
        <v>15135.54954708333</v>
      </c>
      <c r="U32" s="541">
        <f t="shared" si="3"/>
        <v>612859.71055136132</v>
      </c>
      <c r="V32" s="541">
        <f t="shared" si="3"/>
        <v>-832558.91224939167</v>
      </c>
      <c r="W32" s="493"/>
      <c r="X32" s="493"/>
    </row>
    <row r="33" spans="1:24" x14ac:dyDescent="0.3">
      <c r="A33" s="491"/>
      <c r="B33" s="487"/>
      <c r="C33" s="522"/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493"/>
      <c r="X33" s="493"/>
    </row>
    <row r="34" spans="1:24" ht="15" thickBot="1" x14ac:dyDescent="0.35">
      <c r="A34" s="491">
        <v>14</v>
      </c>
      <c r="B34" s="487" t="s">
        <v>2131</v>
      </c>
      <c r="C34" s="542">
        <f t="shared" ref="C34:V34" si="4">C17-C32</f>
        <v>-1679837.1553777056</v>
      </c>
      <c r="D34" s="542">
        <f t="shared" si="4"/>
        <v>1733952.1601847108</v>
      </c>
      <c r="E34" s="542">
        <f t="shared" si="4"/>
        <v>125998.36394096908</v>
      </c>
      <c r="F34" s="542">
        <f t="shared" si="4"/>
        <v>-180234.16664799984</v>
      </c>
      <c r="G34" s="542">
        <f t="shared" si="4"/>
        <v>-16811.118138945065</v>
      </c>
      <c r="H34" s="542">
        <f t="shared" si="4"/>
        <v>67568</v>
      </c>
      <c r="I34" s="542">
        <f t="shared" si="4"/>
        <v>227143.47004028718</v>
      </c>
      <c r="J34" s="542">
        <f t="shared" si="4"/>
        <v>-27920.827704999996</v>
      </c>
      <c r="K34" s="542">
        <f t="shared" si="4"/>
        <v>-108888.33333333334</v>
      </c>
      <c r="L34" s="542">
        <f t="shared" si="4"/>
        <v>-11585.686401747262</v>
      </c>
      <c r="M34" s="542">
        <f t="shared" si="4"/>
        <v>129384.70656123618</v>
      </c>
      <c r="N34" s="542">
        <f t="shared" si="4"/>
        <v>-425572.06600924488</v>
      </c>
      <c r="O34" s="542">
        <f t="shared" si="4"/>
        <v>-156707.77046644158</v>
      </c>
      <c r="P34" s="542">
        <f t="shared" si="4"/>
        <v>133860.90401688404</v>
      </c>
      <c r="Q34" s="542">
        <f t="shared" si="4"/>
        <v>-181822.79668370174</v>
      </c>
      <c r="R34" s="542">
        <f t="shared" si="4"/>
        <v>2919</v>
      </c>
      <c r="S34" s="542">
        <f t="shared" si="4"/>
        <v>29598.568138226001</v>
      </c>
      <c r="T34" s="542">
        <f t="shared" si="4"/>
        <v>-15135.54954708333</v>
      </c>
      <c r="U34" s="542">
        <f t="shared" si="4"/>
        <v>-612859.71055136132</v>
      </c>
      <c r="V34" s="542">
        <f t="shared" si="4"/>
        <v>-483475.00399012561</v>
      </c>
      <c r="W34" s="493"/>
      <c r="X34" s="493"/>
    </row>
    <row r="35" spans="1:24" ht="15" thickTop="1" x14ac:dyDescent="0.3">
      <c r="A35" s="491"/>
      <c r="B35" s="487"/>
      <c r="C35" s="522"/>
      <c r="D35" s="522"/>
      <c r="E35" s="522"/>
      <c r="F35" s="522"/>
      <c r="G35" s="522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2"/>
      <c r="S35" s="522"/>
      <c r="T35" s="522"/>
      <c r="U35" s="522"/>
      <c r="V35" s="522"/>
      <c r="W35" s="493"/>
      <c r="X35" s="493"/>
    </row>
    <row r="36" spans="1:24" x14ac:dyDescent="0.3">
      <c r="A36" s="491"/>
      <c r="B36" s="487" t="s">
        <v>293</v>
      </c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493"/>
      <c r="X36" s="493"/>
    </row>
    <row r="37" spans="1:24" x14ac:dyDescent="0.3">
      <c r="A37" s="491">
        <v>15</v>
      </c>
      <c r="B37" s="487" t="s">
        <v>2130</v>
      </c>
      <c r="C37" s="522"/>
      <c r="D37" s="522"/>
      <c r="E37" s="522">
        <v>-155749.90314321715</v>
      </c>
      <c r="F37" s="522"/>
      <c r="G37" s="522"/>
      <c r="H37" s="522">
        <v>12717540.060742617</v>
      </c>
      <c r="I37" s="522"/>
      <c r="J37" s="522">
        <v>-2895.0000000000005</v>
      </c>
      <c r="K37" s="522"/>
      <c r="L37" s="522">
        <v>252297.85352136439</v>
      </c>
      <c r="M37" s="522">
        <f>SUM(C37:L37)</f>
        <v>12811193.011120763</v>
      </c>
      <c r="N37" s="522"/>
      <c r="O37" s="522"/>
      <c r="P37" s="522"/>
      <c r="Q37" s="522">
        <v>10189607.997541402</v>
      </c>
      <c r="R37" s="522">
        <v>0</v>
      </c>
      <c r="S37" s="522"/>
      <c r="T37" s="522"/>
      <c r="U37" s="522">
        <f>SUM(N37:T37)</f>
        <v>10189607.997541402</v>
      </c>
      <c r="V37" s="522">
        <f>+U37+M37</f>
        <v>23000801.008662164</v>
      </c>
      <c r="W37" s="493"/>
      <c r="X37" s="493"/>
    </row>
    <row r="38" spans="1:24" x14ac:dyDescent="0.3">
      <c r="A38" s="491">
        <v>16</v>
      </c>
      <c r="B38" s="487" t="s">
        <v>2129</v>
      </c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>
        <f>SUM(C38:L38)</f>
        <v>0</v>
      </c>
      <c r="N38" s="541"/>
      <c r="O38" s="541"/>
      <c r="P38" s="541"/>
      <c r="Q38" s="541"/>
      <c r="R38" s="541"/>
      <c r="S38" s="541"/>
      <c r="T38" s="541"/>
      <c r="U38" s="541">
        <f>SUM(N38:T38)</f>
        <v>0</v>
      </c>
      <c r="V38" s="541">
        <f>+U38+M38</f>
        <v>0</v>
      </c>
      <c r="W38" s="493"/>
      <c r="X38" s="493"/>
    </row>
    <row r="39" spans="1:24" x14ac:dyDescent="0.3">
      <c r="A39" s="491"/>
      <c r="B39" s="487"/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2"/>
      <c r="U39" s="522"/>
      <c r="V39" s="522"/>
      <c r="W39" s="493"/>
      <c r="X39" s="493"/>
    </row>
    <row r="40" spans="1:24" x14ac:dyDescent="0.3">
      <c r="A40" s="491">
        <v>17</v>
      </c>
      <c r="B40" s="487" t="s">
        <v>2128</v>
      </c>
      <c r="C40" s="522">
        <f t="shared" ref="C40:V40" si="5">C37+C38</f>
        <v>0</v>
      </c>
      <c r="D40" s="522">
        <f t="shared" si="5"/>
        <v>0</v>
      </c>
      <c r="E40" s="522">
        <f t="shared" si="5"/>
        <v>-155749.90314321715</v>
      </c>
      <c r="F40" s="522">
        <f t="shared" si="5"/>
        <v>0</v>
      </c>
      <c r="G40" s="522">
        <f t="shared" si="5"/>
        <v>0</v>
      </c>
      <c r="H40" s="522">
        <f t="shared" si="5"/>
        <v>12717540.060742617</v>
      </c>
      <c r="I40" s="522">
        <f t="shared" si="5"/>
        <v>0</v>
      </c>
      <c r="J40" s="522">
        <f t="shared" si="5"/>
        <v>-2895.0000000000005</v>
      </c>
      <c r="K40" s="522">
        <f t="shared" si="5"/>
        <v>0</v>
      </c>
      <c r="L40" s="522">
        <f t="shared" si="5"/>
        <v>252297.85352136439</v>
      </c>
      <c r="M40" s="522">
        <f t="shared" si="5"/>
        <v>12811193.011120763</v>
      </c>
      <c r="N40" s="522">
        <f t="shared" si="5"/>
        <v>0</v>
      </c>
      <c r="O40" s="522">
        <f t="shared" si="5"/>
        <v>0</v>
      </c>
      <c r="P40" s="522">
        <f t="shared" si="5"/>
        <v>0</v>
      </c>
      <c r="Q40" s="522">
        <f t="shared" si="5"/>
        <v>10189607.997541402</v>
      </c>
      <c r="R40" s="522">
        <f t="shared" si="5"/>
        <v>0</v>
      </c>
      <c r="S40" s="522">
        <f t="shared" si="5"/>
        <v>0</v>
      </c>
      <c r="T40" s="522">
        <f t="shared" si="5"/>
        <v>0</v>
      </c>
      <c r="U40" s="522">
        <f t="shared" si="5"/>
        <v>10189607.997541402</v>
      </c>
      <c r="V40" s="522">
        <f t="shared" si="5"/>
        <v>23000801.008662164</v>
      </c>
      <c r="W40" s="493"/>
      <c r="X40" s="493"/>
    </row>
    <row r="41" spans="1:24" x14ac:dyDescent="0.3">
      <c r="A41" s="491"/>
      <c r="B41" s="487"/>
      <c r="C41" s="522"/>
      <c r="D41" s="522"/>
      <c r="E41" s="522"/>
      <c r="F41" s="522"/>
      <c r="G41" s="522"/>
      <c r="H41" s="522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2"/>
      <c r="U41" s="522"/>
      <c r="V41" s="522"/>
      <c r="W41" s="493"/>
      <c r="X41" s="493"/>
    </row>
    <row r="42" spans="1:24" x14ac:dyDescent="0.3">
      <c r="A42" s="491">
        <v>18</v>
      </c>
      <c r="B42" s="487" t="s">
        <v>2127</v>
      </c>
      <c r="C42" s="522"/>
      <c r="D42" s="522"/>
      <c r="E42" s="522"/>
      <c r="F42" s="522"/>
      <c r="G42" s="522"/>
      <c r="H42" s="522"/>
      <c r="I42" s="522"/>
      <c r="J42" s="522"/>
      <c r="K42" s="522"/>
      <c r="L42" s="522"/>
      <c r="M42" s="522">
        <f>SUM(C42:L42)</f>
        <v>0</v>
      </c>
      <c r="N42" s="522"/>
      <c r="O42" s="522"/>
      <c r="P42" s="522"/>
      <c r="Q42" s="522"/>
      <c r="R42" s="522"/>
      <c r="S42" s="522"/>
      <c r="T42" s="522"/>
      <c r="U42" s="522">
        <f>SUM(N42:T42)</f>
        <v>0</v>
      </c>
      <c r="V42" s="522">
        <f>+U42+M42</f>
        <v>0</v>
      </c>
      <c r="W42" s="493"/>
      <c r="X42" s="493"/>
    </row>
    <row r="43" spans="1:24" x14ac:dyDescent="0.3">
      <c r="A43" s="491">
        <v>19</v>
      </c>
      <c r="B43" s="489" t="s">
        <v>2126</v>
      </c>
      <c r="C43" s="522"/>
      <c r="D43" s="522"/>
      <c r="E43" s="522"/>
      <c r="F43" s="522"/>
      <c r="G43" s="522"/>
      <c r="H43" s="522"/>
      <c r="I43" s="522"/>
      <c r="J43" s="522"/>
      <c r="K43" s="522"/>
      <c r="L43" s="522"/>
      <c r="M43" s="522">
        <f>SUM(C43:L43)</f>
        <v>0</v>
      </c>
      <c r="N43" s="522"/>
      <c r="O43" s="522"/>
      <c r="P43" s="522"/>
      <c r="Q43" s="522"/>
      <c r="R43" s="522"/>
      <c r="S43" s="522"/>
      <c r="T43" s="522"/>
      <c r="U43" s="522">
        <f>SUM(N43:T43)</f>
        <v>0</v>
      </c>
      <c r="V43" s="522">
        <f>+U43+M43</f>
        <v>0</v>
      </c>
      <c r="W43" s="493"/>
      <c r="X43" s="493"/>
    </row>
    <row r="44" spans="1:24" x14ac:dyDescent="0.3">
      <c r="A44" s="491">
        <v>20</v>
      </c>
      <c r="B44" s="487" t="s">
        <v>2125</v>
      </c>
      <c r="C44" s="522"/>
      <c r="D44" s="522"/>
      <c r="E44" s="522"/>
      <c r="F44" s="522"/>
      <c r="G44" s="522"/>
      <c r="H44" s="522"/>
      <c r="I44" s="522"/>
      <c r="J44" s="522"/>
      <c r="K44" s="522"/>
      <c r="L44" s="522"/>
      <c r="M44" s="522">
        <f>SUM(C44:L44)</f>
        <v>0</v>
      </c>
      <c r="N44" s="522"/>
      <c r="O44" s="522"/>
      <c r="P44" s="522"/>
      <c r="Q44" s="522"/>
      <c r="R44" s="522"/>
      <c r="S44" s="522"/>
      <c r="T44" s="522"/>
      <c r="U44" s="522">
        <f>SUM(N44:T44)</f>
        <v>0</v>
      </c>
      <c r="V44" s="522">
        <f>+U44+M44</f>
        <v>0</v>
      </c>
      <c r="W44" s="493"/>
      <c r="X44" s="493"/>
    </row>
    <row r="45" spans="1:24" x14ac:dyDescent="0.3">
      <c r="A45" s="491">
        <v>21</v>
      </c>
      <c r="B45" s="487" t="s">
        <v>2124</v>
      </c>
      <c r="C45" s="541"/>
      <c r="D45" s="541"/>
      <c r="E45" s="541"/>
      <c r="F45" s="541"/>
      <c r="G45" s="541"/>
      <c r="H45" s="541"/>
      <c r="I45" s="541"/>
      <c r="J45" s="541"/>
      <c r="K45" s="541"/>
      <c r="L45" s="541"/>
      <c r="M45" s="541">
        <f>SUM(C45:L45)</f>
        <v>0</v>
      </c>
      <c r="N45" s="541"/>
      <c r="O45" s="541"/>
      <c r="P45" s="541"/>
      <c r="Q45" s="541"/>
      <c r="R45" s="541">
        <v>549366</v>
      </c>
      <c r="S45" s="541"/>
      <c r="T45" s="541"/>
      <c r="U45" s="541">
        <f>SUM(N45:T45)</f>
        <v>549366</v>
      </c>
      <c r="V45" s="541">
        <f>+U45+M45</f>
        <v>549366</v>
      </c>
      <c r="W45" s="493"/>
      <c r="X45" s="493"/>
    </row>
    <row r="46" spans="1:24" x14ac:dyDescent="0.3">
      <c r="A46" s="491"/>
      <c r="B46" s="487"/>
      <c r="C46" s="522"/>
      <c r="D46" s="522"/>
      <c r="E46" s="522"/>
      <c r="F46" s="522"/>
      <c r="G46" s="522"/>
      <c r="H46" s="522"/>
      <c r="I46" s="522"/>
      <c r="J46" s="522"/>
      <c r="K46" s="522"/>
      <c r="L46" s="522"/>
      <c r="M46" s="522"/>
      <c r="N46" s="522"/>
      <c r="O46" s="522"/>
      <c r="P46" s="522"/>
      <c r="Q46" s="522"/>
      <c r="R46" s="522"/>
      <c r="S46" s="522"/>
      <c r="T46" s="522"/>
      <c r="U46" s="522"/>
      <c r="V46" s="522"/>
      <c r="W46" s="493"/>
      <c r="X46" s="493"/>
    </row>
    <row r="47" spans="1:24" ht="15" thickBot="1" x14ac:dyDescent="0.35">
      <c r="A47" s="491">
        <v>22</v>
      </c>
      <c r="B47" s="487" t="s">
        <v>2108</v>
      </c>
      <c r="C47" s="542">
        <f t="shared" ref="C47:U47" si="6">SUM(C40:C45)</f>
        <v>0</v>
      </c>
      <c r="D47" s="542">
        <f t="shared" si="6"/>
        <v>0</v>
      </c>
      <c r="E47" s="542">
        <f t="shared" si="6"/>
        <v>-155749.90314321715</v>
      </c>
      <c r="F47" s="542">
        <f t="shared" si="6"/>
        <v>0</v>
      </c>
      <c r="G47" s="542">
        <f t="shared" si="6"/>
        <v>0</v>
      </c>
      <c r="H47" s="542">
        <f t="shared" si="6"/>
        <v>12717540.060742617</v>
      </c>
      <c r="I47" s="542">
        <f t="shared" si="6"/>
        <v>0</v>
      </c>
      <c r="J47" s="542">
        <f t="shared" si="6"/>
        <v>-2895.0000000000005</v>
      </c>
      <c r="K47" s="542">
        <f t="shared" si="6"/>
        <v>0</v>
      </c>
      <c r="L47" s="542">
        <f t="shared" si="6"/>
        <v>252297.85352136439</v>
      </c>
      <c r="M47" s="542">
        <f t="shared" si="6"/>
        <v>12811193.011120763</v>
      </c>
      <c r="N47" s="542">
        <f t="shared" si="6"/>
        <v>0</v>
      </c>
      <c r="O47" s="542">
        <f t="shared" si="6"/>
        <v>0</v>
      </c>
      <c r="P47" s="542">
        <f t="shared" si="6"/>
        <v>0</v>
      </c>
      <c r="Q47" s="542">
        <f t="shared" si="6"/>
        <v>10189607.997541402</v>
      </c>
      <c r="R47" s="542">
        <f>SUM(R40:R45)</f>
        <v>549366</v>
      </c>
      <c r="S47" s="542">
        <f t="shared" ref="S47:T47" si="7">SUM(S40:S45)</f>
        <v>0</v>
      </c>
      <c r="T47" s="542">
        <f t="shared" si="7"/>
        <v>0</v>
      </c>
      <c r="U47" s="542">
        <f t="shared" si="6"/>
        <v>10738973.997541402</v>
      </c>
      <c r="V47" s="542">
        <f>SUM(V40:V45)</f>
        <v>23550167.008662164</v>
      </c>
      <c r="W47" s="493"/>
      <c r="X47" s="493"/>
    </row>
    <row r="48" spans="1:24" ht="15" thickTop="1" x14ac:dyDescent="0.3">
      <c r="A48" s="491"/>
      <c r="B48" s="487"/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2"/>
      <c r="Q48" s="522"/>
      <c r="R48" s="522"/>
      <c r="S48" s="522"/>
      <c r="T48" s="522"/>
      <c r="U48" s="522"/>
      <c r="V48" s="522"/>
      <c r="W48" s="493"/>
      <c r="X48" s="493"/>
    </row>
    <row r="49" spans="1:24" x14ac:dyDescent="0.3">
      <c r="A49" s="491">
        <v>23</v>
      </c>
      <c r="B49" s="487" t="s">
        <v>2123</v>
      </c>
      <c r="C49" s="522">
        <v>0</v>
      </c>
      <c r="D49" s="522">
        <v>0</v>
      </c>
      <c r="E49" s="522">
        <v>-3940</v>
      </c>
      <c r="F49" s="522">
        <v>0</v>
      </c>
      <c r="G49" s="522">
        <v>0</v>
      </c>
      <c r="H49" s="522">
        <v>321754</v>
      </c>
      <c r="I49" s="522">
        <v>0</v>
      </c>
      <c r="J49" s="522">
        <v>-73</v>
      </c>
      <c r="K49" s="522">
        <v>0</v>
      </c>
      <c r="L49" s="522">
        <v>6383</v>
      </c>
      <c r="M49" s="522">
        <v>324123</v>
      </c>
      <c r="N49" s="522">
        <v>0</v>
      </c>
      <c r="O49" s="522">
        <v>0</v>
      </c>
      <c r="P49" s="522">
        <v>0</v>
      </c>
      <c r="Q49" s="522">
        <v>257797</v>
      </c>
      <c r="R49" s="522">
        <v>13899</v>
      </c>
      <c r="S49" s="522">
        <v>0</v>
      </c>
      <c r="T49" s="522">
        <v>0</v>
      </c>
      <c r="U49" s="522">
        <v>271696</v>
      </c>
      <c r="V49" s="522">
        <f>SUM(C49:J49)</f>
        <v>317741</v>
      </c>
      <c r="W49" s="493"/>
      <c r="X49" s="493"/>
    </row>
    <row r="50" spans="1:24" x14ac:dyDescent="0.3">
      <c r="A50" s="487"/>
      <c r="B50" s="487"/>
      <c r="C50" s="522"/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522"/>
      <c r="S50" s="522"/>
      <c r="T50" s="522"/>
      <c r="U50" s="522"/>
      <c r="V50" s="522"/>
      <c r="W50" s="493"/>
      <c r="X50" s="493"/>
    </row>
    <row r="51" spans="1:24" x14ac:dyDescent="0.3">
      <c r="A51" s="487"/>
      <c r="B51" s="487"/>
      <c r="C51" s="224">
        <v>2218611.3262219969</v>
      </c>
      <c r="D51" s="224">
        <v>-2290082.6365207531</v>
      </c>
      <c r="E51" s="224">
        <v>-182102.94453088776</v>
      </c>
      <c r="F51" s="224">
        <v>238040.67091701282</v>
      </c>
      <c r="G51" s="224">
        <v>22202.948059648916</v>
      </c>
      <c r="H51" s="224">
        <v>1192161.0700147524</v>
      </c>
      <c r="I51" s="224">
        <v>-299995.19518630847</v>
      </c>
      <c r="J51" s="224">
        <v>36584.178941353144</v>
      </c>
      <c r="K51" s="224">
        <v>143812.08848333335</v>
      </c>
      <c r="L51" s="224">
        <v>40722.71478133987</v>
      </c>
      <c r="M51" s="224"/>
      <c r="N51" s="224">
        <v>562065.79474039003</v>
      </c>
      <c r="O51" s="224">
        <v>206968.65368814339</v>
      </c>
      <c r="P51" s="224">
        <v>-176794.11176221925</v>
      </c>
      <c r="Q51" s="224">
        <v>1266828.3551105943</v>
      </c>
      <c r="R51" s="224">
        <v>51498.078681262203</v>
      </c>
      <c r="S51" s="224">
        <v>-39091.716897199221</v>
      </c>
      <c r="T51" s="224">
        <v>19989.974353319365</v>
      </c>
      <c r="U51" s="224"/>
      <c r="V51" s="224"/>
      <c r="W51" s="493"/>
      <c r="X51" s="493"/>
    </row>
    <row r="52" spans="1:24" x14ac:dyDescent="0.3">
      <c r="A52" s="543"/>
      <c r="B52" s="487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493"/>
      <c r="X52" s="493"/>
    </row>
  </sheetData>
  <printOptions horizontalCentered="1"/>
  <pageMargins left="0.77" right="0.98" top="0.5" bottom="0.5" header="0.25" footer="0.25"/>
  <pageSetup scale="50" fitToWidth="2" orientation="landscape" r:id="rId1"/>
  <headerFooter alignWithMargins="0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85" zoomScaleNormal="85" workbookViewId="0">
      <selection activeCell="G2" sqref="G2"/>
    </sheetView>
  </sheetViews>
  <sheetFormatPr defaultColWidth="8.88671875" defaultRowHeight="14.4" x14ac:dyDescent="0.3"/>
  <cols>
    <col min="1" max="1" width="5.6640625" style="264" customWidth="1"/>
    <col min="2" max="2" width="43.6640625" style="264" customWidth="1"/>
    <col min="3" max="5" width="17.5546875" style="264" customWidth="1"/>
    <col min="6" max="6" width="6.6640625" style="264" customWidth="1"/>
    <col min="7" max="9" width="17.5546875" style="264" customWidth="1"/>
    <col min="10" max="10" width="4.6640625" style="263" customWidth="1"/>
    <col min="11" max="11" width="17.6640625" style="263" customWidth="1"/>
    <col min="12" max="12" width="8.88671875" style="263"/>
    <col min="13" max="13" width="52.6640625" style="263" bestFit="1" customWidth="1"/>
    <col min="14" max="16384" width="8.88671875" style="263"/>
  </cols>
  <sheetData>
    <row r="1" spans="1:22" s="278" customFormat="1" ht="12" customHeight="1" x14ac:dyDescent="0.3">
      <c r="A1" s="277" t="s">
        <v>142</v>
      </c>
      <c r="B1" s="527"/>
      <c r="C1" s="527"/>
      <c r="D1" s="527"/>
      <c r="E1" s="527"/>
      <c r="F1" s="527"/>
      <c r="G1" s="544"/>
      <c r="H1" s="544"/>
      <c r="K1" s="282" t="s">
        <v>2197</v>
      </c>
      <c r="O1" s="278" t="s">
        <v>142</v>
      </c>
      <c r="V1" s="278" t="s">
        <v>2421</v>
      </c>
    </row>
    <row r="2" spans="1:22" s="278" customFormat="1" x14ac:dyDescent="0.3">
      <c r="A2" s="281" t="s">
        <v>2306</v>
      </c>
      <c r="B2" s="527"/>
      <c r="C2" s="527"/>
      <c r="D2" s="527"/>
      <c r="E2" s="527"/>
      <c r="F2" s="527"/>
      <c r="G2" s="544"/>
      <c r="H2" s="544"/>
      <c r="I2" s="544"/>
      <c r="O2" s="278" t="s">
        <v>2431</v>
      </c>
      <c r="V2" s="8" t="s">
        <v>1904</v>
      </c>
    </row>
    <row r="3" spans="1:22" s="278" customFormat="1" x14ac:dyDescent="0.3">
      <c r="A3" s="277" t="s">
        <v>2196</v>
      </c>
      <c r="B3" s="527"/>
      <c r="C3" s="527"/>
      <c r="D3" s="527"/>
      <c r="E3" s="527"/>
      <c r="F3" s="527"/>
      <c r="G3" s="544"/>
      <c r="H3" s="544"/>
      <c r="I3" s="544"/>
      <c r="O3" s="278" t="s">
        <v>2432</v>
      </c>
      <c r="V3" s="8" t="s">
        <v>2430</v>
      </c>
    </row>
    <row r="4" spans="1:22" s="278" customFormat="1" x14ac:dyDescent="0.3">
      <c r="A4" s="277"/>
      <c r="B4" s="527"/>
      <c r="C4" s="527"/>
      <c r="D4" s="527"/>
      <c r="E4" s="527"/>
      <c r="F4" s="527"/>
      <c r="G4" s="544"/>
      <c r="H4" s="544"/>
      <c r="I4" s="544"/>
      <c r="O4" s="278" t="s">
        <v>2433</v>
      </c>
      <c r="V4" s="8" t="s">
        <v>1959</v>
      </c>
    </row>
    <row r="5" spans="1:22" s="278" customFormat="1" x14ac:dyDescent="0.3">
      <c r="A5" s="545"/>
      <c r="B5" s="527"/>
      <c r="C5" s="688" t="s">
        <v>1953</v>
      </c>
      <c r="D5" s="688"/>
      <c r="E5" s="688"/>
      <c r="F5" s="527"/>
      <c r="G5" s="688" t="s">
        <v>2195</v>
      </c>
      <c r="H5" s="688"/>
      <c r="I5" s="688"/>
      <c r="V5" s="8" t="s">
        <v>2428</v>
      </c>
    </row>
    <row r="6" spans="1:22" s="278" customFormat="1" x14ac:dyDescent="0.3">
      <c r="A6" s="544"/>
      <c r="B6" s="544"/>
      <c r="C6" s="546" t="s">
        <v>2194</v>
      </c>
      <c r="D6" s="547" t="s">
        <v>2193</v>
      </c>
      <c r="E6" s="546" t="s">
        <v>2164</v>
      </c>
      <c r="F6" s="544"/>
      <c r="G6" s="546" t="s">
        <v>2194</v>
      </c>
      <c r="H6" s="547" t="s">
        <v>2193</v>
      </c>
      <c r="I6" s="546" t="s">
        <v>2164</v>
      </c>
      <c r="R6" s="278" t="s">
        <v>2195</v>
      </c>
      <c r="V6" s="485"/>
    </row>
    <row r="7" spans="1:22" s="278" customFormat="1" x14ac:dyDescent="0.3">
      <c r="A7" s="548" t="s">
        <v>2164</v>
      </c>
      <c r="B7" s="549"/>
      <c r="C7" s="550" t="s">
        <v>2192</v>
      </c>
      <c r="D7" s="280" t="s">
        <v>2191</v>
      </c>
      <c r="E7" s="621" t="s">
        <v>2190</v>
      </c>
      <c r="F7" s="544"/>
      <c r="G7" s="550" t="s">
        <v>2192</v>
      </c>
      <c r="H7" s="280" t="s">
        <v>2191</v>
      </c>
      <c r="I7" s="621" t="s">
        <v>2190</v>
      </c>
      <c r="K7" s="279" t="s">
        <v>2150</v>
      </c>
      <c r="R7" s="278" t="s">
        <v>2194</v>
      </c>
      <c r="S7" s="278" t="s">
        <v>2193</v>
      </c>
      <c r="T7" s="278" t="s">
        <v>2164</v>
      </c>
    </row>
    <row r="8" spans="1:22" s="277" customFormat="1" x14ac:dyDescent="0.3">
      <c r="A8" s="529"/>
      <c r="B8" s="544"/>
      <c r="C8" s="551" t="s">
        <v>593</v>
      </c>
      <c r="D8" s="551" t="s">
        <v>594</v>
      </c>
      <c r="E8" s="551" t="s">
        <v>595</v>
      </c>
      <c r="F8" s="544"/>
      <c r="G8" s="551" t="s">
        <v>596</v>
      </c>
      <c r="H8" s="551" t="s">
        <v>597</v>
      </c>
      <c r="I8" s="551" t="s">
        <v>600</v>
      </c>
      <c r="K8" s="551" t="s">
        <v>2149</v>
      </c>
      <c r="R8" s="277" t="s">
        <v>2192</v>
      </c>
      <c r="S8" s="277" t="s">
        <v>2191</v>
      </c>
      <c r="T8" s="277" t="s">
        <v>2190</v>
      </c>
    </row>
    <row r="9" spans="1:22" x14ac:dyDescent="0.3">
      <c r="A9" s="529"/>
      <c r="B9" s="552" t="s">
        <v>2189</v>
      </c>
      <c r="C9" s="553"/>
      <c r="D9" s="553"/>
      <c r="E9" s="553"/>
      <c r="F9" s="553"/>
      <c r="G9" s="551"/>
      <c r="H9" s="551"/>
      <c r="I9" s="551"/>
      <c r="J9" s="554"/>
      <c r="K9" s="554"/>
      <c r="L9" s="554"/>
      <c r="M9" s="554"/>
      <c r="N9" s="554"/>
      <c r="O9" s="554"/>
      <c r="P9" s="554"/>
      <c r="Q9" s="554"/>
      <c r="R9" s="554" t="s">
        <v>593</v>
      </c>
      <c r="S9" s="554" t="s">
        <v>594</v>
      </c>
      <c r="T9" s="554" t="s">
        <v>595</v>
      </c>
    </row>
    <row r="10" spans="1:22" x14ac:dyDescent="0.3">
      <c r="A10" s="555">
        <v>1</v>
      </c>
      <c r="B10" s="545" t="s">
        <v>525</v>
      </c>
      <c r="C10" s="556">
        <v>50068985.899999999</v>
      </c>
      <c r="D10" s="275">
        <f>+E10/C10</f>
        <v>0.93165562496443521</v>
      </c>
      <c r="E10" s="524">
        <v>46647052.349999994</v>
      </c>
      <c r="F10" s="545"/>
      <c r="G10" s="533">
        <v>50368669.118959703</v>
      </c>
      <c r="H10" s="270">
        <v>0.8748935422931523</v>
      </c>
      <c r="I10" s="557">
        <v>44067223.346078366</v>
      </c>
      <c r="J10" s="554"/>
      <c r="K10" s="554"/>
      <c r="L10" s="554"/>
      <c r="M10" s="554" t="s">
        <v>2422</v>
      </c>
      <c r="N10" s="554"/>
      <c r="O10" s="554" t="s">
        <v>2164</v>
      </c>
      <c r="P10" s="554"/>
      <c r="Q10" s="554"/>
      <c r="R10" s="554"/>
      <c r="S10" s="554"/>
      <c r="T10" s="554"/>
    </row>
    <row r="11" spans="1:22" x14ac:dyDescent="0.3">
      <c r="A11" s="555">
        <f>+A10+1</f>
        <v>2</v>
      </c>
      <c r="B11" s="545" t="s">
        <v>526</v>
      </c>
      <c r="C11" s="556">
        <v>21738479.899999999</v>
      </c>
      <c r="D11" s="275">
        <f t="shared" ref="D11:D13" si="0">+E11/C11</f>
        <v>0.83207226048956662</v>
      </c>
      <c r="E11" s="524">
        <v>18087986.110000007</v>
      </c>
      <c r="F11" s="545"/>
      <c r="G11" s="533">
        <v>21869677.459744882</v>
      </c>
      <c r="H11" s="270">
        <v>0.78588474777741135</v>
      </c>
      <c r="I11" s="557">
        <v>17187045.954424944</v>
      </c>
      <c r="J11" s="554"/>
      <c r="K11" s="554"/>
      <c r="L11" s="554"/>
      <c r="M11" s="554" t="s">
        <v>2423</v>
      </c>
      <c r="N11" s="554"/>
      <c r="O11" s="554"/>
      <c r="P11" s="554"/>
      <c r="Q11" s="554"/>
      <c r="R11" s="554"/>
      <c r="S11" s="554"/>
      <c r="T11" s="554"/>
    </row>
    <row r="12" spans="1:22" x14ac:dyDescent="0.3">
      <c r="A12" s="555">
        <f>+A11+1</f>
        <v>3</v>
      </c>
      <c r="B12" s="545" t="s">
        <v>527</v>
      </c>
      <c r="C12" s="556">
        <v>3052385.8</v>
      </c>
      <c r="D12" s="275">
        <f t="shared" si="0"/>
        <v>0.64440582510900168</v>
      </c>
      <c r="E12" s="524">
        <v>1966975.19</v>
      </c>
      <c r="F12" s="545"/>
      <c r="G12" s="533">
        <v>3064902.0999999992</v>
      </c>
      <c r="H12" s="270">
        <v>0.62388239034199122</v>
      </c>
      <c r="I12" s="557">
        <v>1912138.448312188</v>
      </c>
      <c r="J12" s="554"/>
      <c r="K12" s="554"/>
      <c r="L12" s="554"/>
      <c r="M12" s="554"/>
      <c r="N12" s="554"/>
      <c r="O12" s="554"/>
      <c r="P12" s="554" t="s">
        <v>2189</v>
      </c>
      <c r="Q12" s="554"/>
      <c r="R12" s="554"/>
      <c r="S12" s="554"/>
      <c r="T12" s="554"/>
    </row>
    <row r="13" spans="1:22" x14ac:dyDescent="0.3">
      <c r="A13" s="555">
        <f>+A12+1</f>
        <v>4</v>
      </c>
      <c r="B13" s="545" t="s">
        <v>528</v>
      </c>
      <c r="C13" s="558">
        <v>1319198</v>
      </c>
      <c r="D13" s="275">
        <f t="shared" si="0"/>
        <v>0.41212040952154266</v>
      </c>
      <c r="E13" s="559">
        <v>543668.42000000004</v>
      </c>
      <c r="F13" s="545"/>
      <c r="G13" s="535">
        <v>1319198</v>
      </c>
      <c r="H13" s="270">
        <v>0.42016431587319653</v>
      </c>
      <c r="I13" s="560">
        <v>554279.92517128913</v>
      </c>
      <c r="J13" s="554"/>
      <c r="K13" s="554"/>
      <c r="L13" s="554"/>
      <c r="M13" s="554"/>
      <c r="N13" s="554"/>
      <c r="O13" s="554">
        <v>1</v>
      </c>
      <c r="P13" s="554" t="s">
        <v>525</v>
      </c>
      <c r="Q13" s="554"/>
      <c r="R13" s="554">
        <v>50368669.118959703</v>
      </c>
      <c r="S13" s="554">
        <v>0.8748935422931523</v>
      </c>
      <c r="T13" s="554">
        <v>44067223.346078366</v>
      </c>
    </row>
    <row r="14" spans="1:22" x14ac:dyDescent="0.3">
      <c r="A14" s="554"/>
      <c r="B14" s="561"/>
      <c r="C14" s="556"/>
      <c r="D14" s="276"/>
      <c r="E14" s="524"/>
      <c r="F14" s="561"/>
      <c r="G14" s="533"/>
      <c r="H14" s="267"/>
      <c r="I14" s="557"/>
      <c r="J14" s="554"/>
      <c r="K14" s="554"/>
      <c r="L14" s="554"/>
      <c r="M14" s="554"/>
      <c r="N14" s="554"/>
      <c r="O14" s="554">
        <v>2</v>
      </c>
      <c r="P14" s="554" t="s">
        <v>526</v>
      </c>
      <c r="Q14" s="554"/>
      <c r="R14" s="554">
        <v>21869677.459744882</v>
      </c>
      <c r="S14" s="554">
        <v>0.78588474777741135</v>
      </c>
      <c r="T14" s="554">
        <v>17187045.954424944</v>
      </c>
    </row>
    <row r="15" spans="1:22" x14ac:dyDescent="0.3">
      <c r="A15" s="555">
        <f>+A13+1</f>
        <v>5</v>
      </c>
      <c r="B15" s="562" t="s">
        <v>2188</v>
      </c>
      <c r="C15" s="563">
        <f>SUM(C10:C13)</f>
        <v>76179049.599999994</v>
      </c>
      <c r="D15" s="275"/>
      <c r="E15" s="564">
        <f>SUM(E10:E13)</f>
        <v>67245682.069999993</v>
      </c>
      <c r="F15" s="562"/>
      <c r="G15" s="532">
        <v>76622446.678704575</v>
      </c>
      <c r="H15" s="270"/>
      <c r="I15" s="565">
        <v>63720687.673986785</v>
      </c>
      <c r="J15" s="554"/>
      <c r="K15" s="566">
        <f>+I15-E15</f>
        <v>-3524994.3960132077</v>
      </c>
      <c r="L15" s="554"/>
      <c r="M15" s="554"/>
      <c r="N15" s="554"/>
      <c r="O15" s="554">
        <v>3</v>
      </c>
      <c r="P15" s="554" t="s">
        <v>527</v>
      </c>
      <c r="Q15" s="554"/>
      <c r="R15" s="554">
        <v>3064902.0999999992</v>
      </c>
      <c r="S15" s="554">
        <v>0.62388239034199122</v>
      </c>
      <c r="T15" s="554">
        <v>1912138.448312188</v>
      </c>
    </row>
    <row r="16" spans="1:22" x14ac:dyDescent="0.3">
      <c r="A16" s="554"/>
      <c r="B16" s="567"/>
      <c r="C16" s="532"/>
      <c r="D16" s="271"/>
      <c r="E16" s="568"/>
      <c r="F16" s="567"/>
      <c r="G16" s="532"/>
      <c r="H16" s="271"/>
      <c r="I16" s="568"/>
      <c r="J16" s="554"/>
      <c r="K16" s="566"/>
      <c r="L16" s="554"/>
      <c r="M16" s="554"/>
      <c r="N16" s="554"/>
      <c r="O16" s="554">
        <v>4</v>
      </c>
      <c r="P16" s="554" t="s">
        <v>528</v>
      </c>
      <c r="Q16" s="554"/>
      <c r="R16" s="554">
        <v>1319198</v>
      </c>
      <c r="S16" s="554">
        <v>0.42016431587319653</v>
      </c>
      <c r="T16" s="554">
        <v>554279.92517128913</v>
      </c>
    </row>
    <row r="17" spans="1:20" x14ac:dyDescent="0.3">
      <c r="A17" s="555">
        <f>+A15+1</f>
        <v>6</v>
      </c>
      <c r="B17" s="569" t="s">
        <v>2187</v>
      </c>
      <c r="C17" s="274">
        <v>117158</v>
      </c>
      <c r="D17" s="554"/>
      <c r="E17" s="273">
        <v>68731</v>
      </c>
      <c r="F17" s="567"/>
      <c r="G17" s="532"/>
      <c r="H17" s="271"/>
      <c r="I17" s="568"/>
      <c r="J17" s="554"/>
      <c r="K17" s="566">
        <f t="shared" ref="K17" si="1">+I17-E17</f>
        <v>-68731</v>
      </c>
      <c r="L17" s="554"/>
      <c r="M17" s="554" t="s">
        <v>2424</v>
      </c>
      <c r="N17" s="554"/>
      <c r="O17" s="554"/>
      <c r="P17" s="554"/>
      <c r="Q17" s="554"/>
      <c r="R17" s="554"/>
      <c r="S17" s="554"/>
      <c r="T17" s="554"/>
    </row>
    <row r="18" spans="1:20" x14ac:dyDescent="0.3">
      <c r="A18" s="555">
        <f>+A17+1</f>
        <v>7</v>
      </c>
      <c r="B18" s="569" t="s">
        <v>2186</v>
      </c>
      <c r="C18" s="570">
        <v>228702</v>
      </c>
      <c r="D18" s="554"/>
      <c r="E18" s="571"/>
      <c r="F18" s="570"/>
      <c r="G18" s="532"/>
      <c r="H18" s="271"/>
      <c r="I18" s="568"/>
      <c r="J18" s="554"/>
      <c r="K18" s="554"/>
      <c r="L18" s="554"/>
      <c r="M18" s="554"/>
      <c r="N18" s="554"/>
      <c r="O18" s="554">
        <v>5</v>
      </c>
      <c r="P18" s="554" t="s">
        <v>2188</v>
      </c>
      <c r="Q18" s="554"/>
      <c r="R18" s="554">
        <v>76622446.678704575</v>
      </c>
      <c r="S18" s="554"/>
      <c r="T18" s="554">
        <v>63720687.673986785</v>
      </c>
    </row>
    <row r="19" spans="1:20" x14ac:dyDescent="0.3">
      <c r="A19" s="554"/>
      <c r="B19" s="567"/>
      <c r="C19" s="532"/>
      <c r="D19" s="271"/>
      <c r="E19" s="568"/>
      <c r="F19" s="567"/>
      <c r="G19" s="532"/>
      <c r="H19" s="271"/>
      <c r="I19" s="568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</row>
    <row r="20" spans="1:20" x14ac:dyDescent="0.3">
      <c r="A20" s="554"/>
      <c r="B20" s="572" t="s">
        <v>2185</v>
      </c>
      <c r="C20" s="527"/>
      <c r="D20" s="527"/>
      <c r="E20" s="573"/>
      <c r="F20" s="574"/>
      <c r="G20" s="527"/>
      <c r="H20" s="527"/>
      <c r="I20" s="573"/>
      <c r="J20" s="554"/>
      <c r="K20" s="554"/>
      <c r="L20" s="554"/>
      <c r="M20" s="554"/>
      <c r="N20" s="554"/>
      <c r="O20" s="554">
        <v>6</v>
      </c>
      <c r="P20" s="554" t="s">
        <v>2187</v>
      </c>
      <c r="Q20" s="554"/>
      <c r="R20" s="554"/>
      <c r="S20" s="554"/>
      <c r="T20" s="554"/>
    </row>
    <row r="21" spans="1:20" x14ac:dyDescent="0.3">
      <c r="A21" s="555">
        <f>+A18+1</f>
        <v>8</v>
      </c>
      <c r="B21" s="545" t="s">
        <v>2184</v>
      </c>
      <c r="C21" s="533">
        <v>7065720</v>
      </c>
      <c r="D21" s="275">
        <f>+E21/C21</f>
        <v>0.16810604297934251</v>
      </c>
      <c r="E21" s="272">
        <v>1187790.23</v>
      </c>
      <c r="F21" s="545"/>
      <c r="G21" s="533">
        <v>7065720</v>
      </c>
      <c r="H21" s="270">
        <v>0.16733650934511982</v>
      </c>
      <c r="I21" s="272">
        <v>1182352.92081</v>
      </c>
      <c r="J21" s="554"/>
      <c r="K21" s="554"/>
      <c r="L21" s="554"/>
      <c r="M21" s="554"/>
      <c r="N21" s="554"/>
      <c r="O21" s="554">
        <v>7</v>
      </c>
      <c r="P21" s="554" t="s">
        <v>2186</v>
      </c>
      <c r="Q21" s="554"/>
      <c r="R21" s="554"/>
      <c r="S21" s="554"/>
      <c r="T21" s="554"/>
    </row>
    <row r="22" spans="1:20" x14ac:dyDescent="0.3">
      <c r="A22" s="555">
        <f>+A21+1</f>
        <v>9</v>
      </c>
      <c r="B22" s="545" t="s">
        <v>528</v>
      </c>
      <c r="C22" s="533">
        <v>10909907</v>
      </c>
      <c r="D22" s="275">
        <f t="shared" ref="D22:D23" si="2">+E22/C22</f>
        <v>8.6487368774087622E-2</v>
      </c>
      <c r="E22" s="272">
        <v>943569.15</v>
      </c>
      <c r="F22" s="545"/>
      <c r="G22" s="533">
        <v>10908382</v>
      </c>
      <c r="H22" s="270">
        <v>8.6091843912323565E-2</v>
      </c>
      <c r="I22" s="272">
        <v>939122.72048000002</v>
      </c>
      <c r="J22" s="554"/>
      <c r="K22" s="554"/>
      <c r="L22" s="554"/>
      <c r="M22" s="554"/>
      <c r="N22" s="554"/>
      <c r="O22" s="554"/>
      <c r="P22" s="554"/>
      <c r="Q22" s="554"/>
      <c r="R22" s="554"/>
      <c r="S22" s="554"/>
      <c r="T22" s="554"/>
    </row>
    <row r="23" spans="1:20" x14ac:dyDescent="0.3">
      <c r="A23" s="555">
        <f>+A22+1</f>
        <v>10</v>
      </c>
      <c r="B23" s="545" t="s">
        <v>2183</v>
      </c>
      <c r="C23" s="533">
        <v>2813155</v>
      </c>
      <c r="D23" s="275">
        <f t="shared" si="2"/>
        <v>8.5178861456265284E-2</v>
      </c>
      <c r="E23" s="272">
        <v>239621.33999999997</v>
      </c>
      <c r="F23" s="545"/>
      <c r="G23" s="533">
        <v>2813155</v>
      </c>
      <c r="H23" s="270">
        <v>8.5181273477651864E-2</v>
      </c>
      <c r="I23" s="272">
        <v>239628.12539002372</v>
      </c>
      <c r="J23" s="554"/>
      <c r="K23" s="554"/>
      <c r="L23" s="554"/>
      <c r="M23" s="554"/>
      <c r="N23" s="554"/>
      <c r="O23" s="554"/>
      <c r="P23" s="554" t="s">
        <v>2185</v>
      </c>
      <c r="Q23" s="554"/>
      <c r="R23" s="554"/>
      <c r="S23" s="554"/>
      <c r="T23" s="554"/>
    </row>
    <row r="24" spans="1:20" x14ac:dyDescent="0.3">
      <c r="A24" s="554"/>
      <c r="B24" s="544"/>
      <c r="C24" s="575"/>
      <c r="D24" s="271"/>
      <c r="E24" s="576"/>
      <c r="F24" s="544"/>
      <c r="G24" s="575"/>
      <c r="H24" s="271"/>
      <c r="I24" s="576"/>
      <c r="J24" s="554"/>
      <c r="K24" s="554"/>
      <c r="L24" s="554"/>
      <c r="M24" s="554"/>
      <c r="N24" s="554"/>
      <c r="O24" s="554">
        <v>6</v>
      </c>
      <c r="P24" s="554" t="s">
        <v>2184</v>
      </c>
      <c r="Q24" s="554"/>
      <c r="R24" s="554">
        <v>7065720</v>
      </c>
      <c r="S24" s="554">
        <v>0.16733650934511982</v>
      </c>
      <c r="T24" s="554">
        <v>1182352.92081</v>
      </c>
    </row>
    <row r="25" spans="1:20" x14ac:dyDescent="0.3">
      <c r="A25" s="555">
        <f>+A23+1</f>
        <v>11</v>
      </c>
      <c r="B25" s="562" t="s">
        <v>2182</v>
      </c>
      <c r="C25" s="535">
        <f>SUM(C21:C24)</f>
        <v>20788782</v>
      </c>
      <c r="D25" s="267"/>
      <c r="E25" s="560">
        <f>SUM(E21:E24)</f>
        <v>2370980.7199999997</v>
      </c>
      <c r="F25" s="562"/>
      <c r="G25" s="535">
        <v>20787257</v>
      </c>
      <c r="H25" s="267"/>
      <c r="I25" s="560">
        <v>2361103.7666800241</v>
      </c>
      <c r="J25" s="554"/>
      <c r="K25" s="566">
        <f>+I25-E25</f>
        <v>-9876.9533199756406</v>
      </c>
      <c r="L25" s="554"/>
      <c r="M25" s="554"/>
      <c r="N25" s="554"/>
      <c r="O25" s="554">
        <v>7</v>
      </c>
      <c r="P25" s="554" t="s">
        <v>528</v>
      </c>
      <c r="Q25" s="554"/>
      <c r="R25" s="554">
        <v>10908382</v>
      </c>
      <c r="S25" s="554">
        <v>8.6091843912323565E-2</v>
      </c>
      <c r="T25" s="554">
        <v>939122.72048000002</v>
      </c>
    </row>
    <row r="26" spans="1:20" x14ac:dyDescent="0.3">
      <c r="A26" s="554"/>
      <c r="B26" s="544"/>
      <c r="C26" s="533"/>
      <c r="D26" s="267"/>
      <c r="E26" s="533"/>
      <c r="F26" s="544"/>
      <c r="G26" s="533"/>
      <c r="H26" s="267"/>
      <c r="I26" s="533"/>
      <c r="J26" s="554"/>
      <c r="K26" s="554"/>
      <c r="L26" s="554"/>
      <c r="M26" s="554"/>
      <c r="N26" s="554"/>
      <c r="O26" s="554">
        <v>8</v>
      </c>
      <c r="P26" s="554" t="s">
        <v>473</v>
      </c>
      <c r="Q26" s="554"/>
      <c r="R26" s="554">
        <v>2813155</v>
      </c>
      <c r="S26" s="554">
        <v>8.5181273477651864E-2</v>
      </c>
      <c r="T26" s="554">
        <v>239628.12539002372</v>
      </c>
    </row>
    <row r="27" spans="1:20" ht="15" thickBot="1" x14ac:dyDescent="0.35">
      <c r="A27" s="555">
        <f>+A25+1</f>
        <v>12</v>
      </c>
      <c r="B27" s="577" t="s">
        <v>2181</v>
      </c>
      <c r="C27" s="578">
        <f>+C15+C17+C18+C25</f>
        <v>97313691.599999994</v>
      </c>
      <c r="D27" s="271"/>
      <c r="E27" s="265">
        <f>+E15+E25+E17</f>
        <v>69685393.789999992</v>
      </c>
      <c r="F27" s="577"/>
      <c r="G27" s="578">
        <v>97409703.678704575</v>
      </c>
      <c r="H27" s="271"/>
      <c r="I27" s="265">
        <v>66081791.44066681</v>
      </c>
      <c r="J27" s="554"/>
      <c r="K27" s="566">
        <f>+I27-E27</f>
        <v>-3603602.349333182</v>
      </c>
      <c r="L27" s="554"/>
      <c r="M27" s="554"/>
      <c r="N27" s="554"/>
      <c r="O27" s="554"/>
      <c r="P27" s="554"/>
      <c r="Q27" s="554"/>
      <c r="R27" s="554"/>
      <c r="S27" s="554"/>
      <c r="T27" s="554"/>
    </row>
    <row r="28" spans="1:20" ht="15" thickTop="1" x14ac:dyDescent="0.3">
      <c r="A28" s="527"/>
      <c r="B28" s="527"/>
      <c r="C28" s="527"/>
      <c r="D28" s="527"/>
      <c r="E28" s="527"/>
      <c r="F28" s="527"/>
      <c r="G28" s="528"/>
      <c r="H28" s="528"/>
      <c r="I28" s="528"/>
      <c r="J28" s="554"/>
      <c r="K28" s="554"/>
      <c r="L28" s="554"/>
      <c r="M28" s="554"/>
      <c r="N28" s="554"/>
      <c r="O28" s="554">
        <v>9</v>
      </c>
      <c r="P28" s="554" t="s">
        <v>2182</v>
      </c>
      <c r="Q28" s="554"/>
      <c r="R28" s="554">
        <v>20787257</v>
      </c>
      <c r="S28" s="554"/>
      <c r="T28" s="554">
        <v>2361103.7666800241</v>
      </c>
    </row>
    <row r="29" spans="1:20" x14ac:dyDescent="0.3">
      <c r="A29" s="548" t="s">
        <v>2180</v>
      </c>
      <c r="B29" s="579"/>
      <c r="C29" s="561"/>
      <c r="D29" s="561"/>
      <c r="E29" s="561"/>
      <c r="F29" s="561"/>
      <c r="G29" s="580"/>
      <c r="H29" s="270"/>
      <c r="I29" s="533"/>
      <c r="J29" s="554"/>
      <c r="K29" s="554"/>
      <c r="L29" s="554"/>
      <c r="M29" s="554"/>
      <c r="N29" s="554"/>
      <c r="O29" s="554"/>
      <c r="P29" s="554"/>
      <c r="Q29" s="554"/>
      <c r="R29" s="554"/>
      <c r="S29" s="554"/>
      <c r="T29" s="554"/>
    </row>
    <row r="30" spans="1:20" x14ac:dyDescent="0.3">
      <c r="A30" s="581"/>
      <c r="B30" s="567"/>
      <c r="C30" s="567"/>
      <c r="D30" s="567"/>
      <c r="E30" s="567"/>
      <c r="F30" s="567"/>
      <c r="G30" s="527"/>
      <c r="H30" s="270"/>
      <c r="I30" s="533"/>
      <c r="J30" s="554"/>
      <c r="K30" s="554"/>
      <c r="L30" s="554"/>
      <c r="M30" s="554"/>
      <c r="N30" s="554"/>
      <c r="O30" s="554">
        <v>10</v>
      </c>
      <c r="P30" s="554" t="s">
        <v>2181</v>
      </c>
      <c r="Q30" s="554"/>
      <c r="R30" s="554">
        <v>97409703.678704575</v>
      </c>
      <c r="S30" s="554"/>
      <c r="T30" s="554">
        <v>66081791.44066681</v>
      </c>
    </row>
    <row r="31" spans="1:20" x14ac:dyDescent="0.3">
      <c r="A31" s="555">
        <f>+A27+1</f>
        <v>13</v>
      </c>
      <c r="B31" s="581" t="s">
        <v>2179</v>
      </c>
      <c r="C31" s="533"/>
      <c r="D31" s="582"/>
      <c r="E31" s="268">
        <v>8770697.0635999944</v>
      </c>
      <c r="F31" s="581"/>
      <c r="G31" s="269"/>
      <c r="H31" s="583"/>
      <c r="I31" s="268">
        <v>8063564</v>
      </c>
      <c r="J31" s="554"/>
      <c r="K31" s="554"/>
      <c r="L31" s="554"/>
      <c r="M31" s="554"/>
      <c r="N31" s="554"/>
      <c r="O31" s="554"/>
      <c r="P31" s="554"/>
      <c r="Q31" s="554"/>
      <c r="R31" s="554"/>
      <c r="S31" s="554"/>
      <c r="T31" s="554"/>
    </row>
    <row r="32" spans="1:20" x14ac:dyDescent="0.3">
      <c r="A32" s="555">
        <f>+A31+1</f>
        <v>14</v>
      </c>
      <c r="B32" s="545" t="s">
        <v>2178</v>
      </c>
      <c r="C32" s="533"/>
      <c r="D32" s="582"/>
      <c r="E32" s="533">
        <v>19856050.746987022</v>
      </c>
      <c r="F32" s="584"/>
      <c r="G32" s="533"/>
      <c r="H32" s="267"/>
      <c r="I32" s="533">
        <v>16381114</v>
      </c>
      <c r="J32" s="554"/>
      <c r="K32" s="554"/>
      <c r="L32" s="554"/>
      <c r="M32" s="554"/>
      <c r="N32" s="554"/>
      <c r="O32" s="554"/>
      <c r="P32" s="554"/>
      <c r="Q32" s="554"/>
      <c r="R32" s="554"/>
      <c r="S32" s="554"/>
      <c r="T32" s="554"/>
    </row>
    <row r="33" spans="1:20" x14ac:dyDescent="0.3">
      <c r="A33" s="555">
        <f>+A32+1</f>
        <v>15</v>
      </c>
      <c r="B33" s="569" t="s">
        <v>2177</v>
      </c>
      <c r="C33" s="554"/>
      <c r="D33" s="582"/>
      <c r="E33" s="535">
        <v>-2854665.26</v>
      </c>
      <c r="F33" s="574"/>
      <c r="G33" s="533"/>
      <c r="H33" s="267"/>
      <c r="I33" s="535">
        <v>0</v>
      </c>
      <c r="J33" s="554"/>
      <c r="K33" s="554"/>
      <c r="L33" s="554"/>
      <c r="M33" s="554"/>
      <c r="N33" s="554"/>
      <c r="O33" s="554" t="s">
        <v>2180</v>
      </c>
      <c r="P33" s="554"/>
      <c r="Q33" s="554"/>
      <c r="R33" s="554"/>
      <c r="S33" s="554"/>
      <c r="T33" s="554"/>
    </row>
    <row r="34" spans="1:20" x14ac:dyDescent="0.3">
      <c r="A34" s="554"/>
      <c r="B34" s="554"/>
      <c r="C34" s="554"/>
      <c r="D34" s="554"/>
      <c r="E34" s="554"/>
      <c r="F34" s="529"/>
      <c r="G34" s="529"/>
      <c r="H34" s="529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554"/>
      <c r="T34" s="554"/>
    </row>
    <row r="35" spans="1:20" ht="15" thickBot="1" x14ac:dyDescent="0.35">
      <c r="A35" s="555">
        <f>+A33+1</f>
        <v>16</v>
      </c>
      <c r="B35" s="574" t="s">
        <v>2176</v>
      </c>
      <c r="C35" s="585"/>
      <c r="D35" s="554"/>
      <c r="E35" s="265">
        <f>SUM(E31:E34)</f>
        <v>25772082.550587021</v>
      </c>
      <c r="F35" s="529"/>
      <c r="G35" s="529"/>
      <c r="H35" s="529"/>
      <c r="I35" s="265">
        <v>24444678</v>
      </c>
      <c r="J35" s="554"/>
      <c r="K35" s="566">
        <f>+I35-E35</f>
        <v>-1327404.5505870208</v>
      </c>
      <c r="L35" s="554"/>
      <c r="M35" s="554"/>
      <c r="N35" s="554"/>
      <c r="O35" s="554">
        <v>11</v>
      </c>
      <c r="P35" s="554" t="s">
        <v>2434</v>
      </c>
      <c r="Q35" s="554"/>
      <c r="R35" s="554"/>
      <c r="S35" s="554"/>
      <c r="T35" s="554">
        <v>8063564</v>
      </c>
    </row>
    <row r="36" spans="1:20" ht="15" thickTop="1" x14ac:dyDescent="0.3">
      <c r="A36" s="554"/>
      <c r="B36" s="529"/>
      <c r="C36" s="586"/>
      <c r="D36" s="266"/>
      <c r="E36" s="529"/>
      <c r="F36" s="581"/>
      <c r="G36" s="529"/>
      <c r="H36" s="529"/>
      <c r="I36" s="529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</row>
    <row r="37" spans="1:20" ht="15" thickBot="1" x14ac:dyDescent="0.35">
      <c r="A37" s="555">
        <f>+A35+1</f>
        <v>17</v>
      </c>
      <c r="B37" s="581" t="s">
        <v>2175</v>
      </c>
      <c r="C37" s="586"/>
      <c r="D37" s="266"/>
      <c r="E37" s="265">
        <f>+E27-E35</f>
        <v>43913311.239412971</v>
      </c>
      <c r="F37" s="587"/>
      <c r="G37" s="587"/>
      <c r="H37" s="587"/>
      <c r="I37" s="265">
        <v>41637113.44066681</v>
      </c>
      <c r="J37" s="554"/>
      <c r="K37" s="554"/>
      <c r="L37" s="554"/>
      <c r="M37" s="554"/>
      <c r="N37" s="554"/>
      <c r="O37" s="554">
        <v>12</v>
      </c>
      <c r="P37" s="554" t="s">
        <v>2435</v>
      </c>
      <c r="Q37" s="554"/>
      <c r="R37" s="554"/>
      <c r="S37" s="554"/>
      <c r="T37" s="554">
        <v>16381114</v>
      </c>
    </row>
    <row r="38" spans="1:20" ht="15" thickTop="1" x14ac:dyDescent="0.3">
      <c r="A38" s="555"/>
      <c r="B38" s="554"/>
      <c r="C38" s="554"/>
      <c r="D38" s="554"/>
      <c r="E38" s="554"/>
      <c r="F38" s="554"/>
      <c r="G38" s="554"/>
      <c r="H38" s="554"/>
      <c r="I38" s="554"/>
      <c r="J38" s="554"/>
      <c r="K38" s="554"/>
      <c r="L38" s="554"/>
      <c r="M38" s="554"/>
      <c r="N38" s="554"/>
      <c r="O38" s="554"/>
      <c r="P38" s="554"/>
      <c r="Q38" s="554"/>
      <c r="R38" s="554"/>
      <c r="S38" s="554"/>
      <c r="T38" s="554"/>
    </row>
    <row r="39" spans="1:20" x14ac:dyDescent="0.3">
      <c r="A39" s="587"/>
      <c r="B39" s="587"/>
      <c r="C39" s="587"/>
      <c r="D39" s="587"/>
      <c r="E39" s="587"/>
      <c r="F39" s="587"/>
      <c r="G39" s="587"/>
      <c r="H39" s="587"/>
      <c r="I39" s="587"/>
      <c r="J39" s="554"/>
      <c r="K39" s="554"/>
      <c r="L39" s="554"/>
      <c r="M39" s="554"/>
      <c r="N39" s="554"/>
      <c r="O39" s="554">
        <v>13</v>
      </c>
      <c r="P39" s="554" t="s">
        <v>2176</v>
      </c>
      <c r="Q39" s="554"/>
      <c r="R39" s="554"/>
      <c r="S39" s="554"/>
      <c r="T39" s="554">
        <v>24444678</v>
      </c>
    </row>
    <row r="40" spans="1:20" x14ac:dyDescent="0.3">
      <c r="A40" s="587"/>
      <c r="B40" s="587"/>
      <c r="C40" s="587"/>
      <c r="D40" s="587"/>
      <c r="E40" s="587"/>
      <c r="F40" s="587"/>
      <c r="G40" s="587"/>
      <c r="H40" s="587"/>
      <c r="I40" s="587"/>
      <c r="J40" s="554"/>
      <c r="K40" s="554"/>
      <c r="L40" s="554"/>
      <c r="M40" s="554"/>
      <c r="N40" s="554"/>
      <c r="O40" s="554"/>
      <c r="P40" s="554"/>
      <c r="Q40" s="554"/>
      <c r="R40" s="554"/>
      <c r="S40" s="554"/>
      <c r="T40" s="554"/>
    </row>
    <row r="41" spans="1:20" x14ac:dyDescent="0.3">
      <c r="A41" s="587"/>
      <c r="B41" s="587"/>
      <c r="C41" s="587"/>
      <c r="D41" s="587"/>
      <c r="E41" s="587"/>
      <c r="F41" s="587"/>
      <c r="G41" s="587"/>
      <c r="H41" s="587"/>
      <c r="I41" s="587"/>
      <c r="J41" s="554"/>
      <c r="K41" s="554"/>
      <c r="L41" s="554"/>
      <c r="M41" s="554"/>
      <c r="N41" s="554"/>
      <c r="O41" s="554"/>
      <c r="P41" s="554"/>
      <c r="Q41" s="554"/>
      <c r="R41" s="554"/>
      <c r="S41" s="554"/>
      <c r="T41" s="554"/>
    </row>
    <row r="42" spans="1:20" x14ac:dyDescent="0.3">
      <c r="A42" s="587"/>
      <c r="B42" s="587"/>
      <c r="C42" s="587"/>
      <c r="D42" s="587"/>
      <c r="E42" s="587"/>
      <c r="F42" s="587"/>
      <c r="G42" s="587"/>
      <c r="H42" s="587"/>
      <c r="I42" s="587"/>
      <c r="J42" s="554"/>
      <c r="K42" s="554"/>
      <c r="L42" s="554"/>
      <c r="M42" s="554"/>
      <c r="N42" s="554"/>
      <c r="O42" s="554">
        <v>14</v>
      </c>
      <c r="P42" s="554" t="s">
        <v>2175</v>
      </c>
      <c r="Q42" s="554"/>
      <c r="R42" s="554"/>
      <c r="S42" s="554"/>
      <c r="T42" s="554">
        <v>41637113.44066681</v>
      </c>
    </row>
  </sheetData>
  <mergeCells count="2">
    <mergeCell ref="C5:E5"/>
    <mergeCell ref="G5:I5"/>
  </mergeCells>
  <printOptions horizontalCentered="1"/>
  <pageMargins left="0.5" right="0.5" top="0.5" bottom="0.5" header="0.25" footer="0.25"/>
  <pageSetup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0"/>
  <sheetViews>
    <sheetView zoomScale="85" zoomScaleNormal="85" workbookViewId="0">
      <selection activeCell="B8" sqref="B8"/>
    </sheetView>
  </sheetViews>
  <sheetFormatPr defaultColWidth="9.109375" defaultRowHeight="14.4" x14ac:dyDescent="0.3"/>
  <cols>
    <col min="1" max="1" width="7.109375" style="231" customWidth="1"/>
    <col min="2" max="2" width="49.44140625" style="231" customWidth="1"/>
    <col min="3" max="5" width="13.6640625" style="2" customWidth="1"/>
    <col min="6" max="6" width="10" style="2" customWidth="1"/>
    <col min="7" max="7" width="50" style="2" customWidth="1"/>
    <col min="8" max="10" width="12.6640625" style="2" customWidth="1"/>
    <col min="11" max="11" width="5.33203125" style="2" customWidth="1"/>
    <col min="12" max="12" width="12.6640625" style="2" customWidth="1"/>
    <col min="13" max="13" width="29.33203125" style="230" customWidth="1"/>
    <col min="14" max="14" width="9.109375" style="2"/>
    <col min="15" max="15" width="26.44140625" style="2" bestFit="1" customWidth="1"/>
    <col min="16" max="18" width="10.6640625" style="2" customWidth="1"/>
    <col min="19" max="19" width="5.88671875" style="2" customWidth="1"/>
    <col min="20" max="20" width="45.44140625" style="2" bestFit="1" customWidth="1"/>
    <col min="21" max="21" width="11" style="2" customWidth="1"/>
    <col min="22" max="16384" width="9.109375" style="2"/>
  </cols>
  <sheetData>
    <row r="1" spans="1:25" s="231" customFormat="1" x14ac:dyDescent="0.3">
      <c r="A1" s="487" t="s">
        <v>142</v>
      </c>
      <c r="B1" s="487"/>
      <c r="C1" s="491"/>
      <c r="D1" s="491"/>
      <c r="E1" s="491" t="s">
        <v>2248</v>
      </c>
      <c r="F1" s="487"/>
      <c r="G1" s="493"/>
      <c r="H1" s="493"/>
      <c r="I1" s="526"/>
      <c r="J1" s="493"/>
      <c r="K1" s="493"/>
      <c r="L1" s="487"/>
      <c r="M1" s="491"/>
      <c r="N1" s="487"/>
      <c r="O1" s="487"/>
      <c r="P1" s="487"/>
      <c r="Q1" s="487"/>
      <c r="R1" s="487"/>
      <c r="S1" s="487"/>
      <c r="T1" s="487"/>
      <c r="U1" s="487"/>
      <c r="V1" s="487"/>
      <c r="W1" s="487"/>
      <c r="Y1" s="231" t="s">
        <v>2425</v>
      </c>
    </row>
    <row r="2" spans="1:25" s="231" customFormat="1" x14ac:dyDescent="0.3">
      <c r="A2" s="487" t="s">
        <v>260</v>
      </c>
      <c r="B2" s="487"/>
      <c r="C2" s="491"/>
      <c r="D2" s="491"/>
      <c r="E2" s="491"/>
      <c r="F2" s="491"/>
      <c r="G2" s="493"/>
      <c r="H2" s="493"/>
      <c r="I2" s="526"/>
      <c r="J2" s="493"/>
      <c r="K2" s="493"/>
      <c r="L2" s="487"/>
      <c r="M2" s="491"/>
      <c r="N2" s="487"/>
      <c r="O2" s="487"/>
      <c r="P2" s="487"/>
      <c r="Q2" s="487"/>
      <c r="R2" s="487"/>
      <c r="S2" s="487"/>
      <c r="T2" s="487"/>
      <c r="U2" s="487"/>
      <c r="V2" s="487"/>
      <c r="W2" s="487"/>
      <c r="Y2" s="8" t="s">
        <v>1904</v>
      </c>
    </row>
    <row r="3" spans="1:25" s="231" customFormat="1" x14ac:dyDescent="0.3">
      <c r="A3" s="487" t="s">
        <v>2306</v>
      </c>
      <c r="B3" s="487"/>
      <c r="C3" s="491"/>
      <c r="D3" s="491"/>
      <c r="E3" s="588"/>
      <c r="F3" s="588"/>
      <c r="G3" s="493"/>
      <c r="H3" s="493"/>
      <c r="I3" s="526"/>
      <c r="J3" s="493"/>
      <c r="K3" s="493"/>
      <c r="L3" s="487"/>
      <c r="M3" s="491"/>
      <c r="N3" s="487"/>
      <c r="O3" s="487"/>
      <c r="P3" s="487"/>
      <c r="Q3" s="487"/>
      <c r="R3" s="487"/>
      <c r="S3" s="487"/>
      <c r="T3" s="487"/>
      <c r="U3" s="487"/>
      <c r="V3" s="487"/>
      <c r="W3" s="487"/>
      <c r="Y3" s="8" t="s">
        <v>2430</v>
      </c>
    </row>
    <row r="4" spans="1:25" s="231" customFormat="1" x14ac:dyDescent="0.3">
      <c r="A4" s="487" t="s">
        <v>2247</v>
      </c>
      <c r="B4" s="487"/>
      <c r="C4" s="491"/>
      <c r="D4" s="491"/>
      <c r="E4" s="589"/>
      <c r="F4" s="589"/>
      <c r="G4" s="493"/>
      <c r="H4" s="493"/>
      <c r="I4" s="526"/>
      <c r="J4" s="493"/>
      <c r="K4" s="493"/>
      <c r="L4" s="487"/>
      <c r="M4" s="491"/>
      <c r="N4" s="487"/>
      <c r="O4" s="487"/>
      <c r="P4" s="487"/>
      <c r="Q4" s="487"/>
      <c r="R4" s="487"/>
      <c r="S4" s="487"/>
      <c r="T4" s="487"/>
      <c r="U4" s="487"/>
      <c r="V4" s="487"/>
      <c r="W4" s="487"/>
      <c r="Y4" s="8" t="s">
        <v>1959</v>
      </c>
    </row>
    <row r="5" spans="1:25" s="231" customFormat="1" x14ac:dyDescent="0.3">
      <c r="A5" s="487"/>
      <c r="B5" s="487"/>
      <c r="C5" s="491"/>
      <c r="D5" s="491"/>
      <c r="E5" s="491"/>
      <c r="F5" s="491"/>
      <c r="G5" s="493"/>
      <c r="H5" s="493"/>
      <c r="I5" s="526"/>
      <c r="J5" s="493"/>
      <c r="K5" s="493"/>
      <c r="L5" s="487"/>
      <c r="M5" s="491"/>
      <c r="N5" s="487"/>
      <c r="O5" s="487"/>
      <c r="P5" s="487"/>
      <c r="Q5" s="487"/>
      <c r="R5" s="487"/>
      <c r="S5" s="487"/>
      <c r="T5" s="487"/>
      <c r="U5" s="487"/>
      <c r="V5" s="487"/>
      <c r="W5" s="487"/>
      <c r="Y5" s="8" t="s">
        <v>2428</v>
      </c>
    </row>
    <row r="6" spans="1:25" s="231" customFormat="1" x14ac:dyDescent="0.3">
      <c r="A6" s="491" t="s">
        <v>298</v>
      </c>
      <c r="B6" s="487"/>
      <c r="C6" s="491"/>
      <c r="D6" s="491"/>
      <c r="E6" s="491"/>
      <c r="F6" s="491"/>
      <c r="G6" s="493"/>
      <c r="H6" s="493"/>
      <c r="I6" s="526"/>
      <c r="J6" s="493"/>
      <c r="K6" s="493"/>
      <c r="L6" s="487"/>
      <c r="M6" s="491"/>
      <c r="N6" s="487"/>
      <c r="O6" s="487"/>
      <c r="P6" s="487"/>
      <c r="Q6" s="487"/>
      <c r="R6" s="487"/>
      <c r="S6" s="487"/>
      <c r="T6" s="487"/>
      <c r="U6" s="487"/>
      <c r="V6" s="487"/>
      <c r="W6" s="487"/>
      <c r="Y6" s="485"/>
    </row>
    <row r="7" spans="1:25" s="231" customFormat="1" x14ac:dyDescent="0.3">
      <c r="A7" s="619" t="s">
        <v>2246</v>
      </c>
      <c r="B7" s="487"/>
      <c r="C7" s="619" t="s">
        <v>1953</v>
      </c>
      <c r="D7" s="619" t="s">
        <v>2195</v>
      </c>
      <c r="E7" s="619" t="s">
        <v>2150</v>
      </c>
      <c r="F7" s="590"/>
      <c r="G7" s="493"/>
      <c r="H7" s="493"/>
      <c r="I7" s="493"/>
      <c r="J7" s="493"/>
      <c r="K7" s="493"/>
      <c r="L7" s="487"/>
      <c r="M7" s="491"/>
      <c r="N7" s="487"/>
      <c r="O7" s="487"/>
      <c r="P7" s="487"/>
      <c r="Q7" s="487"/>
      <c r="R7" s="487"/>
      <c r="S7" s="487"/>
      <c r="T7" s="487"/>
      <c r="U7" s="487"/>
      <c r="V7" s="487"/>
      <c r="W7" s="487"/>
      <c r="Y7" s="485"/>
    </row>
    <row r="8" spans="1:25" s="231" customFormat="1" x14ac:dyDescent="0.3">
      <c r="A8" s="487"/>
      <c r="B8" s="487"/>
      <c r="C8" s="491" t="s">
        <v>593</v>
      </c>
      <c r="D8" s="491" t="s">
        <v>594</v>
      </c>
      <c r="E8" s="491" t="s">
        <v>595</v>
      </c>
      <c r="F8" s="491"/>
      <c r="G8" s="493"/>
      <c r="H8" s="493"/>
      <c r="I8" s="493"/>
      <c r="J8" s="493"/>
      <c r="K8" s="493"/>
      <c r="L8" s="487"/>
      <c r="M8" s="491"/>
      <c r="N8" s="487"/>
      <c r="O8" s="487"/>
      <c r="P8" s="487"/>
      <c r="Q8" s="487"/>
      <c r="R8" s="487"/>
      <c r="S8" s="487"/>
      <c r="T8" s="487"/>
      <c r="U8" s="487"/>
      <c r="V8" s="487"/>
      <c r="W8" s="487"/>
    </row>
    <row r="9" spans="1:25" x14ac:dyDescent="0.3">
      <c r="A9" s="487"/>
      <c r="B9" s="487" t="s">
        <v>2245</v>
      </c>
      <c r="C9" s="517"/>
      <c r="D9" s="517"/>
      <c r="E9" s="517"/>
      <c r="F9" s="517"/>
      <c r="G9" s="493"/>
      <c r="H9" s="493"/>
      <c r="I9" s="493"/>
      <c r="J9" s="493"/>
      <c r="K9" s="493"/>
      <c r="L9" s="493"/>
      <c r="M9" s="517"/>
      <c r="N9" s="493"/>
      <c r="O9" s="493"/>
      <c r="P9" s="493"/>
      <c r="Q9" s="493"/>
      <c r="R9" s="493"/>
      <c r="S9" s="493"/>
      <c r="T9" s="493"/>
      <c r="U9" s="493"/>
      <c r="V9" s="493"/>
      <c r="W9" s="493"/>
    </row>
    <row r="10" spans="1:25" x14ac:dyDescent="0.3">
      <c r="A10" s="491">
        <v>1</v>
      </c>
      <c r="B10" s="591" t="s">
        <v>2244</v>
      </c>
      <c r="C10" s="564">
        <v>-2032719.9499999995</v>
      </c>
      <c r="D10" s="299">
        <v>0</v>
      </c>
      <c r="E10" s="564">
        <f>+D10-C10</f>
        <v>2032719.9499999995</v>
      </c>
      <c r="F10" s="592"/>
      <c r="G10" s="493"/>
      <c r="H10" s="493"/>
      <c r="I10" s="493"/>
      <c r="J10" s="493"/>
      <c r="K10" s="493"/>
      <c r="L10" s="493"/>
      <c r="M10" s="517"/>
      <c r="N10" s="493"/>
      <c r="O10" s="493"/>
      <c r="P10" s="493"/>
      <c r="Q10" s="493"/>
      <c r="R10" s="493"/>
      <c r="S10" s="493"/>
      <c r="T10" s="493"/>
      <c r="U10" s="493"/>
      <c r="V10" s="493"/>
      <c r="W10" s="493"/>
    </row>
    <row r="11" spans="1:25" x14ac:dyDescent="0.3">
      <c r="A11" s="491">
        <f>+A10+1</f>
        <v>2</v>
      </c>
      <c r="B11" s="591" t="s">
        <v>2243</v>
      </c>
      <c r="C11" s="559">
        <v>-304442.51</v>
      </c>
      <c r="D11" s="298">
        <v>0</v>
      </c>
      <c r="E11" s="559">
        <f>+D11-C11</f>
        <v>304442.51</v>
      </c>
      <c r="F11" s="593"/>
      <c r="G11" s="493"/>
      <c r="H11" s="493"/>
      <c r="I11" s="493"/>
      <c r="J11" s="493"/>
      <c r="K11" s="493"/>
      <c r="L11" s="493"/>
      <c r="M11" s="517"/>
      <c r="N11" s="493"/>
      <c r="O11" s="493"/>
      <c r="P11" s="493"/>
      <c r="Q11" s="493"/>
      <c r="R11" s="493"/>
      <c r="S11" s="493"/>
      <c r="T11" s="493"/>
      <c r="U11" s="493"/>
      <c r="V11" s="493"/>
      <c r="W11" s="493"/>
    </row>
    <row r="12" spans="1:25" x14ac:dyDescent="0.3">
      <c r="A12" s="491"/>
      <c r="B12" s="594" t="s">
        <v>2242</v>
      </c>
      <c r="C12" s="495"/>
      <c r="D12" s="495"/>
      <c r="E12" s="495"/>
      <c r="F12" s="595"/>
      <c r="G12" s="493"/>
      <c r="H12" s="493"/>
      <c r="I12" s="493"/>
      <c r="J12" s="493"/>
      <c r="K12" s="493"/>
      <c r="L12" s="493"/>
      <c r="M12" s="517"/>
      <c r="N12" s="493"/>
      <c r="O12" s="493"/>
      <c r="P12" s="493"/>
      <c r="Q12" s="493"/>
      <c r="R12" s="493"/>
      <c r="S12" s="493"/>
      <c r="T12" s="493"/>
      <c r="U12" s="493"/>
      <c r="V12" s="493"/>
      <c r="W12" s="493"/>
    </row>
    <row r="13" spans="1:25" ht="15" thickBot="1" x14ac:dyDescent="0.35">
      <c r="A13" s="491">
        <f>+A11+1</f>
        <v>3</v>
      </c>
      <c r="B13" s="596" t="s">
        <v>2213</v>
      </c>
      <c r="C13" s="291">
        <f>SUM(C10:C11)</f>
        <v>-2337162.4599999995</v>
      </c>
      <c r="D13" s="291">
        <f>SUM(D10:D11)</f>
        <v>0</v>
      </c>
      <c r="E13" s="291">
        <f>SUM(E10:E11)</f>
        <v>2337162.4599999995</v>
      </c>
      <c r="F13" s="290"/>
      <c r="G13" s="493"/>
      <c r="H13" s="493"/>
      <c r="I13" s="493"/>
      <c r="J13" s="493"/>
      <c r="K13" s="493"/>
      <c r="L13" s="493"/>
      <c r="M13" s="517"/>
      <c r="N13" s="493"/>
      <c r="O13" s="493"/>
      <c r="P13" s="493"/>
      <c r="Q13" s="493"/>
      <c r="R13" s="493"/>
      <c r="S13" s="493"/>
      <c r="T13" s="493"/>
      <c r="U13" s="493"/>
      <c r="V13" s="493"/>
      <c r="W13" s="493"/>
    </row>
    <row r="14" spans="1:25" x14ac:dyDescent="0.3">
      <c r="A14" s="491"/>
      <c r="B14" s="596"/>
      <c r="C14" s="297"/>
      <c r="D14" s="297"/>
      <c r="E14" s="297"/>
      <c r="F14" s="290"/>
      <c r="G14" s="597"/>
      <c r="H14" s="598"/>
      <c r="I14" s="598"/>
      <c r="J14" s="598"/>
      <c r="K14" s="599"/>
      <c r="L14" s="599" t="s">
        <v>456</v>
      </c>
      <c r="M14" s="600"/>
      <c r="N14" s="493"/>
      <c r="O14" s="601" t="s">
        <v>2241</v>
      </c>
      <c r="P14" s="599"/>
      <c r="Q14" s="599"/>
      <c r="R14" s="599"/>
      <c r="S14" s="599"/>
      <c r="T14" s="602" t="s">
        <v>2240</v>
      </c>
      <c r="U14" s="603"/>
      <c r="V14" s="493"/>
      <c r="W14" s="493"/>
    </row>
    <row r="15" spans="1:25" x14ac:dyDescent="0.3">
      <c r="A15" s="487" t="s">
        <v>2239</v>
      </c>
      <c r="B15" s="604"/>
      <c r="C15" s="289"/>
      <c r="D15" s="289"/>
      <c r="E15" s="289"/>
      <c r="F15" s="288"/>
      <c r="G15" s="605"/>
      <c r="H15" s="606" t="s">
        <v>2238</v>
      </c>
      <c r="I15" s="606" t="s">
        <v>2237</v>
      </c>
      <c r="J15" s="606" t="s">
        <v>2236</v>
      </c>
      <c r="K15" s="497"/>
      <c r="L15" s="497" t="s">
        <v>2235</v>
      </c>
      <c r="M15" s="607" t="s">
        <v>2234</v>
      </c>
      <c r="N15" s="493"/>
      <c r="O15" s="605"/>
      <c r="P15" s="497"/>
      <c r="Q15" s="497"/>
      <c r="R15" s="497"/>
      <c r="S15" s="497"/>
      <c r="T15" s="497"/>
      <c r="U15" s="608"/>
      <c r="V15" s="493"/>
      <c r="W15" s="493"/>
    </row>
    <row r="16" spans="1:25" x14ac:dyDescent="0.3">
      <c r="A16" s="491"/>
      <c r="B16" s="487"/>
      <c r="C16" s="289"/>
      <c r="D16" s="289"/>
      <c r="E16" s="289"/>
      <c r="F16" s="288"/>
      <c r="G16" s="605"/>
      <c r="H16" s="497"/>
      <c r="I16" s="497"/>
      <c r="J16" s="497"/>
      <c r="K16" s="609"/>
      <c r="L16" s="497"/>
      <c r="M16" s="607"/>
      <c r="N16" s="493"/>
      <c r="O16" s="605" t="s">
        <v>2233</v>
      </c>
      <c r="P16" s="610" t="s">
        <v>147</v>
      </c>
      <c r="Q16" s="610" t="s">
        <v>148</v>
      </c>
      <c r="R16" s="610" t="s">
        <v>146</v>
      </c>
      <c r="S16" s="497"/>
      <c r="T16" s="497" t="s">
        <v>2232</v>
      </c>
      <c r="U16" s="608">
        <v>-2042197.79</v>
      </c>
      <c r="V16" s="493"/>
      <c r="W16" s="493"/>
    </row>
    <row r="17" spans="1:23" x14ac:dyDescent="0.3">
      <c r="A17" s="491">
        <f>+A13+1</f>
        <v>4</v>
      </c>
      <c r="B17" s="487" t="s">
        <v>2232</v>
      </c>
      <c r="C17" s="293">
        <f t="shared" ref="C17:C31" si="0">-J17</f>
        <v>89244.34</v>
      </c>
      <c r="D17" s="289">
        <f t="shared" ref="D17:D31" si="1">-L17</f>
        <v>90177.136666666673</v>
      </c>
      <c r="E17" s="289">
        <f t="shared" ref="E17:E31" si="2">+D17-C17</f>
        <v>932.79666666667617</v>
      </c>
      <c r="F17" s="288"/>
      <c r="G17" s="605" t="s">
        <v>2232</v>
      </c>
      <c r="H17" s="285">
        <v>-83220.390000000014</v>
      </c>
      <c r="I17" s="285">
        <v>-98066.68</v>
      </c>
      <c r="J17" s="285">
        <v>-89244.34</v>
      </c>
      <c r="K17" s="296"/>
      <c r="L17" s="285">
        <v>-90177.136666666673</v>
      </c>
      <c r="M17" s="607" t="s">
        <v>2208</v>
      </c>
      <c r="N17" s="493"/>
      <c r="O17" s="605"/>
      <c r="P17" s="497"/>
      <c r="Q17" s="497"/>
      <c r="R17" s="497"/>
      <c r="S17" s="497"/>
      <c r="T17" s="497" t="s">
        <v>2231</v>
      </c>
      <c r="U17" s="608">
        <v>-20223.060000000001</v>
      </c>
      <c r="V17" s="493"/>
      <c r="W17" s="493"/>
    </row>
    <row r="18" spans="1:23" x14ac:dyDescent="0.3">
      <c r="A18" s="491">
        <f t="shared" ref="A18:A31" si="3">+A17+1</f>
        <v>5</v>
      </c>
      <c r="B18" s="487" t="s">
        <v>2229</v>
      </c>
      <c r="C18" s="293">
        <f t="shared" si="0"/>
        <v>5722.5</v>
      </c>
      <c r="D18" s="289">
        <f t="shared" si="1"/>
        <v>5950.833333333333</v>
      </c>
      <c r="E18" s="289">
        <f t="shared" si="2"/>
        <v>228.33333333333303</v>
      </c>
      <c r="F18" s="288"/>
      <c r="G18" s="605" t="s">
        <v>2229</v>
      </c>
      <c r="H18" s="285">
        <v>-5882.5</v>
      </c>
      <c r="I18" s="285">
        <v>-6247.5</v>
      </c>
      <c r="J18" s="285">
        <v>-5722.5</v>
      </c>
      <c r="K18" s="296"/>
      <c r="L18" s="285">
        <v>-5950.833333333333</v>
      </c>
      <c r="M18" s="607" t="s">
        <v>2208</v>
      </c>
      <c r="N18" s="493"/>
      <c r="O18" s="605" t="s">
        <v>248</v>
      </c>
      <c r="P18" s="497">
        <f>-J19-J22-J23-J24-J25-J27</f>
        <v>54150</v>
      </c>
      <c r="Q18" s="497">
        <f>+R18-P18</f>
        <v>555055.90999999992</v>
      </c>
      <c r="R18" s="497">
        <f>-U22-U23-U24-U25-U27-U26</f>
        <v>609205.90999999992</v>
      </c>
      <c r="S18" s="497"/>
      <c r="T18" s="497" t="s">
        <v>2230</v>
      </c>
      <c r="U18" s="608">
        <v>-17095.740000000002</v>
      </c>
      <c r="V18" s="493"/>
      <c r="W18" s="493"/>
    </row>
    <row r="19" spans="1:23" x14ac:dyDescent="0.3">
      <c r="A19" s="491">
        <f t="shared" si="3"/>
        <v>6</v>
      </c>
      <c r="B19" s="487" t="s">
        <v>2221</v>
      </c>
      <c r="C19" s="293">
        <f t="shared" si="0"/>
        <v>1500</v>
      </c>
      <c r="D19" s="289">
        <f t="shared" si="1"/>
        <v>1500</v>
      </c>
      <c r="E19" s="289">
        <f t="shared" si="2"/>
        <v>0</v>
      </c>
      <c r="F19" s="288"/>
      <c r="G19" s="605" t="s">
        <v>2221</v>
      </c>
      <c r="H19" s="285">
        <v>-1850</v>
      </c>
      <c r="I19" s="285">
        <v>-1700</v>
      </c>
      <c r="J19" s="285">
        <v>-1500</v>
      </c>
      <c r="K19" s="296"/>
      <c r="L19" s="285">
        <v>-1500</v>
      </c>
      <c r="M19" s="607" t="s">
        <v>2206</v>
      </c>
      <c r="N19" s="493"/>
      <c r="O19" s="605" t="s">
        <v>249</v>
      </c>
      <c r="P19" s="497">
        <f>-J17</f>
        <v>89244.34</v>
      </c>
      <c r="Q19" s="497">
        <f t="shared" ref="Q19:Q24" si="4">+R19-P19</f>
        <v>1952953.45</v>
      </c>
      <c r="R19" s="497">
        <f>-U16</f>
        <v>2042197.79</v>
      </c>
      <c r="S19" s="497"/>
      <c r="T19" s="497" t="s">
        <v>2229</v>
      </c>
      <c r="U19" s="608">
        <v>-40362.5</v>
      </c>
      <c r="V19" s="493"/>
      <c r="W19" s="493"/>
    </row>
    <row r="20" spans="1:23" x14ac:dyDescent="0.3">
      <c r="A20" s="491">
        <f t="shared" si="3"/>
        <v>7</v>
      </c>
      <c r="B20" s="487" t="s">
        <v>2228</v>
      </c>
      <c r="C20" s="293">
        <f t="shared" si="0"/>
        <v>33220</v>
      </c>
      <c r="D20" s="289">
        <f t="shared" si="1"/>
        <v>33220</v>
      </c>
      <c r="E20" s="289">
        <f t="shared" si="2"/>
        <v>0</v>
      </c>
      <c r="F20" s="288"/>
      <c r="G20" s="605" t="s">
        <v>2228</v>
      </c>
      <c r="H20" s="285">
        <v>-29520</v>
      </c>
      <c r="I20" s="285">
        <v>-32710</v>
      </c>
      <c r="J20" s="285">
        <v>-33220</v>
      </c>
      <c r="K20" s="296"/>
      <c r="L20" s="285">
        <v>-33220</v>
      </c>
      <c r="M20" s="607" t="s">
        <v>2202</v>
      </c>
      <c r="N20" s="493"/>
      <c r="O20" s="605" t="s">
        <v>250</v>
      </c>
      <c r="P20" s="497">
        <f>-J18</f>
        <v>5722.5</v>
      </c>
      <c r="Q20" s="497">
        <f t="shared" si="4"/>
        <v>34640</v>
      </c>
      <c r="R20" s="497">
        <f>-U19</f>
        <v>40362.5</v>
      </c>
      <c r="S20" s="497"/>
      <c r="T20" s="497" t="s">
        <v>2228</v>
      </c>
      <c r="U20" s="608">
        <v>-379750</v>
      </c>
      <c r="V20" s="493"/>
      <c r="W20" s="493"/>
    </row>
    <row r="21" spans="1:23" x14ac:dyDescent="0.3">
      <c r="A21" s="491">
        <f t="shared" si="3"/>
        <v>8</v>
      </c>
      <c r="B21" s="487" t="s">
        <v>2226</v>
      </c>
      <c r="C21" s="293">
        <f t="shared" si="0"/>
        <v>1383</v>
      </c>
      <c r="D21" s="289">
        <f t="shared" si="1"/>
        <v>1383</v>
      </c>
      <c r="E21" s="289">
        <f t="shared" si="2"/>
        <v>0</v>
      </c>
      <c r="F21" s="288"/>
      <c r="G21" s="605" t="s">
        <v>2226</v>
      </c>
      <c r="H21" s="285">
        <v>-373.46</v>
      </c>
      <c r="I21" s="285">
        <v>0</v>
      </c>
      <c r="J21" s="285">
        <v>-1383</v>
      </c>
      <c r="K21" s="296"/>
      <c r="L21" s="285">
        <v>-1383</v>
      </c>
      <c r="M21" s="607" t="s">
        <v>2202</v>
      </c>
      <c r="N21" s="493"/>
      <c r="O21" s="605" t="s">
        <v>2227</v>
      </c>
      <c r="P21" s="497">
        <f>-J26</f>
        <v>11657.5</v>
      </c>
      <c r="Q21" s="497">
        <f t="shared" si="4"/>
        <v>106545</v>
      </c>
      <c r="R21" s="497">
        <f>-U28</f>
        <v>118202.5</v>
      </c>
      <c r="S21" s="497"/>
      <c r="T21" s="497" t="s">
        <v>2226</v>
      </c>
      <c r="U21" s="608">
        <v>-22224.82</v>
      </c>
      <c r="V21" s="493"/>
      <c r="W21" s="493"/>
    </row>
    <row r="22" spans="1:23" x14ac:dyDescent="0.3">
      <c r="A22" s="491">
        <f t="shared" si="3"/>
        <v>9</v>
      </c>
      <c r="B22" s="487" t="s">
        <v>2225</v>
      </c>
      <c r="C22" s="293">
        <f t="shared" si="0"/>
        <v>34700</v>
      </c>
      <c r="D22" s="289">
        <f t="shared" si="1"/>
        <v>34433.333333333336</v>
      </c>
      <c r="E22" s="289">
        <f t="shared" si="2"/>
        <v>-266.66666666666424</v>
      </c>
      <c r="F22" s="288"/>
      <c r="G22" s="605" t="s">
        <v>2225</v>
      </c>
      <c r="H22" s="285">
        <v>-31550</v>
      </c>
      <c r="I22" s="285">
        <v>-37050</v>
      </c>
      <c r="J22" s="285">
        <v>-34700</v>
      </c>
      <c r="K22" s="296"/>
      <c r="L22" s="285">
        <v>-34433.333333333336</v>
      </c>
      <c r="M22" s="607" t="s">
        <v>2208</v>
      </c>
      <c r="N22" s="493"/>
      <c r="O22" s="605" t="s">
        <v>252</v>
      </c>
      <c r="P22" s="497">
        <f>-J20</f>
        <v>33220</v>
      </c>
      <c r="Q22" s="497">
        <f t="shared" si="4"/>
        <v>346530</v>
      </c>
      <c r="R22" s="497">
        <f>-U20</f>
        <v>379750</v>
      </c>
      <c r="S22" s="497"/>
      <c r="T22" s="497" t="s">
        <v>2225</v>
      </c>
      <c r="U22" s="608">
        <v>-37570</v>
      </c>
      <c r="V22" s="493"/>
      <c r="W22" s="493"/>
    </row>
    <row r="23" spans="1:23" x14ac:dyDescent="0.3">
      <c r="A23" s="491">
        <f t="shared" si="3"/>
        <v>10</v>
      </c>
      <c r="B23" s="487" t="s">
        <v>2224</v>
      </c>
      <c r="C23" s="293">
        <f t="shared" si="0"/>
        <v>15900</v>
      </c>
      <c r="D23" s="289">
        <f t="shared" si="1"/>
        <v>15900</v>
      </c>
      <c r="E23" s="289">
        <f t="shared" si="2"/>
        <v>0</v>
      </c>
      <c r="F23" s="288"/>
      <c r="G23" s="605" t="s">
        <v>2224</v>
      </c>
      <c r="H23" s="285">
        <v>-11780</v>
      </c>
      <c r="I23" s="285">
        <v>-13705</v>
      </c>
      <c r="J23" s="285">
        <v>-15900</v>
      </c>
      <c r="K23" s="296"/>
      <c r="L23" s="285">
        <v>-15900</v>
      </c>
      <c r="M23" s="607" t="s">
        <v>2202</v>
      </c>
      <c r="N23" s="493"/>
      <c r="O23" s="605" t="s">
        <v>253</v>
      </c>
      <c r="P23" s="497">
        <f>-J29</f>
        <v>18356.309999999998</v>
      </c>
      <c r="Q23" s="497">
        <f t="shared" si="4"/>
        <v>169005.28</v>
      </c>
      <c r="R23" s="497">
        <f>-U32</f>
        <v>187361.59</v>
      </c>
      <c r="S23" s="497"/>
      <c r="T23" s="497" t="s">
        <v>2224</v>
      </c>
      <c r="U23" s="608">
        <v>-273675.90999999997</v>
      </c>
      <c r="V23" s="493"/>
      <c r="W23" s="493"/>
    </row>
    <row r="24" spans="1:23" x14ac:dyDescent="0.3">
      <c r="A24" s="491">
        <f t="shared" si="3"/>
        <v>11</v>
      </c>
      <c r="B24" s="487" t="s">
        <v>2223</v>
      </c>
      <c r="C24" s="293">
        <f t="shared" si="0"/>
        <v>1200</v>
      </c>
      <c r="D24" s="289">
        <f t="shared" si="1"/>
        <v>1716.6666666666667</v>
      </c>
      <c r="E24" s="289">
        <f t="shared" si="2"/>
        <v>516.66666666666674</v>
      </c>
      <c r="F24" s="288"/>
      <c r="G24" s="605" t="s">
        <v>2223</v>
      </c>
      <c r="H24" s="285">
        <v>-1700</v>
      </c>
      <c r="I24" s="285">
        <v>-2250</v>
      </c>
      <c r="J24" s="285">
        <v>-1200</v>
      </c>
      <c r="K24" s="296"/>
      <c r="L24" s="285">
        <v>-1716.6666666666667</v>
      </c>
      <c r="M24" s="607" t="s">
        <v>2208</v>
      </c>
      <c r="N24" s="493"/>
      <c r="O24" s="605" t="s">
        <v>254</v>
      </c>
      <c r="P24" s="497">
        <f>-J31</f>
        <v>74464.737622999979</v>
      </c>
      <c r="Q24" s="497">
        <f t="shared" si="4"/>
        <v>715230.08237700001</v>
      </c>
      <c r="R24" s="497">
        <f>-U31</f>
        <v>789694.82</v>
      </c>
      <c r="S24" s="497"/>
      <c r="T24" s="497" t="s">
        <v>2223</v>
      </c>
      <c r="U24" s="608">
        <v>-1360</v>
      </c>
      <c r="V24" s="493"/>
      <c r="W24" s="493"/>
    </row>
    <row r="25" spans="1:23" x14ac:dyDescent="0.3">
      <c r="A25" s="491">
        <f t="shared" si="3"/>
        <v>12</v>
      </c>
      <c r="B25" s="487" t="s">
        <v>2222</v>
      </c>
      <c r="C25" s="293">
        <f t="shared" si="0"/>
        <v>550</v>
      </c>
      <c r="D25" s="289">
        <f t="shared" si="1"/>
        <v>550</v>
      </c>
      <c r="E25" s="289">
        <f t="shared" si="2"/>
        <v>0</v>
      </c>
      <c r="F25" s="288"/>
      <c r="G25" s="605" t="s">
        <v>2222</v>
      </c>
      <c r="H25" s="285">
        <v>-1070</v>
      </c>
      <c r="I25" s="285">
        <v>-795</v>
      </c>
      <c r="J25" s="285">
        <v>-550</v>
      </c>
      <c r="K25" s="285"/>
      <c r="L25" s="285">
        <v>-550</v>
      </c>
      <c r="M25" s="607" t="s">
        <v>2206</v>
      </c>
      <c r="N25" s="493"/>
      <c r="O25" s="605" t="s">
        <v>255</v>
      </c>
      <c r="P25" s="500">
        <f>-J21-J30</f>
        <v>1983</v>
      </c>
      <c r="Q25" s="500">
        <f>+R25-P25</f>
        <v>377811.82</v>
      </c>
      <c r="R25" s="500">
        <f>-U29-U30-U33-U34-U35-U38-U39-U21-U17-U18</f>
        <v>379794.82</v>
      </c>
      <c r="S25" s="497"/>
      <c r="T25" s="497" t="s">
        <v>2222</v>
      </c>
      <c r="U25" s="608">
        <v>-9460</v>
      </c>
      <c r="V25" s="493"/>
      <c r="W25" s="493"/>
    </row>
    <row r="26" spans="1:23" x14ac:dyDescent="0.3">
      <c r="A26" s="491">
        <f t="shared" si="3"/>
        <v>13</v>
      </c>
      <c r="B26" s="487" t="s">
        <v>2219</v>
      </c>
      <c r="C26" s="293">
        <f t="shared" si="0"/>
        <v>11657.5</v>
      </c>
      <c r="D26" s="289">
        <f t="shared" si="1"/>
        <v>11657.5</v>
      </c>
      <c r="E26" s="289">
        <f t="shared" si="2"/>
        <v>0</v>
      </c>
      <c r="F26" s="288"/>
      <c r="G26" s="295" t="s">
        <v>2219</v>
      </c>
      <c r="H26" s="294">
        <v>-9900</v>
      </c>
      <c r="I26" s="294">
        <v>-10740</v>
      </c>
      <c r="J26" s="294">
        <v>-11657.5</v>
      </c>
      <c r="K26" s="285"/>
      <c r="L26" s="285">
        <v>-11657.5</v>
      </c>
      <c r="M26" s="607" t="s">
        <v>2202</v>
      </c>
      <c r="N26" s="493"/>
      <c r="O26" s="605"/>
      <c r="P26" s="497">
        <f>SUM(P18:P25)</f>
        <v>288798.38762299996</v>
      </c>
      <c r="Q26" s="497">
        <f>SUM(Q18:Q25)</f>
        <v>4257771.5423769997</v>
      </c>
      <c r="R26" s="497">
        <f>SUM(R18:R25)</f>
        <v>4546569.93</v>
      </c>
      <c r="S26" s="497"/>
      <c r="T26" s="497" t="s">
        <v>2221</v>
      </c>
      <c r="U26" s="608">
        <v>-273340</v>
      </c>
      <c r="V26" s="493"/>
      <c r="W26" s="493"/>
    </row>
    <row r="27" spans="1:23" x14ac:dyDescent="0.3">
      <c r="A27" s="491">
        <f t="shared" si="3"/>
        <v>14</v>
      </c>
      <c r="B27" s="487" t="s">
        <v>2220</v>
      </c>
      <c r="C27" s="293">
        <f t="shared" si="0"/>
        <v>300</v>
      </c>
      <c r="D27" s="289">
        <f t="shared" si="1"/>
        <v>300</v>
      </c>
      <c r="E27" s="289">
        <f t="shared" si="2"/>
        <v>0</v>
      </c>
      <c r="F27" s="288"/>
      <c r="G27" s="605" t="s">
        <v>2220</v>
      </c>
      <c r="H27" s="285">
        <v>-100</v>
      </c>
      <c r="I27" s="285">
        <v>-500</v>
      </c>
      <c r="J27" s="285">
        <v>-300</v>
      </c>
      <c r="K27" s="285"/>
      <c r="L27" s="285">
        <v>-300</v>
      </c>
      <c r="M27" s="607" t="s">
        <v>2208</v>
      </c>
      <c r="N27" s="493"/>
      <c r="O27" s="605"/>
      <c r="P27" s="497"/>
      <c r="Q27" s="497"/>
      <c r="R27" s="497"/>
      <c r="S27" s="497"/>
      <c r="T27" s="497" t="s">
        <v>2220</v>
      </c>
      <c r="U27" s="608">
        <v>-13800</v>
      </c>
      <c r="V27" s="493"/>
      <c r="W27" s="493"/>
    </row>
    <row r="28" spans="1:23" x14ac:dyDescent="0.3">
      <c r="A28" s="491">
        <f t="shared" si="3"/>
        <v>15</v>
      </c>
      <c r="B28" s="487" t="s">
        <v>2218</v>
      </c>
      <c r="C28" s="293">
        <f t="shared" si="0"/>
        <v>0</v>
      </c>
      <c r="D28" s="289">
        <f t="shared" si="1"/>
        <v>-7.666666666666667</v>
      </c>
      <c r="E28" s="289">
        <f t="shared" si="2"/>
        <v>-7.666666666666667</v>
      </c>
      <c r="F28" s="288"/>
      <c r="G28" s="605" t="s">
        <v>2218</v>
      </c>
      <c r="H28" s="285">
        <v>30</v>
      </c>
      <c r="I28" s="285">
        <v>-7</v>
      </c>
      <c r="J28" s="285">
        <v>0</v>
      </c>
      <c r="K28" s="285"/>
      <c r="L28" s="285">
        <v>7.666666666666667</v>
      </c>
      <c r="M28" s="607" t="s">
        <v>2208</v>
      </c>
      <c r="N28" s="493"/>
      <c r="O28" s="605"/>
      <c r="P28" s="497"/>
      <c r="Q28" s="497"/>
      <c r="R28" s="497"/>
      <c r="S28" s="497"/>
      <c r="T28" s="497" t="s">
        <v>2219</v>
      </c>
      <c r="U28" s="608">
        <v>-118202.5</v>
      </c>
      <c r="V28" s="493"/>
      <c r="W28" s="493"/>
    </row>
    <row r="29" spans="1:23" x14ac:dyDescent="0.3">
      <c r="A29" s="491">
        <f t="shared" si="3"/>
        <v>16</v>
      </c>
      <c r="B29" s="487" t="s">
        <v>2214</v>
      </c>
      <c r="C29" s="293">
        <f t="shared" si="0"/>
        <v>18356.309999999998</v>
      </c>
      <c r="D29" s="289">
        <f t="shared" si="1"/>
        <v>19364.513333333332</v>
      </c>
      <c r="E29" s="289">
        <f t="shared" si="2"/>
        <v>1008.2033333333347</v>
      </c>
      <c r="F29" s="288"/>
      <c r="G29" s="605" t="s">
        <v>2214</v>
      </c>
      <c r="H29" s="285">
        <v>-19525.349999999999</v>
      </c>
      <c r="I29" s="285">
        <v>-20211.88</v>
      </c>
      <c r="J29" s="285">
        <v>-18356.309999999998</v>
      </c>
      <c r="K29" s="285"/>
      <c r="L29" s="285">
        <v>-19364.513333333332</v>
      </c>
      <c r="M29" s="607" t="s">
        <v>2208</v>
      </c>
      <c r="N29" s="493"/>
      <c r="O29" s="605"/>
      <c r="P29" s="497"/>
      <c r="Q29" s="497"/>
      <c r="R29" s="497"/>
      <c r="S29" s="497"/>
      <c r="T29" s="497" t="s">
        <v>2218</v>
      </c>
      <c r="U29" s="608">
        <v>-12080</v>
      </c>
      <c r="V29" s="493"/>
      <c r="W29" s="493"/>
    </row>
    <row r="30" spans="1:23" x14ac:dyDescent="0.3">
      <c r="A30" s="491">
        <f t="shared" si="3"/>
        <v>17</v>
      </c>
      <c r="B30" s="487" t="s">
        <v>2211</v>
      </c>
      <c r="C30" s="292">
        <f t="shared" si="0"/>
        <v>600</v>
      </c>
      <c r="D30" s="289">
        <f t="shared" si="1"/>
        <v>1369.88</v>
      </c>
      <c r="E30" s="289">
        <f t="shared" si="2"/>
        <v>769.88000000000011</v>
      </c>
      <c r="F30" s="288"/>
      <c r="G30" s="605" t="s">
        <v>2211</v>
      </c>
      <c r="H30" s="285">
        <v>-1595.92</v>
      </c>
      <c r="I30" s="285">
        <v>-1913.72</v>
      </c>
      <c r="J30" s="285">
        <v>-600</v>
      </c>
      <c r="K30" s="285"/>
      <c r="L30" s="285">
        <v>-1369.88</v>
      </c>
      <c r="M30" s="607" t="s">
        <v>2208</v>
      </c>
      <c r="N30" s="493"/>
      <c r="O30" s="605"/>
      <c r="P30" s="497"/>
      <c r="Q30" s="497"/>
      <c r="R30" s="497"/>
      <c r="S30" s="497"/>
      <c r="T30" s="497" t="s">
        <v>2217</v>
      </c>
      <c r="U30" s="608">
        <v>-184961.34</v>
      </c>
      <c r="V30" s="493"/>
      <c r="W30" s="493"/>
    </row>
    <row r="31" spans="1:23" x14ac:dyDescent="0.3">
      <c r="A31" s="491">
        <f t="shared" si="3"/>
        <v>18</v>
      </c>
      <c r="B31" s="487" t="s">
        <v>2200</v>
      </c>
      <c r="C31" s="323">
        <f t="shared" si="0"/>
        <v>74464.737622999979</v>
      </c>
      <c r="D31" s="291">
        <f t="shared" si="1"/>
        <v>21689.164049999996</v>
      </c>
      <c r="E31" s="291">
        <f t="shared" si="2"/>
        <v>-52775.573572999987</v>
      </c>
      <c r="F31" s="290"/>
      <c r="G31" s="605" t="s">
        <v>2200</v>
      </c>
      <c r="H31" s="225">
        <v>-42609.246992999993</v>
      </c>
      <c r="I31" s="225">
        <v>-31855.490629999993</v>
      </c>
      <c r="J31" s="225">
        <v>-74464.737622999979</v>
      </c>
      <c r="K31" s="285"/>
      <c r="L31" s="225">
        <v>-21689.164049999996</v>
      </c>
      <c r="M31" s="607" t="s">
        <v>2216</v>
      </c>
      <c r="N31" s="493"/>
      <c r="O31" s="605"/>
      <c r="P31" s="497"/>
      <c r="Q31" s="497"/>
      <c r="R31" s="497"/>
      <c r="S31" s="497"/>
      <c r="T31" s="497" t="s">
        <v>2200</v>
      </c>
      <c r="U31" s="608">
        <v>-789694.82</v>
      </c>
      <c r="V31" s="493"/>
      <c r="W31" s="493"/>
    </row>
    <row r="32" spans="1:23" x14ac:dyDescent="0.3">
      <c r="A32" s="487"/>
      <c r="B32" s="487"/>
      <c r="C32" s="495"/>
      <c r="D32" s="495"/>
      <c r="E32" s="495"/>
      <c r="F32" s="493"/>
      <c r="G32" s="605" t="s">
        <v>2215</v>
      </c>
      <c r="H32" s="285">
        <v>-240646.86699300003</v>
      </c>
      <c r="I32" s="285">
        <v>-257752.27062999998</v>
      </c>
      <c r="J32" s="285">
        <v>-288798.38762299996</v>
      </c>
      <c r="K32" s="285"/>
      <c r="L32" s="285">
        <v>-239204.36071666668</v>
      </c>
      <c r="M32" s="607"/>
      <c r="N32" s="493"/>
      <c r="O32" s="605"/>
      <c r="P32" s="497"/>
      <c r="Q32" s="497"/>
      <c r="R32" s="497"/>
      <c r="S32" s="497"/>
      <c r="T32" s="497" t="s">
        <v>2214</v>
      </c>
      <c r="U32" s="608">
        <v>-187361.59</v>
      </c>
      <c r="V32" s="493"/>
      <c r="W32" s="493"/>
    </row>
    <row r="33" spans="1:23" x14ac:dyDescent="0.3">
      <c r="A33" s="491">
        <f>+A25+1</f>
        <v>13</v>
      </c>
      <c r="B33" s="596" t="s">
        <v>2213</v>
      </c>
      <c r="C33" s="291">
        <f>SUM(C17:C32)</f>
        <v>288798.38762299996</v>
      </c>
      <c r="D33" s="291">
        <f>SUM(D17:D32)</f>
        <v>239204.36071666668</v>
      </c>
      <c r="E33" s="291">
        <f>SUM(E17:E32)</f>
        <v>-49594.026906333311</v>
      </c>
      <c r="F33" s="290"/>
      <c r="G33" s="605"/>
      <c r="H33" s="285"/>
      <c r="I33" s="285"/>
      <c r="J33" s="285"/>
      <c r="K33" s="285"/>
      <c r="L33" s="285"/>
      <c r="M33" s="607"/>
      <c r="N33" s="493"/>
      <c r="O33" s="605"/>
      <c r="P33" s="497"/>
      <c r="Q33" s="497"/>
      <c r="R33" s="497"/>
      <c r="S33" s="497"/>
      <c r="T33" s="497" t="s">
        <v>2212</v>
      </c>
      <c r="U33" s="608">
        <v>-229.76</v>
      </c>
      <c r="V33" s="493"/>
      <c r="W33" s="493"/>
    </row>
    <row r="34" spans="1:23" x14ac:dyDescent="0.3">
      <c r="A34" s="491"/>
      <c r="B34" s="487"/>
      <c r="C34" s="289"/>
      <c r="D34" s="289"/>
      <c r="E34" s="289"/>
      <c r="F34" s="288"/>
      <c r="G34" s="605"/>
      <c r="H34" s="285"/>
      <c r="I34" s="285"/>
      <c r="J34" s="285"/>
      <c r="K34" s="285"/>
      <c r="L34" s="285"/>
      <c r="M34" s="607"/>
      <c r="N34" s="493"/>
      <c r="O34" s="605"/>
      <c r="P34" s="497"/>
      <c r="Q34" s="497"/>
      <c r="R34" s="497"/>
      <c r="S34" s="497"/>
      <c r="T34" s="497" t="s">
        <v>2211</v>
      </c>
      <c r="U34" s="608">
        <v>-59926.400000000001</v>
      </c>
      <c r="V34" s="493"/>
      <c r="W34" s="493"/>
    </row>
    <row r="35" spans="1:23" ht="15" thickBot="1" x14ac:dyDescent="0.35">
      <c r="A35" s="491">
        <f>+A33+1</f>
        <v>14</v>
      </c>
      <c r="B35" s="596" t="s">
        <v>432</v>
      </c>
      <c r="C35" s="287">
        <f>C33+C13</f>
        <v>-2048364.0723769995</v>
      </c>
      <c r="D35" s="287">
        <f>D33+D13</f>
        <v>239204.36071666668</v>
      </c>
      <c r="E35" s="287">
        <f>E33+E13</f>
        <v>2287568.4330936661</v>
      </c>
      <c r="F35" s="286"/>
      <c r="G35" s="605"/>
      <c r="H35" s="285"/>
      <c r="I35" s="285"/>
      <c r="J35" s="285"/>
      <c r="K35" s="285"/>
      <c r="L35" s="285"/>
      <c r="M35" s="607"/>
      <c r="N35" s="493"/>
      <c r="O35" s="605"/>
      <c r="P35" s="497"/>
      <c r="Q35" s="497"/>
      <c r="R35" s="497"/>
      <c r="S35" s="497"/>
      <c r="T35" s="497" t="s">
        <v>2210</v>
      </c>
      <c r="U35" s="608">
        <v>-58651</v>
      </c>
      <c r="V35" s="493"/>
      <c r="W35" s="493"/>
    </row>
    <row r="36" spans="1:23" ht="15" thickTop="1" x14ac:dyDescent="0.3">
      <c r="A36" s="487"/>
      <c r="B36" s="487"/>
      <c r="C36" s="522"/>
      <c r="D36" s="522"/>
      <c r="E36" s="522"/>
      <c r="F36" s="522"/>
      <c r="G36" s="605" t="s">
        <v>2200</v>
      </c>
      <c r="H36" s="285">
        <v>-248845.84</v>
      </c>
      <c r="I36" s="285">
        <v>-178952.27</v>
      </c>
      <c r="J36" s="285">
        <v>-78180.579999999987</v>
      </c>
      <c r="K36" s="285"/>
      <c r="L36" s="285">
        <v>-78180.579999999987</v>
      </c>
      <c r="M36" s="607" t="s">
        <v>2206</v>
      </c>
      <c r="N36" s="493"/>
      <c r="O36" s="605"/>
      <c r="P36" s="497"/>
      <c r="Q36" s="497"/>
      <c r="R36" s="497"/>
      <c r="S36" s="497"/>
      <c r="T36" s="497" t="s">
        <v>2209</v>
      </c>
      <c r="U36" s="608"/>
      <c r="V36" s="493"/>
      <c r="W36" s="493"/>
    </row>
    <row r="37" spans="1:23" x14ac:dyDescent="0.3">
      <c r="A37" s="487"/>
      <c r="B37" s="487"/>
      <c r="C37" s="522"/>
      <c r="D37" s="522"/>
      <c r="E37" s="522"/>
      <c r="F37" s="522"/>
      <c r="G37" s="605" t="s">
        <v>2200</v>
      </c>
      <c r="H37" s="285">
        <v>-81529.490000000005</v>
      </c>
      <c r="I37" s="285">
        <v>-55493.030000000013</v>
      </c>
      <c r="J37" s="285">
        <v>-59702.240000000013</v>
      </c>
      <c r="K37" s="285"/>
      <c r="L37" s="285">
        <v>-65574.920000000013</v>
      </c>
      <c r="M37" s="607" t="s">
        <v>2208</v>
      </c>
      <c r="N37" s="493"/>
      <c r="O37" s="605"/>
      <c r="P37" s="497"/>
      <c r="Q37" s="497"/>
      <c r="R37" s="497"/>
      <c r="S37" s="497"/>
      <c r="T37" s="497" t="s">
        <v>2207</v>
      </c>
      <c r="U37" s="608"/>
      <c r="V37" s="493"/>
      <c r="W37" s="493"/>
    </row>
    <row r="38" spans="1:23" x14ac:dyDescent="0.3">
      <c r="A38" s="487"/>
      <c r="B38" s="487"/>
      <c r="C38" s="493"/>
      <c r="D38" s="493"/>
      <c r="E38" s="493"/>
      <c r="F38" s="493"/>
      <c r="G38" s="605" t="s">
        <v>2200</v>
      </c>
      <c r="H38" s="285">
        <v>-1931.25</v>
      </c>
      <c r="I38" s="285">
        <v>0</v>
      </c>
      <c r="J38" s="285">
        <v>0</v>
      </c>
      <c r="K38" s="285"/>
      <c r="L38" s="285">
        <v>0</v>
      </c>
      <c r="M38" s="607" t="s">
        <v>2206</v>
      </c>
      <c r="N38" s="493"/>
      <c r="O38" s="605"/>
      <c r="P38" s="497"/>
      <c r="Q38" s="497"/>
      <c r="R38" s="497"/>
      <c r="S38" s="497"/>
      <c r="T38" s="497" t="s">
        <v>2205</v>
      </c>
      <c r="U38" s="608">
        <v>-1376</v>
      </c>
      <c r="V38" s="493"/>
      <c r="W38" s="493"/>
    </row>
    <row r="39" spans="1:23" x14ac:dyDescent="0.3">
      <c r="A39" s="487"/>
      <c r="B39" s="487"/>
      <c r="C39" s="611"/>
      <c r="D39" s="493"/>
      <c r="E39" s="493"/>
      <c r="F39" s="493"/>
      <c r="G39" s="605" t="s">
        <v>2200</v>
      </c>
      <c r="H39" s="285">
        <v>-42000</v>
      </c>
      <c r="I39" s="285">
        <v>-42000</v>
      </c>
      <c r="J39" s="285">
        <v>-42000</v>
      </c>
      <c r="K39" s="285"/>
      <c r="L39" s="285">
        <v>-42000</v>
      </c>
      <c r="M39" s="607" t="s">
        <v>2204</v>
      </c>
      <c r="N39" s="493"/>
      <c r="O39" s="605"/>
      <c r="P39" s="497"/>
      <c r="Q39" s="497"/>
      <c r="R39" s="497"/>
      <c r="S39" s="497"/>
      <c r="T39" s="497" t="s">
        <v>2203</v>
      </c>
      <c r="U39" s="612">
        <v>-3026.7</v>
      </c>
      <c r="V39" s="493"/>
      <c r="W39" s="493"/>
    </row>
    <row r="40" spans="1:23" ht="15" thickBot="1" x14ac:dyDescent="0.35">
      <c r="A40" s="487"/>
      <c r="B40" s="487"/>
      <c r="C40" s="493"/>
      <c r="D40" s="493"/>
      <c r="E40" s="493"/>
      <c r="F40" s="493"/>
      <c r="G40" s="605" t="s">
        <v>2200</v>
      </c>
      <c r="H40" s="285">
        <v>-5793.75</v>
      </c>
      <c r="I40" s="285">
        <v>-7725</v>
      </c>
      <c r="J40" s="285">
        <v>-7725</v>
      </c>
      <c r="K40" s="285"/>
      <c r="L40" s="285">
        <v>-7725</v>
      </c>
      <c r="M40" s="607" t="s">
        <v>2202</v>
      </c>
      <c r="N40" s="493"/>
      <c r="O40" s="613"/>
      <c r="P40" s="614"/>
      <c r="Q40" s="614"/>
      <c r="R40" s="614"/>
      <c r="S40" s="614"/>
      <c r="T40" s="614" t="s">
        <v>2201</v>
      </c>
      <c r="U40" s="615">
        <v>-4546569.93</v>
      </c>
      <c r="V40" s="493"/>
      <c r="W40" s="493" t="s">
        <v>2426</v>
      </c>
    </row>
    <row r="41" spans="1:23" x14ac:dyDescent="0.3">
      <c r="A41" s="487"/>
      <c r="B41" s="487"/>
      <c r="C41" s="493"/>
      <c r="D41" s="493"/>
      <c r="E41" s="493"/>
      <c r="F41" s="493"/>
      <c r="G41" s="605" t="s">
        <v>2200</v>
      </c>
      <c r="H41" s="225">
        <v>0</v>
      </c>
      <c r="I41" s="225">
        <v>0</v>
      </c>
      <c r="J41" s="225">
        <v>-600000</v>
      </c>
      <c r="K41" s="285"/>
      <c r="L41" s="225">
        <v>0</v>
      </c>
      <c r="M41" s="607" t="s">
        <v>2199</v>
      </c>
      <c r="N41" s="493"/>
      <c r="O41" s="493"/>
      <c r="P41" s="493"/>
      <c r="Q41" s="493"/>
      <c r="R41" s="493"/>
      <c r="S41" s="493"/>
      <c r="T41" s="493"/>
      <c r="U41" s="493"/>
      <c r="V41" s="493"/>
      <c r="W41" s="493"/>
    </row>
    <row r="42" spans="1:23" x14ac:dyDescent="0.3">
      <c r="A42" s="487"/>
      <c r="B42" s="487"/>
      <c r="C42" s="522"/>
      <c r="D42" s="522"/>
      <c r="E42" s="522"/>
      <c r="F42" s="522"/>
      <c r="G42" s="605"/>
      <c r="H42" s="285">
        <v>-380100.33</v>
      </c>
      <c r="I42" s="285">
        <v>-284170.3</v>
      </c>
      <c r="J42" s="285">
        <v>-664270.63</v>
      </c>
      <c r="K42" s="285"/>
      <c r="L42" s="285">
        <v>-193480.5</v>
      </c>
      <c r="M42" s="607"/>
      <c r="N42" s="493"/>
      <c r="O42" s="493"/>
      <c r="P42" s="493"/>
      <c r="Q42" s="493"/>
      <c r="R42" s="493"/>
      <c r="S42" s="493"/>
      <c r="T42" s="493"/>
      <c r="U42" s="493"/>
      <c r="V42" s="493"/>
      <c r="W42" s="493"/>
    </row>
    <row r="43" spans="1:23" x14ac:dyDescent="0.3">
      <c r="A43" s="487"/>
      <c r="B43" s="487"/>
      <c r="C43" s="522"/>
      <c r="D43" s="522"/>
      <c r="E43" s="522"/>
      <c r="F43" s="522"/>
      <c r="G43" s="605"/>
      <c r="H43" s="285"/>
      <c r="I43" s="285"/>
      <c r="J43" s="285"/>
      <c r="K43" s="285"/>
      <c r="L43" s="285"/>
      <c r="M43" s="607"/>
      <c r="N43" s="493"/>
      <c r="O43" s="493"/>
      <c r="P43" s="493"/>
      <c r="Q43" s="493"/>
      <c r="R43" s="493"/>
      <c r="S43" s="493"/>
      <c r="T43" s="493"/>
      <c r="U43" s="493"/>
      <c r="V43" s="493"/>
      <c r="W43" s="493"/>
    </row>
    <row r="44" spans="1:23" x14ac:dyDescent="0.3">
      <c r="A44" s="487"/>
      <c r="B44" s="487"/>
      <c r="C44" s="522"/>
      <c r="D44" s="522"/>
      <c r="E44" s="522"/>
      <c r="F44" s="522"/>
      <c r="G44" s="605"/>
      <c r="H44" s="284">
        <v>0.11209999999999998</v>
      </c>
      <c r="I44" s="284">
        <v>0.11209999999999998</v>
      </c>
      <c r="J44" s="284">
        <v>0.11209999999999998</v>
      </c>
      <c r="K44" s="284"/>
      <c r="L44" s="284">
        <v>0.11209999999999998</v>
      </c>
      <c r="M44" s="607" t="s">
        <v>2198</v>
      </c>
      <c r="N44" s="493"/>
      <c r="O44" s="493"/>
      <c r="P44" s="493"/>
      <c r="Q44" s="493"/>
      <c r="R44" s="493"/>
      <c r="S44" s="493"/>
      <c r="T44" s="493"/>
      <c r="U44" s="493"/>
      <c r="V44" s="493"/>
      <c r="W44" s="493"/>
    </row>
    <row r="45" spans="1:23" ht="15" thickBot="1" x14ac:dyDescent="0.35">
      <c r="A45" s="487"/>
      <c r="B45" s="487"/>
      <c r="C45" s="522"/>
      <c r="D45" s="522"/>
      <c r="E45" s="522"/>
      <c r="F45" s="522"/>
      <c r="G45" s="613"/>
      <c r="H45" s="283">
        <v>-42609.246992999993</v>
      </c>
      <c r="I45" s="283">
        <v>-31855.490629999993</v>
      </c>
      <c r="J45" s="283">
        <v>-74464.737622999979</v>
      </c>
      <c r="K45" s="283"/>
      <c r="L45" s="283">
        <v>-21689.164049999996</v>
      </c>
      <c r="M45" s="616"/>
      <c r="N45" s="493"/>
      <c r="O45" s="493"/>
      <c r="P45" s="493"/>
      <c r="Q45" s="493"/>
      <c r="R45" s="493"/>
      <c r="S45" s="493"/>
      <c r="T45" s="493"/>
      <c r="U45" s="493"/>
      <c r="V45" s="493"/>
      <c r="W45" s="493"/>
    </row>
    <row r="46" spans="1:23" x14ac:dyDescent="0.3">
      <c r="A46" s="487"/>
      <c r="B46" s="487"/>
      <c r="C46" s="522"/>
      <c r="D46" s="522"/>
      <c r="E46" s="522"/>
      <c r="F46" s="522"/>
      <c r="G46" s="493"/>
      <c r="H46" s="493"/>
      <c r="I46" s="493"/>
      <c r="J46" s="493"/>
      <c r="K46" s="493"/>
      <c r="L46" s="493"/>
      <c r="M46" s="517"/>
      <c r="N46" s="493"/>
      <c r="O46" s="493"/>
      <c r="P46" s="493"/>
      <c r="Q46" s="493"/>
      <c r="R46" s="493"/>
      <c r="S46" s="493"/>
      <c r="T46" s="493"/>
      <c r="U46" s="493"/>
      <c r="V46" s="493"/>
      <c r="W46" s="493"/>
    </row>
    <row r="47" spans="1:23" x14ac:dyDescent="0.3">
      <c r="A47" s="487"/>
      <c r="B47" s="487"/>
      <c r="C47" s="522"/>
      <c r="D47" s="522"/>
      <c r="E47" s="522"/>
      <c r="F47" s="522"/>
      <c r="G47" s="493"/>
      <c r="H47" s="493"/>
      <c r="I47" s="493"/>
      <c r="J47" s="493"/>
      <c r="K47" s="493"/>
      <c r="L47" s="493"/>
      <c r="M47" s="517"/>
      <c r="N47" s="493"/>
      <c r="O47" s="493"/>
      <c r="P47" s="493"/>
      <c r="Q47" s="493"/>
      <c r="R47" s="493"/>
      <c r="S47" s="493"/>
      <c r="T47" s="493"/>
      <c r="U47" s="493"/>
      <c r="V47" s="493"/>
      <c r="W47" s="493"/>
    </row>
    <row r="48" spans="1:23" x14ac:dyDescent="0.3">
      <c r="A48" s="487"/>
      <c r="B48" s="487"/>
      <c r="C48" s="522"/>
      <c r="D48" s="522"/>
      <c r="E48" s="522"/>
      <c r="F48" s="522"/>
      <c r="G48" s="493"/>
      <c r="H48" s="493"/>
      <c r="I48" s="493"/>
      <c r="J48" s="493"/>
      <c r="K48" s="493"/>
      <c r="L48" s="493"/>
      <c r="M48" s="517"/>
      <c r="N48" s="493"/>
      <c r="O48" s="493"/>
      <c r="P48" s="493"/>
      <c r="Q48" s="493"/>
      <c r="R48" s="493"/>
      <c r="S48" s="493"/>
      <c r="T48" s="493"/>
      <c r="U48" s="493"/>
      <c r="V48" s="493"/>
      <c r="W48" s="493"/>
    </row>
    <row r="49" spans="1:23" x14ac:dyDescent="0.3">
      <c r="A49" s="487"/>
      <c r="B49" s="487"/>
      <c r="C49" s="522"/>
      <c r="D49" s="522"/>
      <c r="E49" s="522"/>
      <c r="F49" s="522"/>
      <c r="G49" s="493"/>
      <c r="H49" s="493"/>
      <c r="I49" s="493"/>
      <c r="J49" s="493"/>
      <c r="K49" s="493"/>
      <c r="L49" s="493"/>
      <c r="M49" s="517"/>
      <c r="N49" s="493"/>
      <c r="O49" s="493"/>
      <c r="P49" s="493"/>
      <c r="Q49" s="493"/>
      <c r="R49" s="493"/>
      <c r="S49" s="493"/>
      <c r="T49" s="493"/>
      <c r="U49" s="493"/>
      <c r="V49" s="493"/>
      <c r="W49" s="493"/>
    </row>
    <row r="50" spans="1:23" x14ac:dyDescent="0.3">
      <c r="A50" s="487"/>
      <c r="B50" s="487"/>
      <c r="C50" s="522"/>
      <c r="D50" s="522"/>
      <c r="E50" s="522"/>
      <c r="F50" s="522"/>
      <c r="G50" s="493"/>
      <c r="H50" s="493"/>
      <c r="I50" s="493"/>
      <c r="J50" s="493"/>
      <c r="K50" s="493"/>
      <c r="L50" s="493"/>
      <c r="M50" s="517"/>
      <c r="N50" s="493"/>
      <c r="O50" s="493"/>
      <c r="P50" s="493"/>
      <c r="Q50" s="493"/>
      <c r="R50" s="493"/>
      <c r="S50" s="493"/>
      <c r="T50" s="493"/>
      <c r="U50" s="493"/>
      <c r="V50" s="493"/>
      <c r="W50" s="493"/>
    </row>
    <row r="51" spans="1:23" x14ac:dyDescent="0.3">
      <c r="A51" s="487"/>
      <c r="B51" s="487"/>
      <c r="C51" s="522"/>
      <c r="D51" s="522"/>
      <c r="E51" s="522"/>
      <c r="F51" s="522"/>
      <c r="G51" s="493"/>
      <c r="H51" s="493"/>
      <c r="I51" s="493"/>
      <c r="J51" s="493"/>
      <c r="K51" s="493"/>
      <c r="L51" s="493"/>
      <c r="M51" s="517"/>
      <c r="N51" s="493"/>
      <c r="O51" s="493"/>
      <c r="P51" s="493"/>
      <c r="Q51" s="493"/>
      <c r="R51" s="493"/>
      <c r="S51" s="493"/>
      <c r="T51" s="493"/>
      <c r="U51" s="493"/>
      <c r="V51" s="493"/>
      <c r="W51" s="493"/>
    </row>
    <row r="52" spans="1:23" x14ac:dyDescent="0.3">
      <c r="A52" s="487"/>
      <c r="B52" s="487"/>
      <c r="C52" s="522"/>
      <c r="D52" s="522"/>
      <c r="E52" s="522"/>
      <c r="F52" s="522"/>
      <c r="G52" s="493"/>
      <c r="H52" s="493"/>
      <c r="I52" s="493"/>
      <c r="J52" s="493"/>
      <c r="K52" s="493"/>
      <c r="L52" s="493"/>
      <c r="M52" s="517"/>
      <c r="N52" s="493"/>
      <c r="O52" s="493"/>
      <c r="P52" s="493"/>
      <c r="Q52" s="493"/>
      <c r="R52" s="493"/>
      <c r="S52" s="493"/>
      <c r="T52" s="493"/>
      <c r="U52" s="493"/>
      <c r="V52" s="493"/>
      <c r="W52" s="493"/>
    </row>
    <row r="53" spans="1:23" x14ac:dyDescent="0.3">
      <c r="A53" s="487"/>
      <c r="B53" s="487"/>
      <c r="C53" s="522"/>
      <c r="D53" s="522"/>
      <c r="E53" s="522"/>
      <c r="F53" s="522"/>
      <c r="G53" s="493"/>
      <c r="H53" s="493"/>
      <c r="I53" s="493"/>
      <c r="J53" s="493"/>
      <c r="K53" s="493"/>
      <c r="L53" s="493"/>
      <c r="M53" s="517"/>
      <c r="N53" s="493"/>
      <c r="O53" s="493"/>
      <c r="P53" s="493"/>
      <c r="Q53" s="493"/>
      <c r="R53" s="493"/>
      <c r="S53" s="493"/>
      <c r="T53" s="493"/>
      <c r="U53" s="493"/>
      <c r="V53" s="493"/>
      <c r="W53" s="493"/>
    </row>
    <row r="54" spans="1:23" x14ac:dyDescent="0.3">
      <c r="A54" s="487"/>
      <c r="B54" s="487"/>
      <c r="C54" s="522"/>
      <c r="D54" s="522"/>
      <c r="E54" s="522"/>
      <c r="F54" s="522"/>
      <c r="G54" s="493"/>
      <c r="H54" s="493"/>
      <c r="I54" s="493"/>
      <c r="J54" s="493"/>
      <c r="K54" s="493"/>
      <c r="L54" s="493"/>
      <c r="M54" s="517"/>
      <c r="N54" s="493"/>
      <c r="O54" s="493"/>
      <c r="P54" s="493"/>
      <c r="Q54" s="493"/>
      <c r="R54" s="493"/>
      <c r="S54" s="493"/>
      <c r="T54" s="493"/>
      <c r="U54" s="493"/>
      <c r="V54" s="493"/>
      <c r="W54" s="493"/>
    </row>
    <row r="55" spans="1:23" x14ac:dyDescent="0.3">
      <c r="A55" s="487"/>
      <c r="B55" s="487"/>
      <c r="C55" s="522"/>
      <c r="D55" s="522"/>
      <c r="E55" s="522"/>
      <c r="F55" s="522"/>
      <c r="G55" s="493"/>
      <c r="H55" s="493"/>
      <c r="I55" s="493"/>
      <c r="J55" s="493"/>
      <c r="K55" s="493"/>
      <c r="L55" s="493"/>
      <c r="M55" s="517"/>
      <c r="N55" s="493"/>
      <c r="O55" s="493"/>
      <c r="P55" s="493"/>
      <c r="Q55" s="493"/>
      <c r="R55" s="493"/>
      <c r="S55" s="493"/>
      <c r="T55" s="493"/>
      <c r="U55" s="493"/>
      <c r="V55" s="493"/>
      <c r="W55" s="493"/>
    </row>
    <row r="56" spans="1:23" x14ac:dyDescent="0.3">
      <c r="A56" s="487"/>
      <c r="B56" s="487"/>
      <c r="C56" s="522"/>
      <c r="D56" s="522"/>
      <c r="E56" s="522"/>
      <c r="F56" s="522"/>
      <c r="G56" s="493"/>
      <c r="H56" s="493"/>
      <c r="I56" s="493"/>
      <c r="J56" s="493"/>
      <c r="K56" s="493"/>
      <c r="L56" s="493"/>
      <c r="M56" s="517"/>
      <c r="N56" s="493"/>
      <c r="O56" s="493"/>
      <c r="P56" s="493"/>
      <c r="Q56" s="493"/>
      <c r="R56" s="493"/>
      <c r="S56" s="493"/>
      <c r="T56" s="493"/>
      <c r="U56" s="493"/>
      <c r="V56" s="493"/>
      <c r="W56" s="493"/>
    </row>
    <row r="57" spans="1:23" x14ac:dyDescent="0.3">
      <c r="A57" s="487"/>
      <c r="B57" s="487"/>
      <c r="C57" s="522"/>
      <c r="D57" s="522"/>
      <c r="E57" s="522"/>
      <c r="F57" s="522"/>
      <c r="G57" s="493"/>
      <c r="H57" s="493"/>
      <c r="I57" s="493"/>
      <c r="J57" s="493"/>
      <c r="K57" s="493"/>
      <c r="L57" s="493"/>
      <c r="M57" s="517"/>
      <c r="N57" s="493"/>
      <c r="O57" s="493"/>
      <c r="P57" s="493"/>
      <c r="Q57" s="493"/>
      <c r="R57" s="493"/>
      <c r="S57" s="493"/>
      <c r="T57" s="493"/>
      <c r="U57" s="493"/>
      <c r="V57" s="493"/>
      <c r="W57" s="493"/>
    </row>
    <row r="58" spans="1:23" x14ac:dyDescent="0.3">
      <c r="A58" s="487"/>
      <c r="B58" s="487"/>
      <c r="C58" s="522"/>
      <c r="D58" s="522"/>
      <c r="E58" s="522"/>
      <c r="F58" s="522"/>
      <c r="G58" s="493"/>
      <c r="H58" s="493"/>
      <c r="I58" s="493"/>
      <c r="J58" s="493"/>
      <c r="K58" s="493"/>
      <c r="L58" s="493"/>
      <c r="M58" s="517"/>
      <c r="N58" s="493"/>
      <c r="O58" s="493"/>
      <c r="P58" s="493"/>
      <c r="Q58" s="493"/>
      <c r="R58" s="493"/>
      <c r="S58" s="493"/>
      <c r="T58" s="493"/>
      <c r="U58" s="493"/>
      <c r="V58" s="493"/>
      <c r="W58" s="493"/>
    </row>
    <row r="59" spans="1:23" x14ac:dyDescent="0.3">
      <c r="A59" s="487"/>
      <c r="B59" s="487"/>
      <c r="C59" s="522"/>
      <c r="D59" s="522"/>
      <c r="E59" s="522"/>
      <c r="F59" s="522"/>
      <c r="G59" s="493"/>
      <c r="H59" s="493"/>
      <c r="I59" s="493"/>
      <c r="J59" s="493"/>
      <c r="K59" s="493"/>
      <c r="L59" s="493"/>
      <c r="M59" s="517"/>
      <c r="N59" s="493"/>
      <c r="O59" s="493"/>
      <c r="P59" s="493"/>
      <c r="Q59" s="493"/>
      <c r="R59" s="493"/>
      <c r="S59" s="493"/>
      <c r="T59" s="493"/>
      <c r="U59" s="493"/>
      <c r="V59" s="493"/>
      <c r="W59" s="493"/>
    </row>
    <row r="60" spans="1:23" x14ac:dyDescent="0.3">
      <c r="A60" s="487"/>
      <c r="B60" s="487"/>
      <c r="C60" s="522"/>
      <c r="D60" s="522"/>
      <c r="E60" s="522"/>
      <c r="F60" s="522"/>
      <c r="G60" s="493"/>
      <c r="H60" s="493"/>
      <c r="I60" s="493"/>
      <c r="J60" s="493"/>
      <c r="K60" s="493"/>
      <c r="L60" s="493"/>
      <c r="M60" s="517"/>
      <c r="N60" s="493"/>
      <c r="O60" s="493"/>
      <c r="P60" s="493"/>
      <c r="Q60" s="493"/>
      <c r="R60" s="493"/>
      <c r="S60" s="493"/>
      <c r="T60" s="493"/>
      <c r="U60" s="493"/>
      <c r="V60" s="493"/>
      <c r="W60" s="493"/>
    </row>
    <row r="61" spans="1:23" x14ac:dyDescent="0.3">
      <c r="A61" s="487"/>
      <c r="B61" s="487"/>
      <c r="C61" s="522"/>
      <c r="D61" s="522"/>
      <c r="E61" s="522"/>
      <c r="F61" s="522"/>
      <c r="G61" s="493"/>
      <c r="H61" s="493"/>
      <c r="I61" s="493"/>
      <c r="J61" s="493"/>
      <c r="K61" s="493"/>
      <c r="L61" s="493"/>
      <c r="M61" s="517"/>
      <c r="N61" s="493"/>
      <c r="O61" s="493"/>
      <c r="P61" s="493"/>
      <c r="Q61" s="493"/>
      <c r="R61" s="493"/>
      <c r="S61" s="493"/>
      <c r="T61" s="493"/>
      <c r="U61" s="493"/>
      <c r="V61" s="493"/>
      <c r="W61" s="493"/>
    </row>
    <row r="62" spans="1:23" x14ac:dyDescent="0.3">
      <c r="A62" s="487"/>
      <c r="B62" s="487"/>
      <c r="C62" s="522"/>
      <c r="D62" s="522"/>
      <c r="E62" s="522"/>
      <c r="F62" s="522"/>
      <c r="G62" s="493"/>
      <c r="H62" s="493"/>
      <c r="I62" s="493"/>
      <c r="J62" s="493"/>
      <c r="K62" s="493"/>
      <c r="L62" s="493"/>
      <c r="M62" s="517"/>
      <c r="N62" s="493"/>
      <c r="O62" s="493"/>
      <c r="P62" s="493"/>
      <c r="Q62" s="493"/>
      <c r="R62" s="493"/>
      <c r="S62" s="493"/>
      <c r="T62" s="493"/>
      <c r="U62" s="493"/>
      <c r="V62" s="493"/>
      <c r="W62" s="493"/>
    </row>
    <row r="63" spans="1:23" x14ac:dyDescent="0.3">
      <c r="A63" s="487"/>
      <c r="B63" s="487"/>
      <c r="C63" s="522"/>
      <c r="D63" s="522"/>
      <c r="E63" s="522"/>
      <c r="F63" s="522"/>
      <c r="G63" s="493"/>
      <c r="H63" s="493"/>
      <c r="I63" s="493"/>
      <c r="J63" s="493"/>
      <c r="K63" s="493"/>
      <c r="L63" s="493"/>
      <c r="M63" s="517"/>
      <c r="N63" s="493"/>
      <c r="O63" s="493"/>
      <c r="P63" s="493"/>
      <c r="Q63" s="493"/>
      <c r="R63" s="493"/>
      <c r="S63" s="493"/>
      <c r="T63" s="493"/>
      <c r="U63" s="493"/>
      <c r="V63" s="493"/>
      <c r="W63" s="493"/>
    </row>
    <row r="64" spans="1:23" x14ac:dyDescent="0.3">
      <c r="A64" s="487"/>
      <c r="B64" s="487"/>
      <c r="C64" s="522"/>
      <c r="D64" s="522"/>
      <c r="E64" s="522"/>
      <c r="F64" s="522"/>
      <c r="G64" s="493"/>
      <c r="H64" s="493"/>
      <c r="I64" s="493"/>
      <c r="J64" s="493"/>
      <c r="K64" s="493"/>
      <c r="L64" s="493"/>
      <c r="M64" s="517"/>
      <c r="N64" s="493"/>
      <c r="O64" s="493"/>
      <c r="P64" s="493"/>
      <c r="Q64" s="493"/>
      <c r="R64" s="493"/>
      <c r="S64" s="493"/>
      <c r="T64" s="493"/>
      <c r="U64" s="493"/>
      <c r="V64" s="493"/>
      <c r="W64" s="493"/>
    </row>
    <row r="65" spans="1:23" x14ac:dyDescent="0.3">
      <c r="A65" s="487"/>
      <c r="B65" s="487"/>
      <c r="C65" s="522"/>
      <c r="D65" s="522"/>
      <c r="E65" s="522"/>
      <c r="F65" s="522"/>
      <c r="G65" s="493"/>
      <c r="H65" s="493"/>
      <c r="I65" s="493"/>
      <c r="J65" s="493"/>
      <c r="K65" s="493"/>
      <c r="L65" s="493"/>
      <c r="M65" s="517"/>
      <c r="N65" s="493"/>
      <c r="O65" s="493"/>
      <c r="P65" s="493"/>
      <c r="Q65" s="493"/>
      <c r="R65" s="493"/>
      <c r="S65" s="493"/>
      <c r="T65" s="493"/>
      <c r="U65" s="493"/>
      <c r="V65" s="493"/>
      <c r="W65" s="493"/>
    </row>
    <row r="66" spans="1:23" x14ac:dyDescent="0.3">
      <c r="A66" s="487"/>
      <c r="B66" s="487"/>
      <c r="C66" s="522"/>
      <c r="D66" s="522"/>
      <c r="E66" s="522"/>
      <c r="F66" s="522"/>
      <c r="G66" s="493"/>
      <c r="H66" s="493"/>
      <c r="I66" s="493"/>
      <c r="J66" s="493"/>
      <c r="K66" s="493"/>
      <c r="L66" s="493"/>
      <c r="M66" s="517"/>
      <c r="N66" s="493"/>
      <c r="O66" s="493"/>
      <c r="P66" s="493"/>
      <c r="Q66" s="493"/>
      <c r="R66" s="493"/>
      <c r="S66" s="493"/>
      <c r="T66" s="493"/>
      <c r="U66" s="493"/>
      <c r="V66" s="493"/>
      <c r="W66" s="493"/>
    </row>
    <row r="67" spans="1:23" x14ac:dyDescent="0.3">
      <c r="A67" s="487"/>
      <c r="B67" s="487"/>
      <c r="C67" s="522"/>
      <c r="D67" s="522"/>
      <c r="E67" s="522"/>
      <c r="F67" s="522"/>
      <c r="G67" s="493"/>
      <c r="H67" s="493"/>
      <c r="I67" s="493"/>
      <c r="J67" s="493"/>
      <c r="K67" s="493"/>
      <c r="L67" s="493"/>
      <c r="M67" s="517"/>
      <c r="N67" s="493"/>
      <c r="O67" s="493"/>
      <c r="P67" s="493"/>
      <c r="Q67" s="493"/>
      <c r="R67" s="493"/>
      <c r="S67" s="493"/>
      <c r="T67" s="493"/>
      <c r="U67" s="493"/>
      <c r="V67" s="493"/>
      <c r="W67" s="493"/>
    </row>
    <row r="68" spans="1:23" x14ac:dyDescent="0.3">
      <c r="A68" s="487"/>
      <c r="B68" s="487"/>
      <c r="C68" s="522"/>
      <c r="D68" s="522"/>
      <c r="E68" s="522"/>
      <c r="F68" s="522"/>
      <c r="G68" s="493"/>
      <c r="H68" s="493"/>
      <c r="I68" s="493"/>
      <c r="J68" s="493"/>
      <c r="K68" s="493"/>
      <c r="L68" s="493"/>
      <c r="M68" s="517"/>
      <c r="N68" s="493"/>
      <c r="O68" s="493"/>
      <c r="P68" s="493"/>
      <c r="Q68" s="493"/>
      <c r="R68" s="493"/>
      <c r="S68" s="493"/>
      <c r="T68" s="493"/>
      <c r="U68" s="493"/>
      <c r="V68" s="493"/>
      <c r="W68" s="493"/>
    </row>
    <row r="69" spans="1:23" x14ac:dyDescent="0.3">
      <c r="A69" s="487"/>
      <c r="B69" s="487"/>
      <c r="C69" s="522"/>
      <c r="D69" s="522"/>
      <c r="E69" s="522"/>
      <c r="F69" s="522"/>
      <c r="G69" s="493"/>
      <c r="H69" s="493"/>
      <c r="I69" s="493"/>
      <c r="J69" s="493"/>
      <c r="K69" s="493"/>
      <c r="L69" s="493"/>
      <c r="M69" s="517"/>
      <c r="N69" s="493"/>
      <c r="O69" s="493"/>
      <c r="P69" s="493"/>
      <c r="Q69" s="493"/>
      <c r="R69" s="493"/>
      <c r="S69" s="493"/>
      <c r="T69" s="493"/>
      <c r="U69" s="493"/>
      <c r="V69" s="493"/>
      <c r="W69" s="493"/>
    </row>
    <row r="70" spans="1:23" x14ac:dyDescent="0.3">
      <c r="A70" s="487"/>
      <c r="B70" s="487"/>
      <c r="C70" s="522"/>
      <c r="D70" s="522"/>
      <c r="E70" s="522"/>
      <c r="F70" s="522"/>
      <c r="G70" s="493"/>
      <c r="H70" s="493"/>
      <c r="I70" s="493"/>
      <c r="J70" s="493"/>
      <c r="K70" s="493"/>
      <c r="L70" s="493"/>
      <c r="M70" s="517"/>
      <c r="N70" s="493"/>
      <c r="O70" s="493"/>
      <c r="P70" s="493"/>
      <c r="Q70" s="493"/>
      <c r="R70" s="493"/>
      <c r="S70" s="493"/>
      <c r="T70" s="493"/>
      <c r="U70" s="493"/>
      <c r="V70" s="493"/>
      <c r="W70" s="493"/>
    </row>
    <row r="71" spans="1:23" x14ac:dyDescent="0.3">
      <c r="A71" s="487"/>
      <c r="B71" s="487"/>
      <c r="C71" s="522"/>
      <c r="D71" s="522"/>
      <c r="E71" s="522"/>
      <c r="F71" s="522"/>
      <c r="G71" s="493"/>
      <c r="H71" s="493"/>
      <c r="I71" s="493"/>
      <c r="J71" s="493"/>
      <c r="K71" s="493"/>
      <c r="L71" s="493"/>
      <c r="M71" s="517"/>
      <c r="N71" s="493"/>
      <c r="O71" s="493"/>
      <c r="P71" s="493"/>
      <c r="Q71" s="493"/>
      <c r="R71" s="493"/>
      <c r="S71" s="493"/>
      <c r="T71" s="493"/>
      <c r="U71" s="493"/>
      <c r="V71" s="493"/>
      <c r="W71" s="493"/>
    </row>
    <row r="72" spans="1:23" x14ac:dyDescent="0.3">
      <c r="A72" s="487"/>
      <c r="B72" s="487"/>
      <c r="C72" s="522"/>
      <c r="D72" s="522"/>
      <c r="E72" s="522"/>
      <c r="F72" s="522"/>
      <c r="G72" s="493"/>
      <c r="H72" s="493"/>
      <c r="I72" s="493"/>
      <c r="J72" s="493"/>
      <c r="K72" s="493"/>
      <c r="L72" s="493"/>
      <c r="M72" s="517"/>
      <c r="N72" s="493"/>
      <c r="O72" s="493"/>
      <c r="P72" s="493"/>
      <c r="Q72" s="493"/>
      <c r="R72" s="493"/>
      <c r="S72" s="493"/>
      <c r="T72" s="493"/>
      <c r="U72" s="493"/>
      <c r="V72" s="493"/>
      <c r="W72" s="493"/>
    </row>
    <row r="73" spans="1:23" x14ac:dyDescent="0.3">
      <c r="A73" s="487"/>
      <c r="B73" s="487"/>
      <c r="C73" s="522"/>
      <c r="D73" s="522"/>
      <c r="E73" s="522"/>
      <c r="F73" s="522"/>
      <c r="G73" s="493"/>
      <c r="H73" s="493"/>
      <c r="I73" s="493"/>
      <c r="J73" s="493"/>
      <c r="K73" s="493"/>
      <c r="L73" s="493"/>
      <c r="M73" s="517"/>
      <c r="N73" s="493"/>
      <c r="O73" s="493"/>
      <c r="P73" s="493"/>
      <c r="Q73" s="493"/>
      <c r="R73" s="493"/>
      <c r="S73" s="493"/>
      <c r="T73" s="493"/>
      <c r="U73" s="493"/>
      <c r="V73" s="493"/>
      <c r="W73" s="493"/>
    </row>
    <row r="74" spans="1:23" x14ac:dyDescent="0.3">
      <c r="A74" s="487"/>
      <c r="B74" s="487"/>
      <c r="C74" s="522"/>
      <c r="D74" s="522"/>
      <c r="E74" s="522"/>
      <c r="F74" s="522"/>
      <c r="G74" s="493"/>
      <c r="H74" s="493"/>
      <c r="I74" s="493"/>
      <c r="J74" s="493"/>
      <c r="K74" s="493"/>
      <c r="L74" s="493"/>
      <c r="M74" s="517"/>
      <c r="N74" s="493"/>
      <c r="O74" s="493"/>
      <c r="P74" s="493"/>
      <c r="Q74" s="493"/>
      <c r="R74" s="493"/>
      <c r="S74" s="493"/>
      <c r="T74" s="493"/>
      <c r="U74" s="493"/>
      <c r="V74" s="493"/>
      <c r="W74" s="493"/>
    </row>
    <row r="75" spans="1:23" x14ac:dyDescent="0.3">
      <c r="A75" s="487"/>
      <c r="B75" s="487"/>
      <c r="C75" s="522"/>
      <c r="D75" s="522"/>
      <c r="E75" s="522"/>
      <c r="F75" s="522"/>
      <c r="G75" s="493"/>
      <c r="H75" s="493"/>
      <c r="I75" s="493"/>
      <c r="J75" s="493"/>
      <c r="K75" s="493"/>
      <c r="L75" s="493"/>
      <c r="M75" s="517"/>
      <c r="N75" s="493"/>
      <c r="O75" s="493"/>
      <c r="P75" s="493"/>
      <c r="Q75" s="493"/>
      <c r="R75" s="493"/>
      <c r="S75" s="493"/>
      <c r="T75" s="493"/>
      <c r="U75" s="493"/>
      <c r="V75" s="493"/>
      <c r="W75" s="493"/>
    </row>
    <row r="76" spans="1:23" x14ac:dyDescent="0.3">
      <c r="A76" s="487"/>
      <c r="B76" s="487"/>
      <c r="C76" s="522"/>
      <c r="D76" s="522"/>
      <c r="E76" s="522"/>
      <c r="F76" s="522"/>
      <c r="G76" s="493"/>
      <c r="H76" s="493"/>
      <c r="I76" s="493"/>
      <c r="J76" s="493"/>
      <c r="K76" s="493"/>
      <c r="L76" s="493"/>
      <c r="M76" s="517"/>
      <c r="N76" s="493"/>
      <c r="O76" s="493"/>
      <c r="P76" s="493"/>
      <c r="Q76" s="493"/>
      <c r="R76" s="493"/>
      <c r="S76" s="493"/>
      <c r="T76" s="493"/>
      <c r="U76" s="493"/>
      <c r="V76" s="493"/>
      <c r="W76" s="493"/>
    </row>
    <row r="77" spans="1:23" x14ac:dyDescent="0.3">
      <c r="A77" s="487"/>
      <c r="B77" s="487"/>
      <c r="C77" s="522"/>
      <c r="D77" s="522"/>
      <c r="E77" s="522"/>
      <c r="F77" s="522"/>
      <c r="G77" s="493"/>
      <c r="H77" s="493"/>
      <c r="I77" s="493"/>
      <c r="J77" s="493"/>
      <c r="K77" s="493"/>
      <c r="L77" s="493"/>
      <c r="M77" s="517"/>
      <c r="N77" s="493"/>
      <c r="O77" s="493"/>
      <c r="P77" s="493"/>
      <c r="Q77" s="493"/>
      <c r="R77" s="493"/>
      <c r="S77" s="493"/>
      <c r="T77" s="493"/>
      <c r="U77" s="493"/>
      <c r="V77" s="493"/>
      <c r="W77" s="493"/>
    </row>
    <row r="78" spans="1:23" x14ac:dyDescent="0.3">
      <c r="A78" s="487"/>
      <c r="B78" s="487"/>
      <c r="C78" s="522"/>
      <c r="D78" s="522"/>
      <c r="E78" s="522"/>
      <c r="F78" s="522"/>
      <c r="G78" s="493"/>
      <c r="H78" s="493"/>
      <c r="I78" s="493"/>
      <c r="J78" s="493"/>
      <c r="K78" s="493"/>
      <c r="L78" s="493"/>
      <c r="M78" s="517"/>
      <c r="N78" s="493"/>
      <c r="O78" s="493"/>
      <c r="P78" s="493"/>
      <c r="Q78" s="493"/>
      <c r="R78" s="493"/>
      <c r="S78" s="493"/>
      <c r="T78" s="493"/>
      <c r="U78" s="493"/>
      <c r="V78" s="493"/>
      <c r="W78" s="493"/>
    </row>
    <row r="79" spans="1:23" x14ac:dyDescent="0.3">
      <c r="A79" s="487"/>
      <c r="B79" s="487"/>
      <c r="C79" s="522"/>
      <c r="D79" s="522"/>
      <c r="E79" s="522"/>
      <c r="F79" s="522"/>
      <c r="G79" s="493"/>
      <c r="H79" s="493"/>
      <c r="I79" s="493"/>
      <c r="J79" s="493"/>
      <c r="K79" s="493"/>
      <c r="L79" s="493"/>
      <c r="M79" s="517"/>
      <c r="N79" s="493"/>
      <c r="O79" s="493"/>
      <c r="P79" s="493"/>
      <c r="Q79" s="493"/>
      <c r="R79" s="493"/>
      <c r="S79" s="493"/>
      <c r="T79" s="493"/>
      <c r="U79" s="493"/>
      <c r="V79" s="493"/>
      <c r="W79" s="493"/>
    </row>
    <row r="80" spans="1:23" x14ac:dyDescent="0.3">
      <c r="A80" s="487"/>
      <c r="B80" s="487"/>
      <c r="C80" s="522"/>
      <c r="D80" s="522"/>
      <c r="E80" s="522"/>
      <c r="F80" s="522"/>
      <c r="G80" s="493"/>
      <c r="H80" s="493"/>
      <c r="I80" s="493"/>
      <c r="J80" s="493"/>
      <c r="K80" s="493"/>
      <c r="L80" s="493"/>
      <c r="M80" s="517"/>
      <c r="N80" s="493"/>
      <c r="O80" s="493"/>
      <c r="P80" s="493"/>
      <c r="Q80" s="493"/>
      <c r="R80" s="493"/>
      <c r="S80" s="493"/>
      <c r="T80" s="493"/>
      <c r="U80" s="493"/>
      <c r="V80" s="493"/>
      <c r="W80" s="493"/>
    </row>
    <row r="81" spans="1:23" x14ac:dyDescent="0.3">
      <c r="A81" s="487"/>
      <c r="B81" s="487"/>
      <c r="C81" s="522"/>
      <c r="D81" s="522"/>
      <c r="E81" s="522"/>
      <c r="F81" s="522"/>
      <c r="G81" s="493"/>
      <c r="H81" s="493"/>
      <c r="I81" s="493"/>
      <c r="J81" s="493"/>
      <c r="K81" s="493"/>
      <c r="L81" s="493"/>
      <c r="M81" s="517"/>
      <c r="N81" s="493"/>
      <c r="O81" s="493"/>
      <c r="P81" s="493"/>
      <c r="Q81" s="493"/>
      <c r="R81" s="493"/>
      <c r="S81" s="493"/>
      <c r="T81" s="493"/>
      <c r="U81" s="493"/>
      <c r="V81" s="493"/>
      <c r="W81" s="493"/>
    </row>
    <row r="82" spans="1:23" x14ac:dyDescent="0.3">
      <c r="A82" s="487"/>
      <c r="B82" s="487"/>
      <c r="C82" s="522"/>
      <c r="D82" s="522"/>
      <c r="E82" s="522"/>
      <c r="F82" s="522"/>
      <c r="G82" s="493"/>
      <c r="H82" s="493"/>
      <c r="I82" s="493"/>
      <c r="J82" s="493"/>
      <c r="K82" s="493"/>
      <c r="L82" s="493"/>
      <c r="M82" s="517"/>
      <c r="N82" s="493"/>
      <c r="O82" s="493"/>
      <c r="P82" s="493"/>
      <c r="Q82" s="493"/>
      <c r="R82" s="493"/>
      <c r="S82" s="493"/>
      <c r="T82" s="493"/>
      <c r="U82" s="493"/>
      <c r="V82" s="493"/>
      <c r="W82" s="493"/>
    </row>
    <row r="83" spans="1:23" x14ac:dyDescent="0.3">
      <c r="A83" s="487"/>
      <c r="B83" s="487"/>
      <c r="C83" s="522"/>
      <c r="D83" s="522"/>
      <c r="E83" s="522"/>
      <c r="F83" s="522"/>
      <c r="G83" s="493"/>
      <c r="H83" s="493"/>
      <c r="I83" s="493"/>
      <c r="J83" s="493"/>
      <c r="K83" s="493"/>
      <c r="L83" s="493"/>
      <c r="M83" s="517"/>
      <c r="N83" s="493"/>
      <c r="O83" s="493"/>
      <c r="P83" s="493"/>
      <c r="Q83" s="493"/>
      <c r="R83" s="493"/>
      <c r="S83" s="493"/>
      <c r="T83" s="493"/>
      <c r="U83" s="493"/>
      <c r="V83" s="493"/>
      <c r="W83" s="493"/>
    </row>
    <row r="84" spans="1:23" x14ac:dyDescent="0.3">
      <c r="A84" s="487"/>
      <c r="B84" s="487"/>
      <c r="C84" s="522"/>
      <c r="D84" s="522"/>
      <c r="E84" s="522"/>
      <c r="F84" s="522"/>
      <c r="G84" s="493"/>
      <c r="H84" s="493"/>
      <c r="I84" s="493"/>
      <c r="J84" s="493"/>
      <c r="K84" s="493"/>
      <c r="L84" s="493"/>
      <c r="M84" s="517"/>
      <c r="N84" s="493"/>
      <c r="O84" s="493"/>
      <c r="P84" s="493"/>
      <c r="Q84" s="493"/>
      <c r="R84" s="493"/>
      <c r="S84" s="493"/>
      <c r="T84" s="493"/>
      <c r="U84" s="493"/>
      <c r="V84" s="493"/>
      <c r="W84" s="493"/>
    </row>
    <row r="85" spans="1:23" x14ac:dyDescent="0.3">
      <c r="A85" s="487"/>
      <c r="B85" s="487"/>
      <c r="C85" s="522"/>
      <c r="D85" s="522"/>
      <c r="E85" s="522"/>
      <c r="F85" s="522"/>
      <c r="G85" s="493"/>
      <c r="H85" s="493"/>
      <c r="I85" s="493"/>
      <c r="J85" s="493"/>
      <c r="K85" s="493"/>
      <c r="L85" s="493"/>
      <c r="M85" s="517"/>
      <c r="N85" s="493"/>
      <c r="O85" s="493"/>
      <c r="P85" s="493"/>
      <c r="Q85" s="493"/>
      <c r="R85" s="493"/>
      <c r="S85" s="493"/>
      <c r="T85" s="493"/>
      <c r="U85" s="493"/>
      <c r="V85" s="493"/>
      <c r="W85" s="493"/>
    </row>
    <row r="86" spans="1:23" x14ac:dyDescent="0.3">
      <c r="A86" s="487"/>
      <c r="B86" s="487"/>
      <c r="C86" s="522"/>
      <c r="D86" s="522"/>
      <c r="E86" s="522"/>
      <c r="F86" s="522"/>
      <c r="G86" s="493"/>
      <c r="H86" s="493"/>
      <c r="I86" s="493"/>
      <c r="J86" s="493"/>
      <c r="K86" s="493"/>
      <c r="L86" s="493"/>
      <c r="M86" s="517"/>
      <c r="N86" s="493"/>
      <c r="O86" s="493"/>
      <c r="P86" s="493"/>
      <c r="Q86" s="493"/>
      <c r="R86" s="493"/>
      <c r="S86" s="493"/>
      <c r="T86" s="493"/>
      <c r="U86" s="493"/>
      <c r="V86" s="493"/>
      <c r="W86" s="493"/>
    </row>
    <row r="87" spans="1:23" x14ac:dyDescent="0.3">
      <c r="A87" s="487"/>
      <c r="B87" s="487"/>
      <c r="C87" s="522"/>
      <c r="D87" s="522"/>
      <c r="E87" s="522"/>
      <c r="F87" s="522"/>
      <c r="G87" s="493"/>
      <c r="H87" s="493"/>
      <c r="I87" s="493"/>
      <c r="J87" s="493"/>
      <c r="K87" s="493"/>
      <c r="L87" s="493"/>
      <c r="M87" s="517"/>
      <c r="N87" s="493"/>
      <c r="O87" s="493"/>
      <c r="P87" s="493"/>
      <c r="Q87" s="493"/>
      <c r="R87" s="493"/>
      <c r="S87" s="493"/>
      <c r="T87" s="493"/>
      <c r="U87" s="493"/>
      <c r="V87" s="493"/>
      <c r="W87" s="493"/>
    </row>
    <row r="88" spans="1:23" x14ac:dyDescent="0.3">
      <c r="A88" s="487"/>
      <c r="B88" s="487"/>
      <c r="C88" s="522"/>
      <c r="D88" s="522"/>
      <c r="E88" s="522"/>
      <c r="F88" s="522"/>
      <c r="G88" s="493"/>
      <c r="H88" s="493"/>
      <c r="I88" s="493"/>
      <c r="J88" s="493"/>
      <c r="K88" s="493"/>
      <c r="L88" s="493"/>
      <c r="M88" s="517"/>
      <c r="N88" s="493"/>
      <c r="O88" s="493"/>
      <c r="P88" s="493"/>
      <c r="Q88" s="493"/>
      <c r="R88" s="493"/>
      <c r="S88" s="493"/>
      <c r="T88" s="493"/>
      <c r="U88" s="493"/>
      <c r="V88" s="493"/>
      <c r="W88" s="493"/>
    </row>
    <row r="89" spans="1:23" x14ac:dyDescent="0.3">
      <c r="A89" s="487"/>
      <c r="B89" s="487"/>
      <c r="C89" s="522"/>
      <c r="D89" s="522"/>
      <c r="E89" s="522"/>
      <c r="F89" s="522"/>
      <c r="G89" s="493"/>
      <c r="H89" s="493"/>
      <c r="I89" s="493"/>
      <c r="J89" s="493"/>
      <c r="K89" s="493"/>
      <c r="L89" s="493"/>
      <c r="M89" s="517"/>
      <c r="N89" s="493"/>
      <c r="O89" s="493"/>
      <c r="P89" s="493"/>
      <c r="Q89" s="493"/>
      <c r="R89" s="493"/>
      <c r="S89" s="493"/>
      <c r="T89" s="493"/>
      <c r="U89" s="493"/>
      <c r="V89" s="493"/>
      <c r="W89" s="493"/>
    </row>
    <row r="90" spans="1:23" x14ac:dyDescent="0.3">
      <c r="A90" s="487"/>
      <c r="B90" s="487"/>
      <c r="C90" s="522"/>
      <c r="D90" s="522"/>
      <c r="E90" s="522"/>
      <c r="F90" s="522"/>
      <c r="G90" s="493"/>
      <c r="H90" s="493"/>
      <c r="I90" s="493"/>
      <c r="J90" s="493"/>
      <c r="K90" s="493"/>
      <c r="L90" s="493"/>
      <c r="M90" s="517"/>
      <c r="N90" s="493"/>
      <c r="O90" s="493"/>
      <c r="P90" s="493"/>
      <c r="Q90" s="493"/>
      <c r="R90" s="493"/>
      <c r="S90" s="493"/>
      <c r="T90" s="493"/>
      <c r="U90" s="493"/>
      <c r="V90" s="493"/>
      <c r="W90" s="493"/>
    </row>
    <row r="91" spans="1:23" x14ac:dyDescent="0.3">
      <c r="A91" s="487"/>
      <c r="B91" s="487"/>
      <c r="C91" s="522"/>
      <c r="D91" s="522"/>
      <c r="E91" s="522"/>
      <c r="F91" s="522"/>
      <c r="G91" s="493"/>
      <c r="H91" s="493"/>
      <c r="I91" s="493"/>
      <c r="J91" s="493"/>
      <c r="K91" s="493"/>
      <c r="L91" s="493"/>
      <c r="M91" s="517"/>
      <c r="N91" s="493"/>
      <c r="O91" s="493"/>
      <c r="P91" s="493"/>
      <c r="Q91" s="493"/>
      <c r="R91" s="493"/>
      <c r="S91" s="493"/>
      <c r="T91" s="493"/>
      <c r="U91" s="493"/>
      <c r="V91" s="493"/>
      <c r="W91" s="493"/>
    </row>
    <row r="92" spans="1:23" x14ac:dyDescent="0.3">
      <c r="A92" s="487"/>
      <c r="B92" s="487"/>
      <c r="C92" s="522"/>
      <c r="D92" s="522"/>
      <c r="E92" s="522"/>
      <c r="F92" s="522"/>
      <c r="G92" s="493"/>
      <c r="H92" s="493"/>
      <c r="I92" s="493"/>
      <c r="J92" s="493"/>
      <c r="K92" s="493"/>
      <c r="L92" s="493"/>
      <c r="M92" s="517"/>
      <c r="N92" s="493"/>
      <c r="O92" s="493"/>
      <c r="P92" s="493"/>
      <c r="Q92" s="493"/>
      <c r="R92" s="493"/>
      <c r="S92" s="493"/>
      <c r="T92" s="493"/>
      <c r="U92" s="493"/>
      <c r="V92" s="493"/>
      <c r="W92" s="493"/>
    </row>
    <row r="93" spans="1:23" x14ac:dyDescent="0.3">
      <c r="A93" s="487"/>
      <c r="B93" s="487"/>
      <c r="C93" s="522"/>
      <c r="D93" s="522"/>
      <c r="E93" s="522"/>
      <c r="F93" s="522"/>
      <c r="G93" s="493"/>
      <c r="H93" s="493"/>
      <c r="I93" s="493"/>
      <c r="J93" s="493"/>
      <c r="K93" s="493"/>
      <c r="L93" s="493"/>
      <c r="M93" s="517"/>
      <c r="N93" s="493"/>
      <c r="O93" s="493"/>
      <c r="P93" s="493"/>
      <c r="Q93" s="493"/>
      <c r="R93" s="493"/>
      <c r="S93" s="493"/>
      <c r="T93" s="493"/>
      <c r="U93" s="493"/>
      <c r="V93" s="493"/>
      <c r="W93" s="493"/>
    </row>
    <row r="94" spans="1:23" x14ac:dyDescent="0.3">
      <c r="A94" s="487"/>
      <c r="B94" s="487"/>
      <c r="C94" s="522"/>
      <c r="D94" s="522"/>
      <c r="E94" s="522"/>
      <c r="F94" s="522"/>
      <c r="G94" s="493"/>
      <c r="H94" s="493"/>
      <c r="I94" s="493"/>
      <c r="J94" s="493"/>
      <c r="K94" s="493"/>
      <c r="L94" s="493"/>
      <c r="M94" s="517"/>
      <c r="N94" s="493"/>
      <c r="O94" s="493"/>
      <c r="P94" s="493"/>
      <c r="Q94" s="493"/>
      <c r="R94" s="493"/>
      <c r="S94" s="493"/>
      <c r="T94" s="493"/>
      <c r="U94" s="493"/>
      <c r="V94" s="493"/>
      <c r="W94" s="493"/>
    </row>
    <row r="95" spans="1:23" x14ac:dyDescent="0.3">
      <c r="A95" s="487"/>
      <c r="B95" s="487"/>
      <c r="C95" s="522"/>
      <c r="D95" s="522"/>
      <c r="E95" s="522"/>
      <c r="F95" s="522"/>
      <c r="G95" s="493"/>
      <c r="H95" s="493"/>
      <c r="I95" s="493"/>
      <c r="J95" s="493"/>
      <c r="K95" s="493"/>
      <c r="L95" s="493"/>
      <c r="M95" s="517"/>
      <c r="N95" s="493"/>
      <c r="O95" s="493"/>
      <c r="P95" s="493"/>
      <c r="Q95" s="493"/>
      <c r="R95" s="493"/>
      <c r="S95" s="493"/>
      <c r="T95" s="493"/>
      <c r="U95" s="493"/>
      <c r="V95" s="493"/>
      <c r="W95" s="493"/>
    </row>
    <row r="96" spans="1:23" x14ac:dyDescent="0.3">
      <c r="A96" s="487"/>
      <c r="B96" s="487"/>
      <c r="C96" s="522"/>
      <c r="D96" s="522"/>
      <c r="E96" s="522"/>
      <c r="F96" s="522"/>
      <c r="G96" s="493"/>
      <c r="H96" s="493"/>
      <c r="I96" s="493"/>
      <c r="J96" s="493"/>
      <c r="K96" s="493"/>
      <c r="L96" s="493"/>
      <c r="M96" s="517"/>
      <c r="N96" s="493"/>
      <c r="O96" s="493"/>
      <c r="P96" s="493"/>
      <c r="Q96" s="493"/>
      <c r="R96" s="493"/>
      <c r="S96" s="493"/>
      <c r="T96" s="493"/>
      <c r="U96" s="493"/>
      <c r="V96" s="493"/>
      <c r="W96" s="493"/>
    </row>
    <row r="97" spans="1:23" x14ac:dyDescent="0.3">
      <c r="A97" s="487"/>
      <c r="B97" s="487"/>
      <c r="C97" s="522"/>
      <c r="D97" s="522"/>
      <c r="E97" s="522"/>
      <c r="F97" s="522"/>
      <c r="G97" s="493"/>
      <c r="H97" s="493"/>
      <c r="I97" s="493"/>
      <c r="J97" s="493"/>
      <c r="K97" s="493"/>
      <c r="L97" s="493"/>
      <c r="M97" s="517"/>
      <c r="N97" s="493"/>
      <c r="O97" s="493"/>
      <c r="P97" s="493"/>
      <c r="Q97" s="493"/>
      <c r="R97" s="493"/>
      <c r="S97" s="493"/>
      <c r="T97" s="493"/>
      <c r="U97" s="493"/>
      <c r="V97" s="493"/>
      <c r="W97" s="493"/>
    </row>
    <row r="98" spans="1:23" x14ac:dyDescent="0.3">
      <c r="A98" s="487"/>
      <c r="B98" s="487"/>
      <c r="C98" s="522"/>
      <c r="D98" s="522"/>
      <c r="E98" s="522"/>
      <c r="F98" s="522"/>
      <c r="G98" s="493"/>
      <c r="H98" s="493"/>
      <c r="I98" s="493"/>
      <c r="J98" s="493"/>
      <c r="K98" s="493"/>
      <c r="L98" s="493"/>
      <c r="M98" s="517"/>
      <c r="N98" s="493"/>
      <c r="O98" s="493"/>
      <c r="P98" s="493"/>
      <c r="Q98" s="493"/>
      <c r="R98" s="493"/>
      <c r="S98" s="493"/>
      <c r="T98" s="493"/>
      <c r="U98" s="493"/>
      <c r="V98" s="493"/>
      <c r="W98" s="493"/>
    </row>
    <row r="99" spans="1:23" x14ac:dyDescent="0.3">
      <c r="A99" s="487"/>
      <c r="B99" s="487"/>
      <c r="C99" s="522"/>
      <c r="D99" s="522"/>
      <c r="E99" s="522"/>
      <c r="F99" s="522"/>
      <c r="G99" s="493"/>
      <c r="H99" s="493"/>
      <c r="I99" s="493"/>
      <c r="J99" s="493"/>
      <c r="K99" s="493"/>
      <c r="L99" s="493"/>
      <c r="M99" s="517"/>
      <c r="N99" s="493"/>
      <c r="O99" s="493"/>
      <c r="P99" s="493"/>
      <c r="Q99" s="493"/>
      <c r="R99" s="493"/>
      <c r="S99" s="493"/>
      <c r="T99" s="493"/>
      <c r="U99" s="493"/>
      <c r="V99" s="493"/>
      <c r="W99" s="493"/>
    </row>
    <row r="100" spans="1:23" x14ac:dyDescent="0.3">
      <c r="A100" s="487"/>
      <c r="B100" s="487"/>
      <c r="C100" s="522"/>
      <c r="D100" s="522"/>
      <c r="E100" s="522"/>
      <c r="F100" s="522"/>
      <c r="G100" s="493"/>
      <c r="H100" s="493"/>
      <c r="I100" s="493"/>
      <c r="J100" s="493"/>
      <c r="K100" s="493"/>
      <c r="L100" s="493"/>
      <c r="M100" s="517"/>
      <c r="N100" s="493"/>
      <c r="O100" s="493"/>
      <c r="P100" s="493"/>
      <c r="Q100" s="493"/>
      <c r="R100" s="493"/>
      <c r="S100" s="493"/>
      <c r="T100" s="493"/>
      <c r="U100" s="493"/>
      <c r="V100" s="493"/>
      <c r="W100" s="493"/>
    </row>
    <row r="101" spans="1:23" x14ac:dyDescent="0.3">
      <c r="A101" s="487"/>
      <c r="B101" s="487"/>
      <c r="C101" s="522"/>
      <c r="D101" s="522"/>
      <c r="E101" s="522"/>
      <c r="F101" s="522"/>
      <c r="G101" s="493"/>
      <c r="H101" s="493"/>
      <c r="I101" s="493"/>
      <c r="J101" s="493"/>
      <c r="K101" s="493"/>
      <c r="L101" s="493"/>
      <c r="M101" s="517"/>
      <c r="N101" s="493"/>
      <c r="O101" s="493"/>
      <c r="P101" s="493"/>
      <c r="Q101" s="493"/>
      <c r="R101" s="493"/>
      <c r="S101" s="493"/>
      <c r="T101" s="493"/>
      <c r="U101" s="493"/>
      <c r="V101" s="493"/>
      <c r="W101" s="493"/>
    </row>
    <row r="102" spans="1:23" x14ac:dyDescent="0.3">
      <c r="A102" s="487"/>
      <c r="B102" s="487"/>
      <c r="C102" s="522"/>
      <c r="D102" s="522"/>
      <c r="E102" s="522"/>
      <c r="F102" s="522"/>
      <c r="G102" s="493"/>
      <c r="H102" s="493"/>
      <c r="I102" s="493"/>
      <c r="J102" s="493"/>
      <c r="K102" s="493"/>
      <c r="L102" s="493"/>
      <c r="M102" s="517"/>
      <c r="N102" s="493"/>
      <c r="O102" s="493"/>
      <c r="P102" s="493"/>
      <c r="Q102" s="493"/>
      <c r="R102" s="493"/>
      <c r="S102" s="493"/>
      <c r="T102" s="493"/>
      <c r="U102" s="493"/>
      <c r="V102" s="493"/>
      <c r="W102" s="493"/>
    </row>
    <row r="103" spans="1:23" x14ac:dyDescent="0.3">
      <c r="A103" s="487"/>
      <c r="B103" s="487"/>
      <c r="C103" s="522"/>
      <c r="D103" s="522"/>
      <c r="E103" s="522"/>
      <c r="F103" s="522"/>
      <c r="G103" s="493"/>
      <c r="H103" s="493"/>
      <c r="I103" s="493"/>
      <c r="J103" s="493"/>
      <c r="K103" s="493"/>
      <c r="L103" s="493"/>
      <c r="M103" s="517"/>
      <c r="N103" s="493"/>
      <c r="O103" s="493"/>
      <c r="P103" s="493"/>
      <c r="Q103" s="493"/>
      <c r="R103" s="493"/>
      <c r="S103" s="493"/>
      <c r="T103" s="493"/>
      <c r="U103" s="493"/>
      <c r="V103" s="493"/>
      <c r="W103" s="493"/>
    </row>
    <row r="104" spans="1:23" x14ac:dyDescent="0.3">
      <c r="A104" s="487"/>
      <c r="B104" s="487"/>
      <c r="C104" s="522"/>
      <c r="D104" s="522"/>
      <c r="E104" s="522"/>
      <c r="F104" s="522"/>
      <c r="G104" s="493"/>
      <c r="H104" s="493"/>
      <c r="I104" s="493"/>
      <c r="J104" s="493"/>
      <c r="K104" s="493"/>
      <c r="L104" s="493"/>
      <c r="M104" s="517"/>
      <c r="N104" s="493"/>
      <c r="O104" s="493"/>
      <c r="P104" s="493"/>
      <c r="Q104" s="493"/>
      <c r="R104" s="493"/>
      <c r="S104" s="493"/>
      <c r="T104" s="493"/>
      <c r="U104" s="493"/>
      <c r="V104" s="493"/>
      <c r="W104" s="493"/>
    </row>
    <row r="105" spans="1:23" x14ac:dyDescent="0.3">
      <c r="A105" s="487"/>
      <c r="B105" s="487"/>
      <c r="C105" s="522"/>
      <c r="D105" s="522"/>
      <c r="E105" s="522"/>
      <c r="F105" s="522"/>
      <c r="G105" s="493"/>
      <c r="H105" s="493"/>
      <c r="I105" s="493"/>
      <c r="J105" s="493"/>
      <c r="K105" s="493"/>
      <c r="L105" s="493"/>
      <c r="M105" s="517"/>
      <c r="N105" s="493"/>
      <c r="O105" s="493"/>
      <c r="P105" s="493"/>
      <c r="Q105" s="493"/>
      <c r="R105" s="493"/>
      <c r="S105" s="493"/>
      <c r="T105" s="493"/>
      <c r="U105" s="493"/>
      <c r="V105" s="493"/>
      <c r="W105" s="493"/>
    </row>
    <row r="106" spans="1:23" x14ac:dyDescent="0.3">
      <c r="A106" s="487"/>
      <c r="B106" s="487"/>
      <c r="C106" s="522"/>
      <c r="D106" s="522"/>
      <c r="E106" s="522"/>
      <c r="F106" s="522"/>
      <c r="G106" s="493"/>
      <c r="H106" s="493"/>
      <c r="I106" s="493"/>
      <c r="J106" s="493"/>
      <c r="K106" s="493"/>
      <c r="L106" s="493"/>
      <c r="M106" s="517"/>
      <c r="N106" s="493"/>
      <c r="O106" s="493"/>
      <c r="P106" s="493"/>
      <c r="Q106" s="493"/>
      <c r="R106" s="493"/>
      <c r="S106" s="493"/>
      <c r="T106" s="493"/>
      <c r="U106" s="493"/>
      <c r="V106" s="493"/>
      <c r="W106" s="493"/>
    </row>
    <row r="107" spans="1:23" x14ac:dyDescent="0.3">
      <c r="A107" s="487"/>
      <c r="B107" s="487"/>
      <c r="C107" s="522"/>
      <c r="D107" s="522"/>
      <c r="E107" s="522"/>
      <c r="F107" s="522"/>
      <c r="G107" s="493"/>
      <c r="H107" s="493"/>
      <c r="I107" s="493"/>
      <c r="J107" s="493"/>
      <c r="K107" s="493"/>
      <c r="L107" s="493"/>
      <c r="M107" s="517"/>
      <c r="N107" s="493"/>
      <c r="O107" s="493"/>
      <c r="P107" s="493"/>
      <c r="Q107" s="493"/>
      <c r="R107" s="493"/>
      <c r="S107" s="493"/>
      <c r="T107" s="493"/>
      <c r="U107" s="493"/>
      <c r="V107" s="493"/>
      <c r="W107" s="493"/>
    </row>
    <row r="108" spans="1:23" x14ac:dyDescent="0.3">
      <c r="A108" s="487"/>
      <c r="B108" s="487"/>
      <c r="C108" s="522"/>
      <c r="D108" s="522"/>
      <c r="E108" s="522"/>
      <c r="F108" s="522"/>
      <c r="G108" s="493"/>
      <c r="H108" s="493"/>
      <c r="I108" s="493"/>
      <c r="J108" s="493"/>
      <c r="K108" s="493"/>
      <c r="L108" s="493"/>
      <c r="M108" s="517"/>
      <c r="N108" s="493"/>
      <c r="O108" s="493"/>
      <c r="P108" s="493"/>
      <c r="Q108" s="493"/>
      <c r="R108" s="493"/>
      <c r="S108" s="493"/>
      <c r="T108" s="493"/>
      <c r="U108" s="493"/>
      <c r="V108" s="493"/>
      <c r="W108" s="493"/>
    </row>
    <row r="109" spans="1:23" x14ac:dyDescent="0.3">
      <c r="A109" s="487"/>
      <c r="B109" s="487"/>
      <c r="C109" s="522"/>
      <c r="D109" s="522"/>
      <c r="E109" s="522"/>
      <c r="F109" s="522"/>
      <c r="G109" s="493"/>
      <c r="H109" s="493"/>
      <c r="I109" s="493"/>
      <c r="J109" s="493"/>
      <c r="K109" s="493"/>
      <c r="L109" s="493"/>
      <c r="M109" s="517"/>
      <c r="N109" s="493"/>
      <c r="O109" s="493"/>
      <c r="P109" s="493"/>
      <c r="Q109" s="493"/>
      <c r="R109" s="493"/>
      <c r="S109" s="493"/>
      <c r="T109" s="493"/>
      <c r="U109" s="493"/>
      <c r="V109" s="493"/>
      <c r="W109" s="493"/>
    </row>
    <row r="110" spans="1:23" x14ac:dyDescent="0.3">
      <c r="A110" s="487"/>
      <c r="B110" s="487"/>
      <c r="C110" s="522"/>
      <c r="D110" s="522"/>
      <c r="E110" s="522"/>
      <c r="F110" s="522"/>
      <c r="G110" s="493"/>
      <c r="H110" s="493"/>
      <c r="I110" s="493"/>
      <c r="J110" s="493"/>
      <c r="K110" s="493"/>
      <c r="L110" s="493"/>
      <c r="M110" s="517"/>
      <c r="N110" s="493"/>
      <c r="O110" s="493"/>
      <c r="P110" s="493"/>
      <c r="Q110" s="493"/>
      <c r="R110" s="493"/>
      <c r="S110" s="493"/>
      <c r="T110" s="493"/>
      <c r="U110" s="493"/>
      <c r="V110" s="493"/>
      <c r="W110" s="493"/>
    </row>
    <row r="111" spans="1:23" x14ac:dyDescent="0.3">
      <c r="A111" s="487"/>
      <c r="B111" s="487"/>
      <c r="C111" s="522"/>
      <c r="D111" s="522"/>
      <c r="E111" s="522"/>
      <c r="F111" s="522"/>
      <c r="G111" s="493"/>
      <c r="H111" s="493"/>
      <c r="I111" s="493"/>
      <c r="J111" s="493"/>
      <c r="K111" s="493"/>
      <c r="L111" s="493"/>
      <c r="M111" s="517"/>
      <c r="N111" s="493"/>
      <c r="O111" s="493"/>
      <c r="P111" s="493"/>
      <c r="Q111" s="493"/>
      <c r="R111" s="493"/>
      <c r="S111" s="493"/>
      <c r="T111" s="493"/>
      <c r="U111" s="493"/>
      <c r="V111" s="493"/>
      <c r="W111" s="493"/>
    </row>
    <row r="112" spans="1:23" x14ac:dyDescent="0.3">
      <c r="A112" s="487"/>
      <c r="B112" s="487"/>
      <c r="C112" s="522"/>
      <c r="D112" s="522"/>
      <c r="E112" s="522"/>
      <c r="F112" s="522"/>
      <c r="G112" s="493"/>
      <c r="H112" s="493"/>
      <c r="I112" s="493"/>
      <c r="J112" s="493"/>
      <c r="K112" s="493"/>
      <c r="L112" s="493"/>
      <c r="M112" s="517"/>
      <c r="N112" s="493"/>
      <c r="O112" s="493"/>
      <c r="P112" s="493"/>
      <c r="Q112" s="493"/>
      <c r="R112" s="493"/>
      <c r="S112" s="493"/>
      <c r="T112" s="493"/>
      <c r="U112" s="493"/>
      <c r="V112" s="493"/>
      <c r="W112" s="493"/>
    </row>
    <row r="113" spans="1:23" x14ac:dyDescent="0.3">
      <c r="A113" s="487"/>
      <c r="B113" s="487"/>
      <c r="C113" s="522"/>
      <c r="D113" s="522"/>
      <c r="E113" s="522"/>
      <c r="F113" s="522"/>
      <c r="G113" s="493"/>
      <c r="H113" s="493"/>
      <c r="I113" s="493"/>
      <c r="J113" s="493"/>
      <c r="K113" s="493"/>
      <c r="L113" s="493"/>
      <c r="M113" s="517"/>
      <c r="N113" s="493"/>
      <c r="O113" s="493"/>
      <c r="P113" s="493"/>
      <c r="Q113" s="493"/>
      <c r="R113" s="493"/>
      <c r="S113" s="493"/>
      <c r="T113" s="493"/>
      <c r="U113" s="493"/>
      <c r="V113" s="493"/>
      <c r="W113" s="493"/>
    </row>
    <row r="114" spans="1:23" x14ac:dyDescent="0.3">
      <c r="A114" s="487"/>
      <c r="B114" s="487"/>
      <c r="C114" s="522"/>
      <c r="D114" s="522"/>
      <c r="E114" s="522"/>
      <c r="F114" s="522"/>
      <c r="G114" s="493"/>
      <c r="H114" s="493"/>
      <c r="I114" s="493"/>
      <c r="J114" s="493"/>
      <c r="K114" s="493"/>
      <c r="L114" s="493"/>
      <c r="M114" s="517"/>
      <c r="N114" s="493"/>
      <c r="O114" s="493"/>
      <c r="P114" s="493"/>
      <c r="Q114" s="493"/>
      <c r="R114" s="493"/>
      <c r="S114" s="493"/>
      <c r="T114" s="493"/>
      <c r="U114" s="493"/>
      <c r="V114" s="493"/>
      <c r="W114" s="493"/>
    </row>
    <row r="115" spans="1:23" x14ac:dyDescent="0.3">
      <c r="A115" s="487"/>
      <c r="B115" s="487"/>
      <c r="C115" s="522"/>
      <c r="D115" s="522"/>
      <c r="E115" s="522"/>
      <c r="F115" s="522"/>
      <c r="G115" s="493"/>
      <c r="H115" s="493"/>
      <c r="I115" s="493"/>
      <c r="J115" s="493"/>
      <c r="K115" s="493"/>
      <c r="L115" s="493"/>
      <c r="M115" s="517"/>
      <c r="N115" s="493"/>
      <c r="O115" s="493"/>
      <c r="P115" s="493"/>
      <c r="Q115" s="493"/>
      <c r="R115" s="493"/>
      <c r="S115" s="493"/>
      <c r="T115" s="493"/>
      <c r="U115" s="493"/>
      <c r="V115" s="493"/>
      <c r="W115" s="493"/>
    </row>
    <row r="116" spans="1:23" x14ac:dyDescent="0.3">
      <c r="A116" s="487"/>
      <c r="B116" s="487"/>
      <c r="C116" s="522"/>
      <c r="D116" s="522"/>
      <c r="E116" s="522"/>
      <c r="F116" s="522"/>
      <c r="G116" s="493"/>
      <c r="H116" s="493"/>
      <c r="I116" s="493"/>
      <c r="J116" s="493"/>
      <c r="K116" s="493"/>
      <c r="L116" s="493"/>
      <c r="M116" s="517"/>
      <c r="N116" s="493"/>
      <c r="O116" s="493"/>
      <c r="P116" s="493"/>
      <c r="Q116" s="493"/>
      <c r="R116" s="493"/>
      <c r="S116" s="493"/>
      <c r="T116" s="493"/>
      <c r="U116" s="493"/>
      <c r="V116" s="493"/>
      <c r="W116" s="493"/>
    </row>
    <row r="117" spans="1:23" x14ac:dyDescent="0.3">
      <c r="A117" s="487"/>
      <c r="B117" s="487"/>
      <c r="C117" s="522"/>
      <c r="D117" s="522"/>
      <c r="E117" s="522"/>
      <c r="F117" s="522"/>
      <c r="G117" s="493"/>
      <c r="H117" s="493"/>
      <c r="I117" s="493"/>
      <c r="J117" s="493"/>
      <c r="K117" s="493"/>
      <c r="L117" s="493"/>
      <c r="M117" s="517"/>
      <c r="N117" s="493"/>
      <c r="O117" s="493"/>
      <c r="P117" s="493"/>
      <c r="Q117" s="493"/>
      <c r="R117" s="493"/>
      <c r="S117" s="493"/>
      <c r="T117" s="493"/>
      <c r="U117" s="493"/>
      <c r="V117" s="493"/>
      <c r="W117" s="493"/>
    </row>
    <row r="118" spans="1:23" x14ac:dyDescent="0.3">
      <c r="A118" s="487"/>
      <c r="B118" s="487"/>
      <c r="C118" s="522"/>
      <c r="D118" s="522"/>
      <c r="E118" s="522"/>
      <c r="F118" s="522"/>
      <c r="G118" s="493"/>
      <c r="H118" s="493"/>
      <c r="I118" s="493"/>
      <c r="J118" s="493"/>
      <c r="K118" s="493"/>
      <c r="L118" s="493"/>
      <c r="M118" s="517"/>
      <c r="N118" s="493"/>
      <c r="O118" s="493"/>
      <c r="P118" s="493"/>
      <c r="Q118" s="493"/>
      <c r="R118" s="493"/>
      <c r="S118" s="493"/>
      <c r="T118" s="493"/>
      <c r="U118" s="493"/>
      <c r="V118" s="493"/>
      <c r="W118" s="493"/>
    </row>
    <row r="119" spans="1:23" x14ac:dyDescent="0.3">
      <c r="A119" s="487"/>
      <c r="B119" s="487"/>
      <c r="C119" s="522"/>
      <c r="D119" s="522"/>
      <c r="E119" s="522"/>
      <c r="F119" s="522"/>
      <c r="G119" s="493"/>
      <c r="H119" s="493"/>
      <c r="I119" s="493"/>
      <c r="J119" s="493"/>
      <c r="K119" s="493"/>
      <c r="L119" s="493"/>
      <c r="M119" s="517"/>
      <c r="N119" s="493"/>
      <c r="O119" s="493"/>
      <c r="P119" s="493"/>
      <c r="Q119" s="493"/>
      <c r="R119" s="493"/>
      <c r="S119" s="493"/>
      <c r="T119" s="493"/>
      <c r="U119" s="493"/>
      <c r="V119" s="493"/>
      <c r="W119" s="493"/>
    </row>
    <row r="120" spans="1:23" x14ac:dyDescent="0.3">
      <c r="A120" s="487"/>
      <c r="B120" s="487"/>
      <c r="C120" s="522"/>
      <c r="D120" s="522"/>
      <c r="E120" s="522"/>
      <c r="F120" s="522"/>
      <c r="G120" s="493"/>
      <c r="H120" s="493"/>
      <c r="I120" s="493"/>
      <c r="J120" s="493"/>
      <c r="K120" s="493"/>
      <c r="L120" s="493"/>
      <c r="M120" s="517"/>
      <c r="N120" s="493"/>
      <c r="O120" s="493"/>
      <c r="P120" s="493"/>
      <c r="Q120" s="493"/>
      <c r="R120" s="493"/>
      <c r="S120" s="493"/>
      <c r="T120" s="493"/>
      <c r="U120" s="493"/>
      <c r="V120" s="493"/>
      <c r="W120" s="493"/>
    </row>
    <row r="121" spans="1:23" x14ac:dyDescent="0.3">
      <c r="A121" s="487"/>
      <c r="B121" s="487"/>
      <c r="C121" s="522"/>
      <c r="D121" s="522"/>
      <c r="E121" s="522"/>
      <c r="F121" s="522"/>
      <c r="G121" s="493"/>
      <c r="H121" s="493"/>
      <c r="I121" s="493"/>
      <c r="J121" s="493"/>
      <c r="K121" s="493"/>
      <c r="L121" s="493"/>
      <c r="M121" s="517"/>
      <c r="N121" s="493"/>
      <c r="O121" s="493"/>
      <c r="P121" s="493"/>
      <c r="Q121" s="493"/>
      <c r="R121" s="493"/>
      <c r="S121" s="493"/>
      <c r="T121" s="493"/>
      <c r="U121" s="493"/>
      <c r="V121" s="493"/>
      <c r="W121" s="493"/>
    </row>
    <row r="122" spans="1:23" x14ac:dyDescent="0.3">
      <c r="A122" s="487"/>
      <c r="B122" s="487"/>
      <c r="C122" s="522"/>
      <c r="D122" s="522"/>
      <c r="E122" s="522"/>
      <c r="F122" s="522"/>
      <c r="G122" s="493"/>
      <c r="H122" s="493"/>
      <c r="I122" s="493"/>
      <c r="J122" s="493"/>
      <c r="K122" s="493"/>
      <c r="L122" s="493"/>
      <c r="M122" s="517"/>
      <c r="N122" s="493"/>
      <c r="O122" s="493"/>
      <c r="P122" s="493"/>
      <c r="Q122" s="493"/>
      <c r="R122" s="493"/>
      <c r="S122" s="493"/>
      <c r="T122" s="493"/>
      <c r="U122" s="493"/>
      <c r="V122" s="493"/>
      <c r="W122" s="493"/>
    </row>
    <row r="123" spans="1:23" x14ac:dyDescent="0.3">
      <c r="A123" s="487"/>
      <c r="B123" s="487"/>
      <c r="C123" s="522"/>
      <c r="D123" s="522"/>
      <c r="E123" s="522"/>
      <c r="F123" s="522"/>
      <c r="G123" s="493"/>
      <c r="H123" s="493"/>
      <c r="I123" s="493"/>
      <c r="J123" s="493"/>
      <c r="K123" s="493"/>
      <c r="L123" s="493"/>
      <c r="M123" s="517"/>
      <c r="N123" s="493"/>
      <c r="O123" s="493"/>
      <c r="P123" s="493"/>
      <c r="Q123" s="493"/>
      <c r="R123" s="493"/>
      <c r="S123" s="493"/>
      <c r="T123" s="493"/>
      <c r="U123" s="493"/>
      <c r="V123" s="493"/>
      <c r="W123" s="493"/>
    </row>
    <row r="124" spans="1:23" x14ac:dyDescent="0.3">
      <c r="A124" s="487"/>
      <c r="B124" s="487"/>
      <c r="C124" s="522"/>
      <c r="D124" s="522"/>
      <c r="E124" s="522"/>
      <c r="F124" s="522"/>
      <c r="G124" s="493"/>
      <c r="H124" s="493"/>
      <c r="I124" s="493"/>
      <c r="J124" s="493"/>
      <c r="K124" s="493"/>
      <c r="L124" s="493"/>
      <c r="M124" s="517"/>
      <c r="N124" s="493"/>
      <c r="O124" s="493"/>
      <c r="P124" s="493"/>
      <c r="Q124" s="493"/>
      <c r="R124" s="493"/>
      <c r="S124" s="493"/>
      <c r="T124" s="493"/>
      <c r="U124" s="493"/>
      <c r="V124" s="493"/>
      <c r="W124" s="493"/>
    </row>
    <row r="125" spans="1:23" x14ac:dyDescent="0.3">
      <c r="A125" s="487"/>
      <c r="B125" s="487"/>
      <c r="C125" s="522"/>
      <c r="D125" s="522"/>
      <c r="E125" s="522"/>
      <c r="F125" s="522"/>
      <c r="G125" s="493"/>
      <c r="H125" s="493"/>
      <c r="I125" s="493"/>
      <c r="J125" s="493"/>
      <c r="K125" s="493"/>
      <c r="L125" s="493"/>
      <c r="M125" s="517"/>
      <c r="N125" s="493"/>
      <c r="O125" s="493"/>
      <c r="P125" s="493"/>
      <c r="Q125" s="493"/>
      <c r="R125" s="493"/>
      <c r="S125" s="493"/>
      <c r="T125" s="493"/>
      <c r="U125" s="493"/>
      <c r="V125" s="493"/>
      <c r="W125" s="493"/>
    </row>
    <row r="126" spans="1:23" x14ac:dyDescent="0.3">
      <c r="A126" s="487"/>
      <c r="B126" s="487"/>
      <c r="C126" s="522"/>
      <c r="D126" s="522"/>
      <c r="E126" s="522"/>
      <c r="F126" s="522"/>
      <c r="G126" s="493"/>
      <c r="H126" s="493"/>
      <c r="I126" s="493"/>
      <c r="J126" s="493"/>
      <c r="K126" s="493"/>
      <c r="L126" s="493"/>
      <c r="M126" s="517"/>
      <c r="N126" s="493"/>
      <c r="O126" s="493"/>
      <c r="P126" s="493"/>
      <c r="Q126" s="493"/>
      <c r="R126" s="493"/>
      <c r="S126" s="493"/>
      <c r="T126" s="493"/>
      <c r="U126" s="493"/>
      <c r="V126" s="493"/>
      <c r="W126" s="493"/>
    </row>
    <row r="127" spans="1:23" x14ac:dyDescent="0.3">
      <c r="A127" s="487"/>
      <c r="B127" s="487"/>
      <c r="C127" s="522"/>
      <c r="D127" s="522"/>
      <c r="E127" s="522"/>
      <c r="F127" s="522"/>
      <c r="G127" s="493"/>
      <c r="H127" s="493"/>
      <c r="I127" s="493"/>
      <c r="J127" s="493"/>
      <c r="K127" s="493"/>
      <c r="L127" s="493"/>
      <c r="M127" s="517"/>
      <c r="N127" s="493"/>
      <c r="O127" s="493"/>
      <c r="P127" s="493"/>
      <c r="Q127" s="493"/>
      <c r="R127" s="493"/>
      <c r="S127" s="493"/>
      <c r="T127" s="493"/>
      <c r="U127" s="493"/>
      <c r="V127" s="493"/>
      <c r="W127" s="493"/>
    </row>
    <row r="128" spans="1:23" x14ac:dyDescent="0.3">
      <c r="A128" s="487"/>
      <c r="B128" s="487"/>
      <c r="C128" s="522"/>
      <c r="D128" s="522"/>
      <c r="E128" s="522"/>
      <c r="F128" s="522"/>
      <c r="G128" s="493"/>
      <c r="H128" s="493"/>
      <c r="I128" s="493"/>
      <c r="J128" s="493"/>
      <c r="K128" s="493"/>
      <c r="L128" s="493"/>
      <c r="M128" s="517"/>
      <c r="N128" s="493"/>
      <c r="O128" s="493"/>
      <c r="P128" s="493"/>
      <c r="Q128" s="493"/>
      <c r="R128" s="493"/>
      <c r="S128" s="493"/>
      <c r="T128" s="493"/>
      <c r="U128" s="493"/>
      <c r="V128" s="493"/>
      <c r="W128" s="493"/>
    </row>
    <row r="129" spans="1:23" x14ac:dyDescent="0.3">
      <c r="A129" s="487"/>
      <c r="B129" s="487"/>
      <c r="C129" s="522"/>
      <c r="D129" s="522"/>
      <c r="E129" s="522"/>
      <c r="F129" s="522"/>
      <c r="G129" s="493"/>
      <c r="H129" s="493"/>
      <c r="I129" s="493"/>
      <c r="J129" s="493"/>
      <c r="K129" s="493"/>
      <c r="L129" s="493"/>
      <c r="M129" s="517"/>
      <c r="N129" s="493"/>
      <c r="O129" s="493"/>
      <c r="P129" s="493"/>
      <c r="Q129" s="493"/>
      <c r="R129" s="493"/>
      <c r="S129" s="493"/>
      <c r="T129" s="493"/>
      <c r="U129" s="493"/>
      <c r="V129" s="493"/>
      <c r="W129" s="493"/>
    </row>
    <row r="130" spans="1:23" x14ac:dyDescent="0.3">
      <c r="A130" s="487"/>
      <c r="B130" s="487"/>
      <c r="C130" s="522"/>
      <c r="D130" s="522"/>
      <c r="E130" s="522"/>
      <c r="F130" s="522"/>
      <c r="G130" s="493"/>
      <c r="H130" s="493"/>
      <c r="I130" s="493"/>
      <c r="J130" s="493"/>
      <c r="K130" s="493"/>
      <c r="L130" s="493"/>
      <c r="M130" s="517"/>
      <c r="N130" s="493"/>
      <c r="O130" s="493"/>
      <c r="P130" s="493"/>
      <c r="Q130" s="493"/>
      <c r="R130" s="493"/>
      <c r="S130" s="493"/>
      <c r="T130" s="493"/>
      <c r="U130" s="493"/>
      <c r="V130" s="493"/>
      <c r="W130" s="493"/>
    </row>
    <row r="131" spans="1:23" x14ac:dyDescent="0.3">
      <c r="A131" s="487"/>
      <c r="B131" s="487"/>
      <c r="C131" s="522"/>
      <c r="D131" s="522"/>
      <c r="E131" s="522"/>
      <c r="F131" s="522"/>
      <c r="G131" s="493"/>
      <c r="H131" s="493"/>
      <c r="I131" s="493"/>
      <c r="J131" s="493"/>
      <c r="K131" s="493"/>
      <c r="L131" s="493"/>
      <c r="M131" s="517"/>
      <c r="N131" s="493"/>
      <c r="O131" s="493"/>
      <c r="P131" s="493"/>
      <c r="Q131" s="493"/>
      <c r="R131" s="493"/>
      <c r="S131" s="493"/>
      <c r="T131" s="493"/>
      <c r="U131" s="493"/>
      <c r="V131" s="493"/>
      <c r="W131" s="493"/>
    </row>
    <row r="132" spans="1:23" x14ac:dyDescent="0.3">
      <c r="A132" s="487"/>
      <c r="B132" s="487"/>
      <c r="C132" s="522"/>
      <c r="D132" s="522"/>
      <c r="E132" s="522"/>
      <c r="F132" s="522"/>
      <c r="G132" s="493"/>
      <c r="H132" s="493"/>
      <c r="I132" s="493"/>
      <c r="J132" s="493"/>
      <c r="K132" s="493"/>
      <c r="L132" s="493"/>
      <c r="M132" s="517"/>
      <c r="N132" s="493"/>
      <c r="O132" s="493"/>
      <c r="P132" s="493"/>
      <c r="Q132" s="493"/>
      <c r="R132" s="493"/>
      <c r="S132" s="493"/>
      <c r="T132" s="493"/>
      <c r="U132" s="493"/>
      <c r="V132" s="493"/>
      <c r="W132" s="493"/>
    </row>
    <row r="133" spans="1:23" x14ac:dyDescent="0.3">
      <c r="A133" s="487"/>
      <c r="B133" s="487"/>
      <c r="C133" s="522"/>
      <c r="D133" s="522"/>
      <c r="E133" s="522"/>
      <c r="F133" s="522"/>
      <c r="G133" s="493"/>
      <c r="H133" s="493"/>
      <c r="I133" s="493"/>
      <c r="J133" s="493"/>
      <c r="K133" s="493"/>
      <c r="L133" s="493"/>
      <c r="M133" s="517"/>
      <c r="N133" s="493"/>
      <c r="O133" s="493"/>
      <c r="P133" s="493"/>
      <c r="Q133" s="493"/>
      <c r="R133" s="493"/>
      <c r="S133" s="493"/>
      <c r="T133" s="493"/>
      <c r="U133" s="493"/>
      <c r="V133" s="493"/>
      <c r="W133" s="493"/>
    </row>
    <row r="134" spans="1:23" x14ac:dyDescent="0.3">
      <c r="A134" s="487"/>
      <c r="B134" s="487"/>
      <c r="C134" s="522"/>
      <c r="D134" s="522"/>
      <c r="E134" s="522"/>
      <c r="F134" s="522"/>
      <c r="G134" s="493"/>
      <c r="H134" s="493"/>
      <c r="I134" s="493"/>
      <c r="J134" s="493"/>
      <c r="K134" s="493"/>
      <c r="L134" s="493"/>
      <c r="M134" s="517"/>
      <c r="N134" s="493"/>
      <c r="O134" s="493"/>
      <c r="P134" s="493"/>
      <c r="Q134" s="493"/>
      <c r="R134" s="493"/>
      <c r="S134" s="493"/>
      <c r="T134" s="493"/>
      <c r="U134" s="493"/>
      <c r="V134" s="493"/>
      <c r="W134" s="493"/>
    </row>
    <row r="135" spans="1:23" x14ac:dyDescent="0.3">
      <c r="A135" s="487"/>
      <c r="B135" s="487"/>
      <c r="C135" s="522"/>
      <c r="D135" s="522"/>
      <c r="E135" s="522"/>
      <c r="F135" s="522"/>
      <c r="G135" s="493"/>
      <c r="H135" s="493"/>
      <c r="I135" s="493"/>
      <c r="J135" s="493"/>
      <c r="K135" s="493"/>
      <c r="L135" s="493"/>
      <c r="M135" s="517"/>
      <c r="N135" s="493"/>
      <c r="O135" s="493"/>
      <c r="P135" s="493"/>
      <c r="Q135" s="493"/>
      <c r="R135" s="493"/>
      <c r="S135" s="493"/>
      <c r="T135" s="493"/>
      <c r="U135" s="493"/>
      <c r="V135" s="493"/>
      <c r="W135" s="493"/>
    </row>
    <row r="136" spans="1:23" x14ac:dyDescent="0.3">
      <c r="A136" s="487"/>
      <c r="B136" s="487"/>
      <c r="C136" s="522"/>
      <c r="D136" s="522"/>
      <c r="E136" s="522"/>
      <c r="F136" s="522"/>
      <c r="G136" s="493"/>
      <c r="H136" s="493"/>
      <c r="I136" s="493"/>
      <c r="J136" s="493"/>
      <c r="K136" s="493"/>
      <c r="L136" s="493"/>
      <c r="M136" s="517"/>
      <c r="N136" s="493"/>
      <c r="O136" s="493"/>
      <c r="P136" s="493"/>
      <c r="Q136" s="493"/>
      <c r="R136" s="493"/>
      <c r="S136" s="493"/>
      <c r="T136" s="493"/>
      <c r="U136" s="493"/>
      <c r="V136" s="493"/>
      <c r="W136" s="493"/>
    </row>
    <row r="137" spans="1:23" x14ac:dyDescent="0.3">
      <c r="A137" s="487"/>
      <c r="B137" s="487"/>
      <c r="C137" s="522"/>
      <c r="D137" s="522"/>
      <c r="E137" s="522"/>
      <c r="F137" s="522"/>
      <c r="G137" s="493"/>
      <c r="H137" s="493"/>
      <c r="I137" s="493"/>
      <c r="J137" s="493"/>
      <c r="K137" s="493"/>
      <c r="L137" s="493"/>
      <c r="M137" s="517"/>
      <c r="N137" s="493"/>
      <c r="O137" s="493"/>
      <c r="P137" s="493"/>
      <c r="Q137" s="493"/>
      <c r="R137" s="493"/>
      <c r="S137" s="493"/>
      <c r="T137" s="493"/>
      <c r="U137" s="493"/>
      <c r="V137" s="493"/>
      <c r="W137" s="493"/>
    </row>
    <row r="138" spans="1:23" x14ac:dyDescent="0.3">
      <c r="A138" s="487"/>
      <c r="B138" s="487"/>
      <c r="C138" s="522"/>
      <c r="D138" s="522"/>
      <c r="E138" s="522"/>
      <c r="F138" s="522"/>
      <c r="G138" s="493"/>
      <c r="H138" s="493"/>
      <c r="I138" s="493"/>
      <c r="J138" s="493"/>
      <c r="K138" s="493"/>
      <c r="L138" s="493"/>
      <c r="M138" s="517"/>
      <c r="N138" s="493"/>
      <c r="O138" s="493"/>
      <c r="P138" s="493"/>
      <c r="Q138" s="493"/>
      <c r="R138" s="493"/>
      <c r="S138" s="493"/>
      <c r="T138" s="493"/>
      <c r="U138" s="493"/>
      <c r="V138" s="493"/>
      <c r="W138" s="493"/>
    </row>
    <row r="139" spans="1:23" x14ac:dyDescent="0.3">
      <c r="A139" s="487"/>
      <c r="B139" s="487"/>
      <c r="C139" s="522"/>
      <c r="D139" s="522"/>
      <c r="E139" s="522"/>
      <c r="F139" s="522"/>
      <c r="G139" s="493"/>
      <c r="H139" s="493"/>
      <c r="I139" s="493"/>
      <c r="J139" s="493"/>
      <c r="K139" s="493"/>
      <c r="L139" s="493"/>
      <c r="M139" s="517"/>
      <c r="N139" s="493"/>
      <c r="O139" s="493"/>
      <c r="P139" s="493"/>
      <c r="Q139" s="493"/>
      <c r="R139" s="493"/>
      <c r="S139" s="493"/>
      <c r="T139" s="493"/>
      <c r="U139" s="493"/>
      <c r="V139" s="493"/>
      <c r="W139" s="493"/>
    </row>
    <row r="140" spans="1:23" x14ac:dyDescent="0.3">
      <c r="A140" s="487"/>
      <c r="B140" s="487"/>
      <c r="C140" s="522"/>
      <c r="D140" s="522"/>
      <c r="E140" s="522"/>
      <c r="F140" s="522"/>
      <c r="G140" s="493"/>
      <c r="H140" s="493"/>
      <c r="I140" s="493"/>
      <c r="J140" s="493"/>
      <c r="K140" s="493"/>
      <c r="L140" s="493"/>
      <c r="M140" s="517"/>
      <c r="N140" s="493"/>
      <c r="O140" s="493"/>
      <c r="P140" s="493"/>
      <c r="Q140" s="493"/>
      <c r="R140" s="493"/>
      <c r="S140" s="493"/>
      <c r="T140" s="493"/>
      <c r="U140" s="493"/>
      <c r="V140" s="493"/>
      <c r="W140" s="493"/>
    </row>
    <row r="141" spans="1:23" x14ac:dyDescent="0.3">
      <c r="A141" s="487"/>
      <c r="B141" s="487"/>
      <c r="C141" s="522"/>
      <c r="D141" s="522"/>
      <c r="E141" s="522"/>
      <c r="F141" s="522"/>
      <c r="G141" s="493"/>
      <c r="H141" s="493"/>
      <c r="I141" s="493"/>
      <c r="J141" s="493"/>
      <c r="K141" s="493"/>
      <c r="L141" s="493"/>
      <c r="M141" s="517"/>
      <c r="N141" s="493"/>
      <c r="O141" s="493"/>
      <c r="P141" s="493"/>
      <c r="Q141" s="493"/>
      <c r="R141" s="493"/>
      <c r="S141" s="493"/>
      <c r="T141" s="493"/>
      <c r="U141" s="493"/>
      <c r="V141" s="493"/>
      <c r="W141" s="493"/>
    </row>
    <row r="142" spans="1:23" x14ac:dyDescent="0.3">
      <c r="A142" s="487"/>
      <c r="B142" s="487"/>
      <c r="C142" s="522"/>
      <c r="D142" s="522"/>
      <c r="E142" s="522"/>
      <c r="F142" s="522"/>
      <c r="G142" s="493"/>
      <c r="H142" s="493"/>
      <c r="I142" s="493"/>
      <c r="J142" s="493"/>
      <c r="K142" s="493"/>
      <c r="L142" s="493"/>
      <c r="M142" s="517"/>
      <c r="N142" s="493"/>
      <c r="O142" s="493"/>
      <c r="P142" s="493"/>
      <c r="Q142" s="493"/>
      <c r="R142" s="493"/>
      <c r="S142" s="493"/>
      <c r="T142" s="493"/>
      <c r="U142" s="493"/>
      <c r="V142" s="493"/>
      <c r="W142" s="493"/>
    </row>
    <row r="143" spans="1:23" x14ac:dyDescent="0.3">
      <c r="A143" s="487"/>
      <c r="B143" s="487"/>
      <c r="C143" s="522"/>
      <c r="D143" s="522"/>
      <c r="E143" s="522"/>
      <c r="F143" s="522"/>
      <c r="G143" s="493"/>
      <c r="H143" s="493"/>
      <c r="I143" s="493"/>
      <c r="J143" s="493"/>
      <c r="K143" s="493"/>
      <c r="L143" s="493"/>
      <c r="M143" s="517"/>
      <c r="N143" s="493"/>
      <c r="O143" s="493"/>
      <c r="P143" s="493"/>
      <c r="Q143" s="493"/>
      <c r="R143" s="493"/>
      <c r="S143" s="493"/>
      <c r="T143" s="493"/>
      <c r="U143" s="493"/>
      <c r="V143" s="493"/>
      <c r="W143" s="493"/>
    </row>
    <row r="144" spans="1:23" x14ac:dyDescent="0.3">
      <c r="A144" s="487"/>
      <c r="B144" s="487"/>
      <c r="C144" s="522"/>
      <c r="D144" s="522"/>
      <c r="E144" s="522"/>
      <c r="F144" s="522"/>
      <c r="G144" s="493"/>
      <c r="H144" s="493"/>
      <c r="I144" s="493"/>
      <c r="J144" s="493"/>
      <c r="K144" s="493"/>
      <c r="L144" s="493"/>
      <c r="M144" s="517"/>
      <c r="N144" s="493"/>
      <c r="O144" s="493"/>
      <c r="P144" s="493"/>
      <c r="Q144" s="493"/>
      <c r="R144" s="493"/>
      <c r="S144" s="493"/>
      <c r="T144" s="493"/>
      <c r="U144" s="493"/>
      <c r="V144" s="493"/>
      <c r="W144" s="493"/>
    </row>
    <row r="145" spans="1:23" x14ac:dyDescent="0.3">
      <c r="A145" s="487"/>
      <c r="B145" s="487"/>
      <c r="C145" s="522"/>
      <c r="D145" s="522"/>
      <c r="E145" s="522"/>
      <c r="F145" s="522"/>
      <c r="G145" s="493"/>
      <c r="H145" s="493"/>
      <c r="I145" s="493"/>
      <c r="J145" s="493"/>
      <c r="K145" s="493"/>
      <c r="L145" s="493"/>
      <c r="M145" s="517"/>
      <c r="N145" s="493"/>
      <c r="O145" s="493"/>
      <c r="P145" s="493"/>
      <c r="Q145" s="493"/>
      <c r="R145" s="493"/>
      <c r="S145" s="493"/>
      <c r="T145" s="493"/>
      <c r="U145" s="493"/>
      <c r="V145" s="493"/>
      <c r="W145" s="493"/>
    </row>
    <row r="146" spans="1:23" x14ac:dyDescent="0.3">
      <c r="A146" s="487"/>
      <c r="B146" s="487"/>
      <c r="C146" s="522"/>
      <c r="D146" s="522"/>
      <c r="E146" s="522"/>
      <c r="F146" s="522"/>
      <c r="G146" s="493"/>
      <c r="H146" s="493"/>
      <c r="I146" s="493"/>
      <c r="J146" s="493"/>
      <c r="K146" s="493"/>
      <c r="L146" s="493"/>
      <c r="M146" s="517"/>
      <c r="N146" s="493"/>
      <c r="O146" s="493"/>
      <c r="P146" s="493"/>
      <c r="Q146" s="493"/>
      <c r="R146" s="493"/>
      <c r="S146" s="493"/>
      <c r="T146" s="493"/>
      <c r="U146" s="493"/>
      <c r="V146" s="493"/>
      <c r="W146" s="493"/>
    </row>
    <row r="147" spans="1:23" x14ac:dyDescent="0.3">
      <c r="A147" s="487"/>
      <c r="B147" s="487"/>
      <c r="C147" s="522"/>
      <c r="D147" s="522"/>
      <c r="E147" s="522"/>
      <c r="F147" s="522"/>
      <c r="G147" s="493"/>
      <c r="H147" s="493"/>
      <c r="I147" s="493"/>
      <c r="J147" s="493"/>
      <c r="K147" s="493"/>
      <c r="L147" s="493"/>
      <c r="M147" s="517"/>
      <c r="N147" s="493"/>
      <c r="O147" s="493"/>
      <c r="P147" s="493"/>
      <c r="Q147" s="493"/>
      <c r="R147" s="493"/>
      <c r="S147" s="493"/>
      <c r="T147" s="493"/>
      <c r="U147" s="493"/>
      <c r="V147" s="493"/>
      <c r="W147" s="493"/>
    </row>
    <row r="148" spans="1:23" x14ac:dyDescent="0.3">
      <c r="A148" s="487"/>
      <c r="B148" s="487"/>
      <c r="C148" s="522"/>
      <c r="D148" s="522"/>
      <c r="E148" s="522"/>
      <c r="F148" s="522"/>
      <c r="G148" s="493"/>
      <c r="H148" s="493"/>
      <c r="I148" s="493"/>
      <c r="J148" s="493"/>
      <c r="K148" s="493"/>
      <c r="L148" s="493"/>
      <c r="M148" s="517"/>
      <c r="N148" s="493"/>
      <c r="O148" s="493"/>
      <c r="P148" s="493"/>
      <c r="Q148" s="493"/>
      <c r="R148" s="493"/>
      <c r="S148" s="493"/>
      <c r="T148" s="493"/>
      <c r="U148" s="493"/>
      <c r="V148" s="493"/>
      <c r="W148" s="493"/>
    </row>
    <row r="149" spans="1:23" x14ac:dyDescent="0.3">
      <c r="A149" s="487"/>
      <c r="B149" s="487"/>
      <c r="C149" s="522"/>
      <c r="D149" s="522"/>
      <c r="E149" s="522"/>
      <c r="F149" s="522"/>
      <c r="G149" s="493"/>
      <c r="H149" s="493"/>
      <c r="I149" s="493"/>
      <c r="J149" s="493"/>
      <c r="K149" s="493"/>
      <c r="L149" s="493"/>
      <c r="M149" s="517"/>
      <c r="N149" s="493"/>
      <c r="O149" s="493"/>
      <c r="P149" s="493"/>
      <c r="Q149" s="493"/>
      <c r="R149" s="493"/>
      <c r="S149" s="493"/>
      <c r="T149" s="493"/>
      <c r="U149" s="493"/>
      <c r="V149" s="493"/>
      <c r="W149" s="493"/>
    </row>
    <row r="150" spans="1:23" x14ac:dyDescent="0.3">
      <c r="A150" s="487"/>
      <c r="B150" s="487"/>
      <c r="C150" s="522"/>
      <c r="D150" s="522"/>
      <c r="E150" s="522"/>
      <c r="F150" s="522"/>
      <c r="G150" s="493"/>
      <c r="H150" s="493"/>
      <c r="I150" s="493"/>
      <c r="J150" s="493"/>
      <c r="K150" s="493"/>
      <c r="L150" s="493"/>
      <c r="M150" s="517"/>
      <c r="N150" s="493"/>
      <c r="O150" s="493"/>
      <c r="P150" s="493"/>
      <c r="Q150" s="493"/>
      <c r="R150" s="493"/>
      <c r="S150" s="493"/>
      <c r="T150" s="493"/>
      <c r="U150" s="493"/>
      <c r="V150" s="493"/>
      <c r="W150" s="493"/>
    </row>
    <row r="151" spans="1:23" x14ac:dyDescent="0.3">
      <c r="A151" s="487"/>
      <c r="B151" s="487"/>
      <c r="C151" s="522"/>
      <c r="D151" s="522"/>
      <c r="E151" s="522"/>
      <c r="F151" s="522"/>
      <c r="G151" s="493"/>
      <c r="H151" s="493"/>
      <c r="I151" s="493"/>
      <c r="J151" s="493"/>
      <c r="K151" s="493"/>
      <c r="L151" s="493"/>
      <c r="M151" s="517"/>
      <c r="N151" s="493"/>
      <c r="O151" s="493"/>
      <c r="P151" s="493"/>
      <c r="Q151" s="493"/>
      <c r="R151" s="493"/>
      <c r="S151" s="493"/>
      <c r="T151" s="493"/>
      <c r="U151" s="493"/>
      <c r="V151" s="493"/>
      <c r="W151" s="493"/>
    </row>
    <row r="152" spans="1:23" x14ac:dyDescent="0.3">
      <c r="A152" s="487"/>
      <c r="B152" s="487"/>
      <c r="C152" s="522"/>
      <c r="D152" s="522"/>
      <c r="E152" s="522"/>
      <c r="F152" s="522"/>
      <c r="G152" s="493"/>
      <c r="H152" s="493"/>
      <c r="I152" s="493"/>
      <c r="J152" s="493"/>
      <c r="K152" s="493"/>
      <c r="L152" s="493"/>
      <c r="M152" s="517"/>
      <c r="N152" s="493"/>
      <c r="O152" s="493"/>
      <c r="P152" s="493"/>
      <c r="Q152" s="493"/>
      <c r="R152" s="493"/>
      <c r="S152" s="493"/>
      <c r="T152" s="493"/>
      <c r="U152" s="493"/>
      <c r="V152" s="493"/>
      <c r="W152" s="493"/>
    </row>
    <row r="153" spans="1:23" x14ac:dyDescent="0.3">
      <c r="A153" s="487"/>
      <c r="B153" s="487"/>
      <c r="C153" s="522"/>
      <c r="D153" s="522"/>
      <c r="E153" s="522"/>
      <c r="F153" s="522"/>
      <c r="G153" s="493"/>
      <c r="H153" s="493"/>
      <c r="I153" s="493"/>
      <c r="J153" s="493"/>
      <c r="K153" s="493"/>
      <c r="L153" s="493"/>
      <c r="M153" s="517"/>
      <c r="N153" s="493"/>
      <c r="O153" s="493"/>
      <c r="P153" s="493"/>
      <c r="Q153" s="493"/>
      <c r="R153" s="493"/>
      <c r="S153" s="493"/>
      <c r="T153" s="493"/>
      <c r="U153" s="493"/>
      <c r="V153" s="493"/>
      <c r="W153" s="493"/>
    </row>
    <row r="154" spans="1:23" x14ac:dyDescent="0.3">
      <c r="A154" s="487"/>
      <c r="B154" s="487"/>
      <c r="C154" s="522"/>
      <c r="D154" s="522"/>
      <c r="E154" s="522"/>
      <c r="F154" s="522"/>
      <c r="G154" s="493"/>
      <c r="H154" s="493"/>
      <c r="I154" s="493"/>
      <c r="J154" s="493"/>
      <c r="K154" s="493"/>
      <c r="L154" s="493"/>
      <c r="M154" s="517"/>
      <c r="N154" s="493"/>
      <c r="O154" s="493"/>
      <c r="P154" s="493"/>
      <c r="Q154" s="493"/>
      <c r="R154" s="493"/>
      <c r="S154" s="493"/>
      <c r="T154" s="493"/>
      <c r="U154" s="493"/>
      <c r="V154" s="493"/>
      <c r="W154" s="493"/>
    </row>
    <row r="155" spans="1:23" x14ac:dyDescent="0.3">
      <c r="A155" s="487"/>
      <c r="B155" s="487"/>
      <c r="C155" s="522"/>
      <c r="D155" s="522"/>
      <c r="E155" s="522"/>
      <c r="F155" s="522"/>
      <c r="G155" s="493"/>
      <c r="H155" s="493"/>
      <c r="I155" s="493"/>
      <c r="J155" s="493"/>
      <c r="K155" s="493"/>
      <c r="L155" s="493"/>
      <c r="M155" s="517"/>
      <c r="N155" s="493"/>
      <c r="O155" s="493"/>
      <c r="P155" s="493"/>
      <c r="Q155" s="493"/>
      <c r="R155" s="493"/>
      <c r="S155" s="493"/>
      <c r="T155" s="493"/>
      <c r="U155" s="493"/>
      <c r="V155" s="493"/>
      <c r="W155" s="493"/>
    </row>
    <row r="156" spans="1:23" x14ac:dyDescent="0.3">
      <c r="A156" s="487"/>
      <c r="B156" s="487"/>
      <c r="C156" s="522"/>
      <c r="D156" s="522"/>
      <c r="E156" s="522"/>
      <c r="F156" s="522"/>
      <c r="G156" s="493"/>
      <c r="H156" s="493"/>
      <c r="I156" s="493"/>
      <c r="J156" s="493"/>
      <c r="K156" s="493"/>
      <c r="L156" s="493"/>
      <c r="M156" s="517"/>
      <c r="N156" s="493"/>
      <c r="O156" s="493"/>
      <c r="P156" s="493"/>
      <c r="Q156" s="493"/>
      <c r="R156" s="493"/>
      <c r="S156" s="493"/>
      <c r="T156" s="493"/>
      <c r="U156" s="493"/>
      <c r="V156" s="493"/>
      <c r="W156" s="493"/>
    </row>
    <row r="157" spans="1:23" x14ac:dyDescent="0.3">
      <c r="A157" s="487"/>
      <c r="B157" s="487"/>
      <c r="C157" s="522"/>
      <c r="D157" s="522"/>
      <c r="E157" s="522"/>
      <c r="F157" s="522"/>
      <c r="G157" s="493"/>
      <c r="H157" s="493"/>
      <c r="I157" s="493"/>
      <c r="J157" s="493"/>
      <c r="K157" s="493"/>
      <c r="L157" s="493"/>
      <c r="M157" s="517"/>
      <c r="N157" s="493"/>
      <c r="O157" s="493"/>
      <c r="P157" s="493"/>
      <c r="Q157" s="493"/>
      <c r="R157" s="493"/>
      <c r="S157" s="493"/>
      <c r="T157" s="493"/>
      <c r="U157" s="493"/>
      <c r="V157" s="493"/>
      <c r="W157" s="493"/>
    </row>
    <row r="158" spans="1:23" x14ac:dyDescent="0.3">
      <c r="A158" s="487"/>
      <c r="B158" s="487"/>
      <c r="C158" s="522"/>
      <c r="D158" s="522"/>
      <c r="E158" s="522"/>
      <c r="F158" s="522"/>
      <c r="G158" s="493"/>
      <c r="H158" s="493"/>
      <c r="I158" s="493"/>
      <c r="J158" s="493"/>
      <c r="K158" s="493"/>
      <c r="L158" s="493"/>
      <c r="M158" s="517"/>
      <c r="N158" s="493"/>
      <c r="O158" s="493"/>
      <c r="P158" s="493"/>
      <c r="Q158" s="493"/>
      <c r="R158" s="493"/>
      <c r="S158" s="493"/>
      <c r="T158" s="493"/>
      <c r="U158" s="493"/>
      <c r="V158" s="493"/>
      <c r="W158" s="493"/>
    </row>
    <row r="159" spans="1:23" x14ac:dyDescent="0.3">
      <c r="A159" s="487"/>
      <c r="B159" s="487"/>
      <c r="C159" s="522"/>
      <c r="D159" s="522"/>
      <c r="E159" s="522"/>
      <c r="F159" s="522"/>
      <c r="G159" s="493"/>
      <c r="H159" s="493"/>
      <c r="I159" s="493"/>
      <c r="J159" s="493"/>
      <c r="K159" s="493"/>
      <c r="L159" s="493"/>
      <c r="M159" s="517"/>
      <c r="N159" s="493"/>
      <c r="O159" s="493"/>
      <c r="P159" s="493"/>
      <c r="Q159" s="493"/>
      <c r="R159" s="493"/>
      <c r="S159" s="493"/>
      <c r="T159" s="493"/>
      <c r="U159" s="493"/>
      <c r="V159" s="493"/>
      <c r="W159" s="493"/>
    </row>
    <row r="160" spans="1:23" x14ac:dyDescent="0.3">
      <c r="A160" s="487"/>
      <c r="B160" s="487"/>
      <c r="C160" s="522"/>
      <c r="D160" s="522"/>
      <c r="E160" s="522"/>
      <c r="F160" s="522"/>
      <c r="G160" s="493"/>
      <c r="H160" s="493"/>
      <c r="I160" s="493"/>
      <c r="J160" s="493"/>
      <c r="K160" s="493"/>
      <c r="L160" s="493"/>
      <c r="M160" s="517"/>
      <c r="N160" s="493"/>
      <c r="O160" s="493"/>
      <c r="P160" s="493"/>
      <c r="Q160" s="493"/>
      <c r="R160" s="493"/>
      <c r="S160" s="493"/>
      <c r="T160" s="493"/>
      <c r="U160" s="493"/>
      <c r="V160" s="493"/>
      <c r="W160" s="493"/>
    </row>
    <row r="161" spans="1:23" x14ac:dyDescent="0.3">
      <c r="A161" s="487"/>
      <c r="B161" s="487"/>
      <c r="C161" s="522"/>
      <c r="D161" s="522"/>
      <c r="E161" s="522"/>
      <c r="F161" s="522"/>
      <c r="G161" s="493"/>
      <c r="H161" s="493"/>
      <c r="I161" s="493"/>
      <c r="J161" s="493"/>
      <c r="K161" s="493"/>
      <c r="L161" s="493"/>
      <c r="M161" s="517"/>
      <c r="N161" s="493"/>
      <c r="O161" s="493"/>
      <c r="P161" s="493"/>
      <c r="Q161" s="493"/>
      <c r="R161" s="493"/>
      <c r="S161" s="493"/>
      <c r="T161" s="493"/>
      <c r="U161" s="493"/>
      <c r="V161" s="493"/>
      <c r="W161" s="493"/>
    </row>
    <row r="162" spans="1:23" x14ac:dyDescent="0.3">
      <c r="A162" s="487"/>
      <c r="B162" s="487"/>
      <c r="C162" s="522"/>
      <c r="D162" s="522"/>
      <c r="E162" s="522"/>
      <c r="F162" s="522"/>
      <c r="G162" s="493"/>
      <c r="H162" s="493"/>
      <c r="I162" s="493"/>
      <c r="J162" s="493"/>
      <c r="K162" s="493"/>
      <c r="L162" s="493"/>
      <c r="M162" s="517"/>
      <c r="N162" s="493"/>
      <c r="O162" s="493"/>
      <c r="P162" s="493"/>
      <c r="Q162" s="493"/>
      <c r="R162" s="493"/>
      <c r="S162" s="493"/>
      <c r="T162" s="493"/>
      <c r="U162" s="493"/>
      <c r="V162" s="493"/>
      <c r="W162" s="493"/>
    </row>
    <row r="163" spans="1:23" x14ac:dyDescent="0.3">
      <c r="A163" s="487"/>
      <c r="B163" s="487"/>
      <c r="C163" s="522"/>
      <c r="D163" s="522"/>
      <c r="E163" s="522"/>
      <c r="F163" s="522"/>
      <c r="G163" s="493"/>
      <c r="H163" s="493"/>
      <c r="I163" s="493"/>
      <c r="J163" s="493"/>
      <c r="K163" s="493"/>
      <c r="L163" s="493"/>
      <c r="M163" s="517"/>
      <c r="N163" s="493"/>
      <c r="O163" s="493"/>
      <c r="P163" s="493"/>
      <c r="Q163" s="493"/>
      <c r="R163" s="493"/>
      <c r="S163" s="493"/>
      <c r="T163" s="493"/>
      <c r="U163" s="493"/>
      <c r="V163" s="493"/>
      <c r="W163" s="493"/>
    </row>
    <row r="164" spans="1:23" x14ac:dyDescent="0.3">
      <c r="A164" s="487"/>
      <c r="B164" s="487"/>
      <c r="C164" s="522"/>
      <c r="D164" s="522"/>
      <c r="E164" s="522"/>
      <c r="F164" s="522"/>
      <c r="G164" s="493"/>
      <c r="H164" s="493"/>
      <c r="I164" s="493"/>
      <c r="J164" s="493"/>
      <c r="K164" s="493"/>
      <c r="L164" s="493"/>
      <c r="M164" s="517"/>
      <c r="N164" s="493"/>
      <c r="O164" s="493"/>
      <c r="P164" s="493"/>
      <c r="Q164" s="493"/>
      <c r="R164" s="493"/>
      <c r="S164" s="493"/>
      <c r="T164" s="493"/>
      <c r="U164" s="493"/>
      <c r="V164" s="493"/>
      <c r="W164" s="493"/>
    </row>
    <row r="165" spans="1:23" x14ac:dyDescent="0.3">
      <c r="A165" s="487"/>
      <c r="B165" s="487"/>
      <c r="C165" s="522"/>
      <c r="D165" s="522"/>
      <c r="E165" s="522"/>
      <c r="F165" s="522"/>
      <c r="G165" s="493"/>
      <c r="H165" s="493"/>
      <c r="I165" s="493"/>
      <c r="J165" s="493"/>
      <c r="K165" s="493"/>
      <c r="L165" s="493"/>
      <c r="M165" s="517"/>
      <c r="N165" s="493"/>
      <c r="O165" s="493"/>
      <c r="P165" s="493"/>
      <c r="Q165" s="493"/>
      <c r="R165" s="493"/>
      <c r="S165" s="493"/>
      <c r="T165" s="493"/>
      <c r="U165" s="493"/>
      <c r="V165" s="493"/>
      <c r="W165" s="493"/>
    </row>
    <row r="166" spans="1:23" x14ac:dyDescent="0.3">
      <c r="A166" s="487"/>
      <c r="B166" s="487"/>
      <c r="C166" s="522"/>
      <c r="D166" s="522"/>
      <c r="E166" s="522"/>
      <c r="F166" s="522"/>
      <c r="G166" s="493"/>
      <c r="H166" s="493"/>
      <c r="I166" s="493"/>
      <c r="J166" s="493"/>
      <c r="K166" s="493"/>
      <c r="L166" s="493"/>
      <c r="M166" s="517"/>
      <c r="N166" s="493"/>
      <c r="O166" s="493"/>
      <c r="P166" s="493"/>
      <c r="Q166" s="493"/>
      <c r="R166" s="493"/>
      <c r="S166" s="493"/>
      <c r="T166" s="493"/>
      <c r="U166" s="493"/>
      <c r="V166" s="493"/>
      <c r="W166" s="493"/>
    </row>
    <row r="167" spans="1:23" x14ac:dyDescent="0.3">
      <c r="A167" s="487"/>
      <c r="B167" s="487"/>
      <c r="C167" s="522"/>
      <c r="D167" s="522"/>
      <c r="E167" s="522"/>
      <c r="F167" s="522"/>
      <c r="G167" s="493"/>
      <c r="H167" s="493"/>
      <c r="I167" s="493"/>
      <c r="J167" s="493"/>
      <c r="K167" s="493"/>
      <c r="L167" s="493"/>
      <c r="M167" s="517"/>
      <c r="N167" s="493"/>
      <c r="O167" s="493"/>
      <c r="P167" s="493"/>
      <c r="Q167" s="493"/>
      <c r="R167" s="493"/>
      <c r="S167" s="493"/>
      <c r="T167" s="493"/>
      <c r="U167" s="493"/>
      <c r="V167" s="493"/>
      <c r="W167" s="493"/>
    </row>
    <row r="168" spans="1:23" x14ac:dyDescent="0.3">
      <c r="A168" s="487"/>
      <c r="B168" s="487"/>
      <c r="C168" s="522"/>
      <c r="D168" s="522"/>
      <c r="E168" s="522"/>
      <c r="F168" s="522"/>
      <c r="G168" s="493"/>
      <c r="H168" s="493"/>
      <c r="I168" s="493"/>
      <c r="J168" s="493"/>
      <c r="K168" s="493"/>
      <c r="L168" s="493"/>
      <c r="M168" s="517"/>
      <c r="N168" s="493"/>
      <c r="O168" s="493"/>
      <c r="P168" s="493"/>
      <c r="Q168" s="493"/>
      <c r="R168" s="493"/>
      <c r="S168" s="493"/>
      <c r="T168" s="493"/>
      <c r="U168" s="493"/>
      <c r="V168" s="493"/>
      <c r="W168" s="493"/>
    </row>
    <row r="169" spans="1:23" x14ac:dyDescent="0.3">
      <c r="A169" s="487"/>
      <c r="B169" s="487"/>
      <c r="C169" s="522"/>
      <c r="D169" s="522"/>
      <c r="E169" s="522"/>
      <c r="F169" s="522"/>
      <c r="G169" s="493"/>
      <c r="H169" s="493"/>
      <c r="I169" s="493"/>
      <c r="J169" s="493"/>
      <c r="K169" s="493"/>
      <c r="L169" s="493"/>
      <c r="M169" s="517"/>
      <c r="N169" s="493"/>
      <c r="O169" s="493"/>
      <c r="P169" s="493"/>
      <c r="Q169" s="493"/>
      <c r="R169" s="493"/>
      <c r="S169" s="493"/>
      <c r="T169" s="493"/>
      <c r="U169" s="493"/>
      <c r="V169" s="493"/>
      <c r="W169" s="493"/>
    </row>
    <row r="170" spans="1:23" x14ac:dyDescent="0.3">
      <c r="A170" s="487"/>
      <c r="B170" s="487"/>
      <c r="C170" s="522"/>
      <c r="D170" s="522"/>
      <c r="E170" s="522"/>
      <c r="F170" s="522"/>
      <c r="G170" s="493"/>
      <c r="H170" s="493"/>
      <c r="I170" s="493"/>
      <c r="J170" s="493"/>
      <c r="K170" s="493"/>
      <c r="L170" s="493"/>
      <c r="M170" s="517"/>
      <c r="N170" s="493"/>
      <c r="O170" s="493"/>
      <c r="P170" s="493"/>
      <c r="Q170" s="493"/>
      <c r="R170" s="493"/>
      <c r="S170" s="493"/>
      <c r="T170" s="493"/>
      <c r="U170" s="493"/>
      <c r="V170" s="493"/>
      <c r="W170" s="493"/>
    </row>
    <row r="171" spans="1:23" x14ac:dyDescent="0.3">
      <c r="A171" s="487"/>
      <c r="B171" s="487"/>
      <c r="C171" s="522"/>
      <c r="D171" s="522"/>
      <c r="E171" s="522"/>
      <c r="F171" s="522"/>
      <c r="G171" s="493"/>
      <c r="H171" s="493"/>
      <c r="I171" s="493"/>
      <c r="J171" s="493"/>
      <c r="K171" s="493"/>
      <c r="L171" s="493"/>
      <c r="M171" s="517"/>
      <c r="N171" s="493"/>
      <c r="O171" s="493"/>
      <c r="P171" s="493"/>
      <c r="Q171" s="493"/>
      <c r="R171" s="493"/>
      <c r="S171" s="493"/>
      <c r="T171" s="493"/>
      <c r="U171" s="493"/>
      <c r="V171" s="493"/>
      <c r="W171" s="493"/>
    </row>
    <row r="172" spans="1:23" x14ac:dyDescent="0.3">
      <c r="A172" s="487"/>
      <c r="B172" s="487"/>
      <c r="C172" s="522"/>
      <c r="D172" s="522"/>
      <c r="E172" s="522"/>
      <c r="F172" s="522"/>
      <c r="G172" s="493"/>
      <c r="H172" s="493"/>
      <c r="I172" s="493"/>
      <c r="J172" s="493"/>
      <c r="K172" s="493"/>
      <c r="L172" s="493"/>
      <c r="M172" s="517"/>
      <c r="N172" s="493"/>
      <c r="O172" s="493"/>
      <c r="P172" s="493"/>
      <c r="Q172" s="493"/>
      <c r="R172" s="493"/>
      <c r="S172" s="493"/>
      <c r="T172" s="493"/>
      <c r="U172" s="493"/>
      <c r="V172" s="493"/>
      <c r="W172" s="493"/>
    </row>
    <row r="173" spans="1:23" x14ac:dyDescent="0.3">
      <c r="A173" s="487"/>
      <c r="B173" s="487"/>
      <c r="C173" s="522"/>
      <c r="D173" s="522"/>
      <c r="E173" s="522"/>
      <c r="F173" s="522"/>
      <c r="G173" s="493"/>
      <c r="H173" s="493"/>
      <c r="I173" s="493"/>
      <c r="J173" s="493"/>
      <c r="K173" s="493"/>
      <c r="L173" s="493"/>
      <c r="M173" s="517"/>
      <c r="N173" s="493"/>
      <c r="O173" s="493"/>
      <c r="P173" s="493"/>
      <c r="Q173" s="493"/>
      <c r="R173" s="493"/>
      <c r="S173" s="493"/>
      <c r="T173" s="493"/>
      <c r="U173" s="493"/>
      <c r="V173" s="493"/>
      <c r="W173" s="493"/>
    </row>
    <row r="174" spans="1:23" x14ac:dyDescent="0.3">
      <c r="A174" s="487"/>
      <c r="B174" s="487"/>
      <c r="C174" s="522"/>
      <c r="D174" s="522"/>
      <c r="E174" s="522"/>
      <c r="F174" s="522"/>
      <c r="G174" s="493"/>
      <c r="H174" s="493"/>
      <c r="I174" s="493"/>
      <c r="J174" s="493"/>
      <c r="K174" s="493"/>
      <c r="L174" s="493"/>
      <c r="M174" s="517"/>
      <c r="N174" s="493"/>
      <c r="O174" s="493"/>
      <c r="P174" s="493"/>
      <c r="Q174" s="493"/>
      <c r="R174" s="493"/>
      <c r="S174" s="493"/>
      <c r="T174" s="493"/>
      <c r="U174" s="493"/>
      <c r="V174" s="493"/>
      <c r="W174" s="493"/>
    </row>
    <row r="175" spans="1:23" x14ac:dyDescent="0.3">
      <c r="A175" s="487"/>
      <c r="B175" s="487"/>
      <c r="C175" s="522"/>
      <c r="D175" s="522"/>
      <c r="E175" s="522"/>
      <c r="F175" s="522"/>
      <c r="G175" s="493"/>
      <c r="H175" s="493"/>
      <c r="I175" s="493"/>
      <c r="J175" s="493"/>
      <c r="K175" s="493"/>
      <c r="L175" s="493"/>
      <c r="M175" s="517"/>
      <c r="N175" s="493"/>
      <c r="O175" s="493"/>
      <c r="P175" s="493"/>
      <c r="Q175" s="493"/>
      <c r="R175" s="493"/>
      <c r="S175" s="493"/>
      <c r="T175" s="493"/>
      <c r="U175" s="493"/>
      <c r="V175" s="493"/>
      <c r="W175" s="493"/>
    </row>
    <row r="176" spans="1:23" x14ac:dyDescent="0.3">
      <c r="A176" s="487"/>
      <c r="B176" s="487"/>
      <c r="C176" s="522"/>
      <c r="D176" s="522"/>
      <c r="E176" s="522"/>
      <c r="F176" s="522"/>
      <c r="G176" s="493"/>
      <c r="H176" s="493"/>
      <c r="I176" s="493"/>
      <c r="J176" s="493"/>
      <c r="K176" s="493"/>
      <c r="L176" s="493"/>
      <c r="M176" s="517"/>
      <c r="N176" s="493"/>
      <c r="O176" s="493"/>
      <c r="P176" s="493"/>
      <c r="Q176" s="493"/>
      <c r="R176" s="493"/>
      <c r="S176" s="493"/>
      <c r="T176" s="493"/>
      <c r="U176" s="493"/>
      <c r="V176" s="493"/>
      <c r="W176" s="493"/>
    </row>
    <row r="177" spans="1:23" x14ac:dyDescent="0.3">
      <c r="A177" s="487"/>
      <c r="B177" s="487"/>
      <c r="C177" s="522"/>
      <c r="D177" s="522"/>
      <c r="E177" s="522"/>
      <c r="F177" s="522"/>
      <c r="G177" s="493"/>
      <c r="H177" s="493"/>
      <c r="I177" s="493"/>
      <c r="J177" s="493"/>
      <c r="K177" s="493"/>
      <c r="L177" s="493"/>
      <c r="M177" s="517"/>
      <c r="N177" s="493"/>
      <c r="O177" s="493"/>
      <c r="P177" s="493"/>
      <c r="Q177" s="493"/>
      <c r="R177" s="493"/>
      <c r="S177" s="493"/>
      <c r="T177" s="493"/>
      <c r="U177" s="493"/>
      <c r="V177" s="493"/>
      <c r="W177" s="493"/>
    </row>
    <row r="178" spans="1:23" x14ac:dyDescent="0.3">
      <c r="A178" s="487"/>
      <c r="B178" s="487"/>
      <c r="C178" s="522"/>
      <c r="D178" s="522"/>
      <c r="E178" s="522"/>
      <c r="F178" s="522"/>
      <c r="G178" s="493"/>
      <c r="H178" s="493"/>
      <c r="I178" s="493"/>
      <c r="J178" s="493"/>
      <c r="K178" s="493"/>
      <c r="L178" s="493"/>
      <c r="M178" s="517"/>
      <c r="N178" s="493"/>
      <c r="O178" s="493"/>
      <c r="P178" s="493"/>
      <c r="Q178" s="493"/>
      <c r="R178" s="493"/>
      <c r="S178" s="493"/>
      <c r="T178" s="493"/>
      <c r="U178" s="493"/>
      <c r="V178" s="493"/>
      <c r="W178" s="493"/>
    </row>
    <row r="179" spans="1:23" x14ac:dyDescent="0.3">
      <c r="A179" s="487"/>
      <c r="B179" s="487"/>
      <c r="C179" s="522"/>
      <c r="D179" s="522"/>
      <c r="E179" s="522"/>
      <c r="F179" s="522"/>
      <c r="G179" s="493"/>
      <c r="H179" s="493"/>
      <c r="I179" s="493"/>
      <c r="J179" s="493"/>
      <c r="K179" s="493"/>
      <c r="L179" s="493"/>
      <c r="M179" s="517"/>
      <c r="N179" s="493"/>
      <c r="O179" s="493"/>
      <c r="P179" s="493"/>
      <c r="Q179" s="493"/>
      <c r="R179" s="493"/>
      <c r="S179" s="493"/>
      <c r="T179" s="493"/>
      <c r="U179" s="493"/>
      <c r="V179" s="493"/>
      <c r="W179" s="493"/>
    </row>
    <row r="180" spans="1:23" x14ac:dyDescent="0.3">
      <c r="A180" s="487"/>
      <c r="B180" s="487"/>
      <c r="C180" s="522"/>
      <c r="D180" s="522"/>
      <c r="E180" s="522"/>
      <c r="F180" s="522"/>
      <c r="G180" s="493"/>
      <c r="H180" s="493"/>
      <c r="I180" s="493"/>
      <c r="J180" s="493"/>
      <c r="K180" s="493"/>
      <c r="L180" s="493"/>
      <c r="M180" s="517"/>
      <c r="N180" s="493"/>
      <c r="O180" s="493"/>
      <c r="P180" s="493"/>
      <c r="Q180" s="493"/>
      <c r="R180" s="493"/>
      <c r="S180" s="493"/>
      <c r="T180" s="493"/>
      <c r="U180" s="493"/>
      <c r="V180" s="493"/>
      <c r="W180" s="493"/>
    </row>
    <row r="181" spans="1:23" x14ac:dyDescent="0.3">
      <c r="A181" s="487"/>
      <c r="B181" s="487"/>
      <c r="C181" s="522"/>
      <c r="D181" s="522"/>
      <c r="E181" s="522"/>
      <c r="F181" s="522"/>
      <c r="G181" s="493"/>
      <c r="H181" s="493"/>
      <c r="I181" s="493"/>
      <c r="J181" s="493"/>
      <c r="K181" s="493"/>
      <c r="L181" s="493"/>
      <c r="M181" s="517"/>
      <c r="N181" s="493"/>
      <c r="O181" s="493"/>
      <c r="P181" s="493"/>
      <c r="Q181" s="493"/>
      <c r="R181" s="493"/>
      <c r="S181" s="493"/>
      <c r="T181" s="493"/>
      <c r="U181" s="493"/>
      <c r="V181" s="493"/>
      <c r="W181" s="493"/>
    </row>
    <row r="182" spans="1:23" x14ac:dyDescent="0.3">
      <c r="A182" s="487"/>
      <c r="B182" s="487"/>
      <c r="C182" s="522"/>
      <c r="D182" s="522"/>
      <c r="E182" s="522"/>
      <c r="F182" s="522"/>
      <c r="G182" s="493"/>
      <c r="H182" s="493"/>
      <c r="I182" s="493"/>
      <c r="J182" s="493"/>
      <c r="K182" s="493"/>
      <c r="L182" s="493"/>
      <c r="M182" s="517"/>
      <c r="N182" s="493"/>
      <c r="O182" s="493"/>
      <c r="P182" s="493"/>
      <c r="Q182" s="493"/>
      <c r="R182" s="493"/>
      <c r="S182" s="493"/>
      <c r="T182" s="493"/>
      <c r="U182" s="493"/>
      <c r="V182" s="493"/>
      <c r="W182" s="493"/>
    </row>
    <row r="183" spans="1:23" x14ac:dyDescent="0.3">
      <c r="A183" s="487"/>
      <c r="B183" s="487"/>
      <c r="C183" s="522"/>
      <c r="D183" s="522"/>
      <c r="E183" s="522"/>
      <c r="F183" s="522"/>
      <c r="G183" s="493"/>
      <c r="H183" s="493"/>
      <c r="I183" s="493"/>
      <c r="J183" s="493"/>
      <c r="K183" s="493"/>
      <c r="L183" s="493"/>
      <c r="M183" s="517"/>
      <c r="N183" s="493"/>
      <c r="O183" s="493"/>
      <c r="P183" s="493"/>
      <c r="Q183" s="493"/>
      <c r="R183" s="493"/>
      <c r="S183" s="493"/>
      <c r="T183" s="493"/>
      <c r="U183" s="493"/>
      <c r="V183" s="493"/>
      <c r="W183" s="493"/>
    </row>
    <row r="184" spans="1:23" x14ac:dyDescent="0.3">
      <c r="A184" s="487"/>
      <c r="B184" s="487"/>
      <c r="C184" s="522"/>
      <c r="D184" s="522"/>
      <c r="E184" s="522"/>
      <c r="F184" s="522"/>
      <c r="G184" s="493"/>
      <c r="H184" s="493"/>
      <c r="I184" s="493"/>
      <c r="J184" s="493"/>
      <c r="K184" s="493"/>
      <c r="L184" s="493"/>
      <c r="M184" s="517"/>
      <c r="N184" s="493"/>
      <c r="O184" s="493"/>
      <c r="P184" s="493"/>
      <c r="Q184" s="493"/>
      <c r="R184" s="493"/>
      <c r="S184" s="493"/>
      <c r="T184" s="493"/>
      <c r="U184" s="493"/>
      <c r="V184" s="493"/>
      <c r="W184" s="493"/>
    </row>
    <row r="185" spans="1:23" x14ac:dyDescent="0.3">
      <c r="A185" s="487"/>
      <c r="B185" s="487"/>
      <c r="C185" s="522"/>
      <c r="D185" s="522"/>
      <c r="E185" s="522"/>
      <c r="F185" s="522"/>
      <c r="G185" s="493"/>
      <c r="H185" s="493"/>
      <c r="I185" s="493"/>
      <c r="J185" s="493"/>
      <c r="K185" s="493"/>
      <c r="L185" s="493"/>
      <c r="M185" s="517"/>
      <c r="N185" s="493"/>
      <c r="O185" s="493"/>
      <c r="P185" s="493"/>
      <c r="Q185" s="493"/>
      <c r="R185" s="493"/>
      <c r="S185" s="493"/>
      <c r="T185" s="493"/>
      <c r="U185" s="493"/>
      <c r="V185" s="493"/>
      <c r="W185" s="493"/>
    </row>
    <row r="186" spans="1:23" x14ac:dyDescent="0.3">
      <c r="A186" s="487"/>
      <c r="B186" s="487"/>
      <c r="C186" s="522"/>
      <c r="D186" s="522"/>
      <c r="E186" s="522"/>
      <c r="F186" s="522"/>
      <c r="G186" s="493"/>
      <c r="H186" s="493"/>
      <c r="I186" s="493"/>
      <c r="J186" s="493"/>
      <c r="K186" s="493"/>
      <c r="L186" s="493"/>
      <c r="M186" s="517"/>
      <c r="N186" s="493"/>
      <c r="O186" s="493"/>
      <c r="P186" s="493"/>
      <c r="Q186" s="493"/>
      <c r="R186" s="493"/>
      <c r="S186" s="493"/>
      <c r="T186" s="493"/>
      <c r="U186" s="493"/>
      <c r="V186" s="493"/>
      <c r="W186" s="493"/>
    </row>
    <row r="187" spans="1:23" x14ac:dyDescent="0.3">
      <c r="A187" s="487"/>
      <c r="B187" s="487"/>
      <c r="C187" s="522"/>
      <c r="D187" s="522"/>
      <c r="E187" s="522"/>
      <c r="F187" s="522"/>
      <c r="G187" s="493"/>
      <c r="H187" s="493"/>
      <c r="I187" s="493"/>
      <c r="J187" s="493"/>
      <c r="K187" s="493"/>
      <c r="L187" s="493"/>
      <c r="M187" s="517"/>
      <c r="N187" s="493"/>
      <c r="O187" s="493"/>
      <c r="P187" s="493"/>
      <c r="Q187" s="493"/>
      <c r="R187" s="493"/>
      <c r="S187" s="493"/>
      <c r="T187" s="493"/>
      <c r="U187" s="493"/>
      <c r="V187" s="493"/>
      <c r="W187" s="493"/>
    </row>
    <row r="188" spans="1:23" x14ac:dyDescent="0.3">
      <c r="A188" s="487"/>
      <c r="B188" s="487"/>
      <c r="C188" s="522"/>
      <c r="D188" s="522"/>
      <c r="E188" s="522"/>
      <c r="F188" s="522"/>
      <c r="G188" s="493"/>
      <c r="H188" s="493"/>
      <c r="I188" s="493"/>
      <c r="J188" s="493"/>
      <c r="K188" s="493"/>
      <c r="L188" s="493"/>
      <c r="M188" s="517"/>
      <c r="N188" s="493"/>
      <c r="O188" s="493"/>
      <c r="P188" s="493"/>
      <c r="Q188" s="493"/>
      <c r="R188" s="493"/>
      <c r="S188" s="493"/>
      <c r="T188" s="493"/>
      <c r="U188" s="493"/>
      <c r="V188" s="493"/>
      <c r="W188" s="493"/>
    </row>
    <row r="189" spans="1:23" x14ac:dyDescent="0.3">
      <c r="A189" s="487"/>
      <c r="B189" s="487"/>
      <c r="C189" s="522"/>
      <c r="D189" s="522"/>
      <c r="E189" s="522"/>
      <c r="F189" s="522"/>
      <c r="G189" s="493"/>
      <c r="H189" s="493"/>
      <c r="I189" s="493"/>
      <c r="J189" s="493"/>
      <c r="K189" s="493"/>
      <c r="L189" s="493"/>
      <c r="M189" s="517"/>
      <c r="N189" s="493"/>
      <c r="O189" s="493"/>
      <c r="P189" s="493"/>
      <c r="Q189" s="493"/>
      <c r="R189" s="493"/>
      <c r="S189" s="493"/>
      <c r="T189" s="493"/>
      <c r="U189" s="493"/>
      <c r="V189" s="493"/>
      <c r="W189" s="493"/>
    </row>
    <row r="190" spans="1:23" x14ac:dyDescent="0.3">
      <c r="A190" s="487"/>
      <c r="B190" s="487"/>
      <c r="C190" s="522"/>
      <c r="D190" s="522"/>
      <c r="E190" s="522"/>
      <c r="F190" s="522"/>
      <c r="G190" s="493"/>
      <c r="H190" s="493"/>
      <c r="I190" s="493"/>
      <c r="J190" s="493"/>
      <c r="K190" s="493"/>
      <c r="L190" s="493"/>
      <c r="M190" s="517"/>
      <c r="N190" s="493"/>
      <c r="O190" s="493"/>
      <c r="P190" s="493"/>
      <c r="Q190" s="493"/>
      <c r="R190" s="493"/>
      <c r="S190" s="493"/>
      <c r="T190" s="493"/>
      <c r="U190" s="493"/>
      <c r="V190" s="493"/>
      <c r="W190" s="493"/>
    </row>
    <row r="191" spans="1:23" x14ac:dyDescent="0.3">
      <c r="A191" s="487"/>
      <c r="B191" s="487"/>
      <c r="C191" s="522"/>
      <c r="D191" s="522"/>
      <c r="E191" s="522"/>
      <c r="F191" s="522"/>
      <c r="G191" s="493"/>
      <c r="H191" s="493"/>
      <c r="I191" s="493"/>
      <c r="J191" s="493"/>
      <c r="K191" s="493"/>
      <c r="L191" s="493"/>
      <c r="M191" s="517"/>
      <c r="N191" s="493"/>
      <c r="O191" s="493"/>
      <c r="P191" s="493"/>
      <c r="Q191" s="493"/>
      <c r="R191" s="493"/>
      <c r="S191" s="493"/>
      <c r="T191" s="493"/>
      <c r="U191" s="493"/>
      <c r="V191" s="493"/>
      <c r="W191" s="493"/>
    </row>
    <row r="192" spans="1:23" x14ac:dyDescent="0.3">
      <c r="A192" s="487"/>
      <c r="B192" s="487"/>
      <c r="C192" s="522"/>
      <c r="D192" s="522"/>
      <c r="E192" s="522"/>
      <c r="F192" s="522"/>
      <c r="G192" s="493"/>
      <c r="H192" s="493"/>
      <c r="I192" s="493"/>
      <c r="J192" s="493"/>
      <c r="K192" s="493"/>
      <c r="L192" s="493"/>
      <c r="M192" s="517"/>
      <c r="N192" s="493"/>
      <c r="O192" s="493"/>
      <c r="P192" s="493"/>
      <c r="Q192" s="493"/>
      <c r="R192" s="493"/>
      <c r="S192" s="493"/>
      <c r="T192" s="493"/>
      <c r="U192" s="493"/>
      <c r="V192" s="493"/>
      <c r="W192" s="493"/>
    </row>
    <row r="193" spans="1:23" x14ac:dyDescent="0.3">
      <c r="A193" s="487"/>
      <c r="B193" s="487"/>
      <c r="C193" s="522"/>
      <c r="D193" s="522"/>
      <c r="E193" s="522"/>
      <c r="F193" s="522"/>
      <c r="G193" s="493"/>
      <c r="H193" s="493"/>
      <c r="I193" s="493"/>
      <c r="J193" s="493"/>
      <c r="K193" s="493"/>
      <c r="L193" s="493"/>
      <c r="M193" s="517"/>
      <c r="N193" s="493"/>
      <c r="O193" s="493"/>
      <c r="P193" s="493"/>
      <c r="Q193" s="493"/>
      <c r="R193" s="493"/>
      <c r="S193" s="493"/>
      <c r="T193" s="493"/>
      <c r="U193" s="493"/>
      <c r="V193" s="493"/>
      <c r="W193" s="493"/>
    </row>
    <row r="194" spans="1:23" x14ac:dyDescent="0.3">
      <c r="A194" s="487"/>
      <c r="B194" s="487"/>
      <c r="C194" s="522"/>
      <c r="D194" s="522"/>
      <c r="E194" s="522"/>
      <c r="F194" s="522"/>
      <c r="G194" s="493"/>
      <c r="H194" s="493"/>
      <c r="I194" s="493"/>
      <c r="J194" s="493"/>
      <c r="K194" s="493"/>
      <c r="L194" s="493"/>
      <c r="M194" s="517"/>
      <c r="N194" s="493"/>
      <c r="O194" s="493"/>
      <c r="P194" s="493"/>
      <c r="Q194" s="493"/>
      <c r="R194" s="493"/>
      <c r="S194" s="493"/>
      <c r="T194" s="493"/>
      <c r="U194" s="493"/>
      <c r="V194" s="493"/>
      <c r="W194" s="493"/>
    </row>
    <row r="195" spans="1:23" x14ac:dyDescent="0.3">
      <c r="A195" s="487"/>
      <c r="B195" s="487"/>
      <c r="C195" s="522"/>
      <c r="D195" s="522"/>
      <c r="E195" s="522"/>
      <c r="F195" s="522"/>
      <c r="G195" s="493"/>
      <c r="H195" s="493"/>
      <c r="I195" s="493"/>
      <c r="J195" s="493"/>
      <c r="K195" s="493"/>
      <c r="L195" s="493"/>
      <c r="M195" s="517"/>
      <c r="N195" s="493"/>
      <c r="O195" s="493"/>
      <c r="P195" s="493"/>
      <c r="Q195" s="493"/>
      <c r="R195" s="493"/>
      <c r="S195" s="493"/>
      <c r="T195" s="493"/>
      <c r="U195" s="493"/>
      <c r="V195" s="493"/>
      <c r="W195" s="493"/>
    </row>
    <row r="196" spans="1:23" x14ac:dyDescent="0.3">
      <c r="A196" s="487"/>
      <c r="B196" s="487"/>
      <c r="C196" s="522"/>
      <c r="D196" s="522"/>
      <c r="E196" s="522"/>
      <c r="F196" s="522"/>
      <c r="G196" s="493"/>
      <c r="H196" s="493"/>
      <c r="I196" s="493"/>
      <c r="J196" s="493"/>
      <c r="K196" s="493"/>
      <c r="L196" s="493"/>
      <c r="M196" s="517"/>
      <c r="N196" s="493"/>
      <c r="O196" s="493"/>
      <c r="P196" s="493"/>
      <c r="Q196" s="493"/>
      <c r="R196" s="493"/>
      <c r="S196" s="493"/>
      <c r="T196" s="493"/>
      <c r="U196" s="493"/>
      <c r="V196" s="493"/>
      <c r="W196" s="493"/>
    </row>
    <row r="197" spans="1:23" x14ac:dyDescent="0.3">
      <c r="A197" s="487"/>
      <c r="B197" s="487"/>
      <c r="C197" s="522"/>
      <c r="D197" s="522"/>
      <c r="E197" s="522"/>
      <c r="F197" s="522"/>
      <c r="G197" s="493"/>
      <c r="H197" s="493"/>
      <c r="I197" s="493"/>
      <c r="J197" s="493"/>
      <c r="K197" s="493"/>
      <c r="L197" s="493"/>
      <c r="M197" s="517"/>
      <c r="N197" s="493"/>
      <c r="O197" s="493"/>
      <c r="P197" s="493"/>
      <c r="Q197" s="493"/>
      <c r="R197" s="493"/>
      <c r="S197" s="493"/>
      <c r="T197" s="493"/>
      <c r="U197" s="493"/>
      <c r="V197" s="493"/>
      <c r="W197" s="493"/>
    </row>
    <row r="198" spans="1:23" x14ac:dyDescent="0.3">
      <c r="A198" s="487"/>
      <c r="B198" s="487"/>
      <c r="C198" s="522"/>
      <c r="D198" s="522"/>
      <c r="E198" s="522"/>
      <c r="F198" s="522"/>
      <c r="G198" s="493"/>
      <c r="H198" s="493"/>
      <c r="I198" s="493"/>
      <c r="J198" s="493"/>
      <c r="K198" s="493"/>
      <c r="L198" s="493"/>
      <c r="M198" s="517"/>
      <c r="N198" s="493"/>
      <c r="O198" s="493"/>
      <c r="P198" s="493"/>
      <c r="Q198" s="493"/>
      <c r="R198" s="493"/>
      <c r="S198" s="493"/>
      <c r="T198" s="493"/>
      <c r="U198" s="493"/>
      <c r="V198" s="493"/>
      <c r="W198" s="493"/>
    </row>
    <row r="199" spans="1:23" x14ac:dyDescent="0.3">
      <c r="A199" s="487"/>
      <c r="B199" s="487"/>
      <c r="C199" s="522"/>
      <c r="D199" s="522"/>
      <c r="E199" s="522"/>
      <c r="F199" s="522"/>
      <c r="G199" s="493"/>
      <c r="H199" s="493"/>
      <c r="I199" s="493"/>
      <c r="J199" s="493"/>
      <c r="K199" s="493"/>
      <c r="L199" s="493"/>
      <c r="M199" s="517"/>
      <c r="N199" s="493"/>
      <c r="O199" s="493"/>
      <c r="P199" s="493"/>
      <c r="Q199" s="493"/>
      <c r="R199" s="493"/>
      <c r="S199" s="493"/>
      <c r="T199" s="493"/>
      <c r="U199" s="493"/>
      <c r="V199" s="493"/>
      <c r="W199" s="493"/>
    </row>
    <row r="200" spans="1:23" x14ac:dyDescent="0.3">
      <c r="A200" s="487"/>
      <c r="B200" s="487"/>
      <c r="C200" s="522"/>
      <c r="D200" s="522"/>
      <c r="E200" s="522"/>
      <c r="F200" s="522"/>
      <c r="G200" s="493"/>
      <c r="H200" s="493"/>
      <c r="I200" s="493"/>
      <c r="J200" s="493"/>
      <c r="K200" s="493"/>
      <c r="L200" s="493"/>
      <c r="M200" s="517"/>
      <c r="N200" s="493"/>
      <c r="O200" s="493"/>
      <c r="P200" s="493"/>
      <c r="Q200" s="493"/>
      <c r="R200" s="493"/>
      <c r="S200" s="493"/>
      <c r="T200" s="493"/>
      <c r="U200" s="493"/>
      <c r="V200" s="493"/>
      <c r="W200" s="493"/>
    </row>
    <row r="201" spans="1:23" x14ac:dyDescent="0.3">
      <c r="A201" s="487"/>
      <c r="B201" s="487"/>
      <c r="C201" s="522"/>
      <c r="D201" s="522"/>
      <c r="E201" s="522"/>
      <c r="F201" s="522"/>
      <c r="G201" s="493"/>
      <c r="H201" s="493"/>
      <c r="I201" s="493"/>
      <c r="J201" s="493"/>
      <c r="K201" s="493"/>
      <c r="L201" s="493"/>
      <c r="M201" s="517"/>
      <c r="N201" s="493"/>
      <c r="O201" s="493"/>
      <c r="P201" s="493"/>
      <c r="Q201" s="493"/>
      <c r="R201" s="493"/>
      <c r="S201" s="493"/>
      <c r="T201" s="493"/>
      <c r="U201" s="493"/>
      <c r="V201" s="493"/>
      <c r="W201" s="493"/>
    </row>
    <row r="202" spans="1:23" x14ac:dyDescent="0.3">
      <c r="A202" s="487"/>
      <c r="B202" s="487"/>
      <c r="C202" s="522"/>
      <c r="D202" s="522"/>
      <c r="E202" s="522"/>
      <c r="F202" s="522"/>
      <c r="G202" s="493"/>
      <c r="H202" s="493"/>
      <c r="I202" s="493"/>
      <c r="J202" s="493"/>
      <c r="K202" s="493"/>
      <c r="L202" s="493"/>
      <c r="M202" s="517"/>
      <c r="N202" s="493"/>
      <c r="O202" s="493"/>
      <c r="P202" s="493"/>
      <c r="Q202" s="493"/>
      <c r="R202" s="493"/>
      <c r="S202" s="493"/>
      <c r="T202" s="493"/>
      <c r="U202" s="493"/>
      <c r="V202" s="493"/>
      <c r="W202" s="493"/>
    </row>
    <row r="203" spans="1:23" x14ac:dyDescent="0.3">
      <c r="A203" s="487"/>
      <c r="B203" s="487"/>
      <c r="C203" s="522"/>
      <c r="D203" s="522"/>
      <c r="E203" s="522"/>
      <c r="F203" s="522"/>
      <c r="G203" s="493"/>
      <c r="H203" s="493"/>
      <c r="I203" s="493"/>
      <c r="J203" s="493"/>
      <c r="K203" s="493"/>
      <c r="L203" s="493"/>
      <c r="M203" s="517"/>
      <c r="N203" s="493"/>
      <c r="O203" s="493"/>
      <c r="P203" s="493"/>
      <c r="Q203" s="493"/>
      <c r="R203" s="493"/>
      <c r="S203" s="493"/>
      <c r="T203" s="493"/>
      <c r="U203" s="493"/>
      <c r="V203" s="493"/>
      <c r="W203" s="493"/>
    </row>
    <row r="204" spans="1:23" x14ac:dyDescent="0.3">
      <c r="A204" s="487"/>
      <c r="B204" s="487"/>
      <c r="C204" s="522"/>
      <c r="D204" s="522"/>
      <c r="E204" s="522"/>
      <c r="F204" s="522"/>
      <c r="G204" s="493"/>
      <c r="H204" s="493"/>
      <c r="I204" s="493"/>
      <c r="J204" s="493"/>
      <c r="K204" s="493"/>
      <c r="L204" s="493"/>
      <c r="M204" s="517"/>
      <c r="N204" s="493"/>
      <c r="O204" s="493"/>
      <c r="P204" s="493"/>
      <c r="Q204" s="493"/>
      <c r="R204" s="493"/>
      <c r="S204" s="493"/>
      <c r="T204" s="493"/>
      <c r="U204" s="493"/>
      <c r="V204" s="493"/>
      <c r="W204" s="493"/>
    </row>
    <row r="205" spans="1:23" x14ac:dyDescent="0.3">
      <c r="A205" s="487"/>
      <c r="B205" s="487"/>
      <c r="C205" s="522"/>
      <c r="D205" s="522"/>
      <c r="E205" s="522"/>
      <c r="F205" s="522"/>
      <c r="G205" s="493"/>
      <c r="H205" s="493"/>
      <c r="I205" s="493"/>
      <c r="J205" s="493"/>
      <c r="K205" s="493"/>
      <c r="L205" s="493"/>
      <c r="M205" s="517"/>
      <c r="N205" s="493"/>
      <c r="O205" s="493"/>
      <c r="P205" s="493"/>
      <c r="Q205" s="493"/>
      <c r="R205" s="493"/>
      <c r="S205" s="493"/>
      <c r="T205" s="493"/>
      <c r="U205" s="493"/>
      <c r="V205" s="493"/>
      <c r="W205" s="493"/>
    </row>
    <row r="206" spans="1:23" x14ac:dyDescent="0.3">
      <c r="A206" s="487"/>
      <c r="B206" s="487"/>
      <c r="C206" s="522"/>
      <c r="D206" s="522"/>
      <c r="E206" s="522"/>
      <c r="F206" s="522"/>
      <c r="G206" s="493"/>
      <c r="H206" s="493"/>
      <c r="I206" s="493"/>
      <c r="J206" s="493"/>
      <c r="K206" s="493"/>
      <c r="L206" s="493"/>
      <c r="M206" s="517"/>
      <c r="N206" s="493"/>
      <c r="O206" s="493"/>
      <c r="P206" s="493"/>
      <c r="Q206" s="493"/>
      <c r="R206" s="493"/>
      <c r="S206" s="493"/>
      <c r="T206" s="493"/>
      <c r="U206" s="493"/>
      <c r="V206" s="493"/>
      <c r="W206" s="493"/>
    </row>
    <row r="207" spans="1:23" x14ac:dyDescent="0.3">
      <c r="A207" s="487"/>
      <c r="B207" s="487"/>
      <c r="C207" s="522"/>
      <c r="D207" s="522"/>
      <c r="E207" s="522"/>
      <c r="F207" s="522"/>
      <c r="G207" s="493"/>
      <c r="H207" s="493"/>
      <c r="I207" s="493"/>
      <c r="J207" s="493"/>
      <c r="K207" s="493"/>
      <c r="L207" s="493"/>
      <c r="M207" s="517"/>
      <c r="N207" s="493"/>
      <c r="O207" s="493"/>
      <c r="P207" s="493"/>
      <c r="Q207" s="493"/>
      <c r="R207" s="493"/>
      <c r="S207" s="493"/>
      <c r="T207" s="493"/>
      <c r="U207" s="493"/>
      <c r="V207" s="493"/>
      <c r="W207" s="493"/>
    </row>
    <row r="208" spans="1:23" x14ac:dyDescent="0.3">
      <c r="A208" s="487"/>
      <c r="B208" s="487"/>
      <c r="C208" s="522"/>
      <c r="D208" s="522"/>
      <c r="E208" s="522"/>
      <c r="F208" s="522"/>
      <c r="G208" s="493"/>
      <c r="H208" s="493"/>
      <c r="I208" s="493"/>
      <c r="J208" s="493"/>
      <c r="K208" s="493"/>
      <c r="L208" s="493"/>
      <c r="M208" s="517"/>
      <c r="N208" s="493"/>
      <c r="O208" s="493"/>
      <c r="P208" s="493"/>
      <c r="Q208" s="493"/>
      <c r="R208" s="493"/>
      <c r="S208" s="493"/>
      <c r="T208" s="493"/>
      <c r="U208" s="493"/>
      <c r="V208" s="493"/>
      <c r="W208" s="493"/>
    </row>
    <row r="209" spans="1:23" x14ac:dyDescent="0.3">
      <c r="A209" s="487"/>
      <c r="B209" s="487"/>
      <c r="C209" s="522"/>
      <c r="D209" s="522"/>
      <c r="E209" s="522"/>
      <c r="F209" s="522"/>
      <c r="G209" s="493"/>
      <c r="H209" s="493"/>
      <c r="I209" s="493"/>
      <c r="J209" s="493"/>
      <c r="K209" s="493"/>
      <c r="L209" s="493"/>
      <c r="M209" s="517"/>
      <c r="N209" s="493"/>
      <c r="O209" s="493"/>
      <c r="P209" s="493"/>
      <c r="Q209" s="493"/>
      <c r="R209" s="493"/>
      <c r="S209" s="493"/>
      <c r="T209" s="493"/>
      <c r="U209" s="493"/>
      <c r="V209" s="493"/>
      <c r="W209" s="493"/>
    </row>
    <row r="210" spans="1:23" x14ac:dyDescent="0.3">
      <c r="A210" s="487"/>
      <c r="B210" s="487"/>
      <c r="C210" s="522"/>
      <c r="D210" s="522"/>
      <c r="E210" s="522"/>
      <c r="F210" s="522"/>
      <c r="G210" s="493"/>
      <c r="H210" s="493"/>
      <c r="I210" s="493"/>
      <c r="J210" s="493"/>
      <c r="K210" s="493"/>
      <c r="L210" s="493"/>
      <c r="M210" s="517"/>
      <c r="N210" s="493"/>
      <c r="O210" s="493"/>
      <c r="P210" s="493"/>
      <c r="Q210" s="493"/>
      <c r="R210" s="493"/>
      <c r="S210" s="493"/>
      <c r="T210" s="493"/>
      <c r="U210" s="493"/>
      <c r="V210" s="493"/>
      <c r="W210" s="493"/>
    </row>
    <row r="211" spans="1:23" x14ac:dyDescent="0.3">
      <c r="A211" s="487"/>
      <c r="B211" s="487"/>
      <c r="C211" s="522"/>
      <c r="D211" s="522"/>
      <c r="E211" s="522"/>
      <c r="F211" s="522"/>
      <c r="G211" s="493"/>
      <c r="H211" s="493"/>
      <c r="I211" s="493"/>
      <c r="J211" s="493"/>
      <c r="K211" s="493"/>
      <c r="L211" s="493"/>
      <c r="M211" s="517"/>
      <c r="N211" s="493"/>
      <c r="O211" s="493"/>
      <c r="P211" s="493"/>
      <c r="Q211" s="493"/>
      <c r="R211" s="493"/>
      <c r="S211" s="493"/>
      <c r="T211" s="493"/>
      <c r="U211" s="493"/>
      <c r="V211" s="493"/>
      <c r="W211" s="493"/>
    </row>
    <row r="212" spans="1:23" x14ac:dyDescent="0.3">
      <c r="A212" s="487"/>
      <c r="B212" s="487"/>
      <c r="C212" s="522"/>
      <c r="D212" s="522"/>
      <c r="E212" s="522"/>
      <c r="F212" s="522"/>
      <c r="G212" s="493"/>
      <c r="H212" s="493"/>
      <c r="I212" s="493"/>
      <c r="J212" s="493"/>
      <c r="K212" s="493"/>
      <c r="L212" s="493"/>
      <c r="M212" s="517"/>
      <c r="N212" s="493"/>
      <c r="O212" s="493"/>
      <c r="P212" s="493"/>
      <c r="Q212" s="493"/>
      <c r="R212" s="493"/>
      <c r="S212" s="493"/>
      <c r="T212" s="493"/>
      <c r="U212" s="493"/>
      <c r="V212" s="493"/>
      <c r="W212" s="493"/>
    </row>
    <row r="213" spans="1:23" x14ac:dyDescent="0.3">
      <c r="A213" s="487"/>
      <c r="B213" s="487"/>
      <c r="C213" s="522"/>
      <c r="D213" s="522"/>
      <c r="E213" s="522"/>
      <c r="F213" s="522"/>
      <c r="G213" s="493"/>
      <c r="H213" s="493"/>
      <c r="I213" s="493"/>
      <c r="J213" s="493"/>
      <c r="K213" s="493"/>
      <c r="L213" s="493"/>
      <c r="M213" s="517"/>
      <c r="N213" s="493"/>
      <c r="O213" s="493"/>
      <c r="P213" s="493"/>
      <c r="Q213" s="493"/>
      <c r="R213" s="493"/>
      <c r="S213" s="493"/>
      <c r="T213" s="493"/>
      <c r="U213" s="493"/>
      <c r="V213" s="493"/>
      <c r="W213" s="493"/>
    </row>
    <row r="214" spans="1:23" x14ac:dyDescent="0.3">
      <c r="A214" s="487"/>
      <c r="B214" s="487"/>
      <c r="C214" s="522"/>
      <c r="D214" s="522"/>
      <c r="E214" s="522"/>
      <c r="F214" s="522"/>
      <c r="G214" s="493"/>
      <c r="H214" s="493"/>
      <c r="I214" s="493"/>
      <c r="J214" s="493"/>
      <c r="K214" s="493"/>
      <c r="L214" s="493"/>
      <c r="M214" s="517"/>
      <c r="N214" s="493"/>
      <c r="O214" s="493"/>
      <c r="P214" s="493"/>
      <c r="Q214" s="493"/>
      <c r="R214" s="493"/>
      <c r="S214" s="493"/>
      <c r="T214" s="493"/>
      <c r="U214" s="493"/>
      <c r="V214" s="493"/>
      <c r="W214" s="493"/>
    </row>
    <row r="215" spans="1:23" x14ac:dyDescent="0.3">
      <c r="A215" s="487"/>
      <c r="B215" s="487"/>
      <c r="C215" s="522"/>
      <c r="D215" s="522"/>
      <c r="E215" s="522"/>
      <c r="F215" s="522"/>
      <c r="G215" s="493"/>
      <c r="H215" s="493"/>
      <c r="I215" s="493"/>
      <c r="J215" s="493"/>
      <c r="K215" s="493"/>
      <c r="L215" s="493"/>
      <c r="M215" s="517"/>
      <c r="N215" s="493"/>
      <c r="O215" s="493"/>
      <c r="P215" s="493"/>
      <c r="Q215" s="493"/>
      <c r="R215" s="493"/>
      <c r="S215" s="493"/>
      <c r="T215" s="493"/>
      <c r="U215" s="493"/>
      <c r="V215" s="493"/>
      <c r="W215" s="493"/>
    </row>
    <row r="216" spans="1:23" x14ac:dyDescent="0.3">
      <c r="A216" s="487"/>
      <c r="B216" s="487"/>
      <c r="C216" s="522"/>
      <c r="D216" s="522"/>
      <c r="E216" s="522"/>
      <c r="F216" s="522"/>
      <c r="G216" s="493"/>
      <c r="H216" s="493"/>
      <c r="I216" s="493"/>
      <c r="J216" s="493"/>
      <c r="K216" s="493"/>
      <c r="L216" s="493"/>
      <c r="M216" s="517"/>
      <c r="N216" s="493"/>
      <c r="O216" s="493"/>
      <c r="P216" s="493"/>
      <c r="Q216" s="493"/>
      <c r="R216" s="493"/>
      <c r="S216" s="493"/>
      <c r="T216" s="493"/>
      <c r="U216" s="493"/>
      <c r="V216" s="493"/>
      <c r="W216" s="493"/>
    </row>
    <row r="217" spans="1:23" x14ac:dyDescent="0.3">
      <c r="A217" s="487"/>
      <c r="B217" s="487"/>
      <c r="C217" s="522"/>
      <c r="D217" s="522"/>
      <c r="E217" s="522"/>
      <c r="F217" s="522"/>
      <c r="G217" s="493"/>
      <c r="H217" s="493"/>
      <c r="I217" s="493"/>
      <c r="J217" s="493"/>
      <c r="K217" s="493"/>
      <c r="L217" s="493"/>
      <c r="M217" s="517"/>
      <c r="N217" s="493"/>
      <c r="O217" s="493"/>
      <c r="P217" s="493"/>
      <c r="Q217" s="493"/>
      <c r="R217" s="493"/>
      <c r="S217" s="493"/>
      <c r="T217" s="493"/>
      <c r="U217" s="493"/>
      <c r="V217" s="493"/>
      <c r="W217" s="493"/>
    </row>
    <row r="218" spans="1:23" x14ac:dyDescent="0.3">
      <c r="A218" s="487"/>
      <c r="B218" s="487"/>
      <c r="C218" s="522"/>
      <c r="D218" s="522"/>
      <c r="E218" s="522"/>
      <c r="F218" s="522"/>
      <c r="G218" s="493"/>
      <c r="H218" s="493"/>
      <c r="I218" s="493"/>
      <c r="J218" s="493"/>
      <c r="K218" s="493"/>
      <c r="L218" s="493"/>
      <c r="M218" s="517"/>
      <c r="N218" s="493"/>
      <c r="O218" s="493"/>
      <c r="P218" s="493"/>
      <c r="Q218" s="493"/>
      <c r="R218" s="493"/>
      <c r="S218" s="493"/>
      <c r="T218" s="493"/>
      <c r="U218" s="493"/>
      <c r="V218" s="493"/>
      <c r="W218" s="493"/>
    </row>
    <row r="219" spans="1:23" x14ac:dyDescent="0.3">
      <c r="A219" s="487"/>
      <c r="B219" s="487"/>
      <c r="C219" s="522"/>
      <c r="D219" s="522"/>
      <c r="E219" s="522"/>
      <c r="F219" s="522"/>
      <c r="G219" s="493"/>
      <c r="H219" s="493"/>
      <c r="I219" s="493"/>
      <c r="J219" s="493"/>
      <c r="K219" s="493"/>
      <c r="L219" s="493"/>
      <c r="M219" s="517"/>
      <c r="N219" s="493"/>
      <c r="O219" s="493"/>
      <c r="P219" s="493"/>
      <c r="Q219" s="493"/>
      <c r="R219" s="493"/>
      <c r="S219" s="493"/>
      <c r="T219" s="493"/>
      <c r="U219" s="493"/>
      <c r="V219" s="493"/>
      <c r="W219" s="493"/>
    </row>
    <row r="220" spans="1:23" x14ac:dyDescent="0.3">
      <c r="A220" s="487"/>
      <c r="B220" s="487"/>
      <c r="C220" s="522"/>
      <c r="D220" s="522"/>
      <c r="E220" s="522"/>
      <c r="F220" s="522"/>
      <c r="G220" s="493"/>
      <c r="H220" s="493"/>
      <c r="I220" s="493"/>
      <c r="J220" s="493"/>
      <c r="K220" s="493"/>
      <c r="L220" s="493"/>
      <c r="M220" s="517"/>
      <c r="N220" s="493"/>
      <c r="O220" s="493"/>
      <c r="P220" s="493"/>
      <c r="Q220" s="493"/>
      <c r="R220" s="493"/>
      <c r="S220" s="493"/>
      <c r="T220" s="493"/>
      <c r="U220" s="493"/>
      <c r="V220" s="493"/>
      <c r="W220" s="493"/>
    </row>
    <row r="221" spans="1:23" x14ac:dyDescent="0.3">
      <c r="A221" s="487"/>
      <c r="B221" s="487"/>
      <c r="C221" s="522"/>
      <c r="D221" s="522"/>
      <c r="E221" s="522"/>
      <c r="F221" s="522"/>
      <c r="G221" s="493"/>
      <c r="H221" s="493"/>
      <c r="I221" s="493"/>
      <c r="J221" s="493"/>
      <c r="K221" s="493"/>
      <c r="L221" s="493"/>
      <c r="M221" s="517"/>
      <c r="N221" s="493"/>
      <c r="O221" s="493"/>
      <c r="P221" s="493"/>
      <c r="Q221" s="493"/>
      <c r="R221" s="493"/>
      <c r="S221" s="493"/>
      <c r="T221" s="493"/>
      <c r="U221" s="493"/>
      <c r="V221" s="493"/>
      <c r="W221" s="493"/>
    </row>
    <row r="222" spans="1:23" x14ac:dyDescent="0.3">
      <c r="A222" s="487"/>
      <c r="B222" s="487"/>
      <c r="C222" s="522"/>
      <c r="D222" s="522"/>
      <c r="E222" s="522"/>
      <c r="F222" s="522"/>
      <c r="G222" s="493"/>
      <c r="H222" s="493"/>
      <c r="I222" s="493"/>
      <c r="J222" s="493"/>
      <c r="K222" s="493"/>
      <c r="L222" s="493"/>
      <c r="M222" s="517"/>
      <c r="N222" s="493"/>
      <c r="O222" s="493"/>
      <c r="P222" s="493"/>
      <c r="Q222" s="493"/>
      <c r="R222" s="493"/>
      <c r="S222" s="493"/>
      <c r="T222" s="493"/>
      <c r="U222" s="493"/>
      <c r="V222" s="493"/>
      <c r="W222" s="493"/>
    </row>
    <row r="223" spans="1:23" x14ac:dyDescent="0.3">
      <c r="A223" s="487"/>
      <c r="B223" s="487"/>
      <c r="C223" s="522"/>
      <c r="D223" s="522"/>
      <c r="E223" s="522"/>
      <c r="F223" s="522"/>
      <c r="G223" s="493"/>
      <c r="H223" s="493"/>
      <c r="I223" s="493"/>
      <c r="J223" s="493"/>
      <c r="K223" s="493"/>
      <c r="L223" s="493"/>
      <c r="M223" s="517"/>
      <c r="N223" s="493"/>
      <c r="O223" s="493"/>
      <c r="P223" s="493"/>
      <c r="Q223" s="493"/>
      <c r="R223" s="493"/>
      <c r="S223" s="493"/>
      <c r="T223" s="493"/>
      <c r="U223" s="493"/>
      <c r="V223" s="493"/>
      <c r="W223" s="493"/>
    </row>
    <row r="224" spans="1:23" x14ac:dyDescent="0.3">
      <c r="A224" s="487"/>
      <c r="B224" s="487"/>
      <c r="C224" s="522"/>
      <c r="D224" s="522"/>
      <c r="E224" s="522"/>
      <c r="F224" s="522"/>
      <c r="G224" s="493"/>
      <c r="H224" s="493"/>
      <c r="I224" s="493"/>
      <c r="J224" s="493"/>
      <c r="K224" s="493"/>
      <c r="L224" s="493"/>
      <c r="M224" s="517"/>
      <c r="N224" s="493"/>
      <c r="O224" s="493"/>
      <c r="P224" s="493"/>
      <c r="Q224" s="493"/>
      <c r="R224" s="493"/>
      <c r="S224" s="493"/>
      <c r="T224" s="493"/>
      <c r="U224" s="493"/>
      <c r="V224" s="493"/>
      <c r="W224" s="493"/>
    </row>
    <row r="225" spans="1:23" x14ac:dyDescent="0.3">
      <c r="A225" s="487"/>
      <c r="B225" s="487"/>
      <c r="C225" s="522"/>
      <c r="D225" s="522"/>
      <c r="E225" s="522"/>
      <c r="F225" s="522"/>
      <c r="G225" s="493"/>
      <c r="H225" s="493"/>
      <c r="I225" s="493"/>
      <c r="J225" s="493"/>
      <c r="K225" s="493"/>
      <c r="L225" s="493"/>
      <c r="M225" s="517"/>
      <c r="N225" s="493"/>
      <c r="O225" s="493"/>
      <c r="P225" s="493"/>
      <c r="Q225" s="493"/>
      <c r="R225" s="493"/>
      <c r="S225" s="493"/>
      <c r="T225" s="493"/>
      <c r="U225" s="493"/>
      <c r="V225" s="493"/>
      <c r="W225" s="493"/>
    </row>
    <row r="226" spans="1:23" x14ac:dyDescent="0.3">
      <c r="A226" s="487"/>
      <c r="B226" s="487"/>
      <c r="C226" s="522"/>
      <c r="D226" s="522"/>
      <c r="E226" s="522"/>
      <c r="F226" s="522"/>
      <c r="G226" s="493"/>
      <c r="H226" s="493"/>
      <c r="I226" s="493"/>
      <c r="J226" s="493"/>
      <c r="K226" s="493"/>
      <c r="L226" s="493"/>
      <c r="M226" s="517"/>
      <c r="N226" s="493"/>
      <c r="O226" s="493"/>
      <c r="P226" s="493"/>
      <c r="Q226" s="493"/>
      <c r="R226" s="493"/>
      <c r="S226" s="493"/>
      <c r="T226" s="493"/>
      <c r="U226" s="493"/>
      <c r="V226" s="493"/>
      <c r="W226" s="493"/>
    </row>
    <row r="227" spans="1:23" x14ac:dyDescent="0.3">
      <c r="A227" s="487"/>
      <c r="B227" s="487"/>
      <c r="C227" s="522"/>
      <c r="D227" s="522"/>
      <c r="E227" s="522"/>
      <c r="F227" s="522"/>
      <c r="G227" s="493"/>
      <c r="H227" s="493"/>
      <c r="I227" s="493"/>
      <c r="J227" s="493"/>
      <c r="K227" s="493"/>
      <c r="L227" s="493"/>
      <c r="M227" s="517"/>
      <c r="N227" s="493"/>
      <c r="O227" s="493"/>
      <c r="P227" s="493"/>
      <c r="Q227" s="493"/>
      <c r="R227" s="493"/>
      <c r="S227" s="493"/>
      <c r="T227" s="493"/>
      <c r="U227" s="493"/>
      <c r="V227" s="493"/>
      <c r="W227" s="493"/>
    </row>
    <row r="228" spans="1:23" x14ac:dyDescent="0.3">
      <c r="A228" s="487"/>
      <c r="B228" s="487"/>
      <c r="C228" s="522"/>
      <c r="D228" s="522"/>
      <c r="E228" s="522"/>
      <c r="F228" s="522"/>
      <c r="G228" s="493"/>
      <c r="H228" s="493"/>
      <c r="I228" s="493"/>
      <c r="J228" s="493"/>
      <c r="K228" s="493"/>
      <c r="L228" s="493"/>
      <c r="M228" s="517"/>
      <c r="N228" s="493"/>
      <c r="O228" s="493"/>
      <c r="P228" s="493"/>
      <c r="Q228" s="493"/>
      <c r="R228" s="493"/>
      <c r="S228" s="493"/>
      <c r="T228" s="493"/>
      <c r="U228" s="493"/>
      <c r="V228" s="493"/>
      <c r="W228" s="493"/>
    </row>
    <row r="229" spans="1:23" x14ac:dyDescent="0.3">
      <c r="A229" s="487"/>
      <c r="B229" s="487"/>
      <c r="C229" s="522"/>
      <c r="D229" s="522"/>
      <c r="E229" s="522"/>
      <c r="F229" s="522"/>
      <c r="G229" s="493"/>
      <c r="H229" s="493"/>
      <c r="I229" s="493"/>
      <c r="J229" s="493"/>
      <c r="K229" s="493"/>
      <c r="L229" s="493"/>
      <c r="M229" s="517"/>
      <c r="N229" s="493"/>
      <c r="O229" s="493"/>
      <c r="P229" s="493"/>
      <c r="Q229" s="493"/>
      <c r="R229" s="493"/>
      <c r="S229" s="493"/>
      <c r="T229" s="493"/>
      <c r="U229" s="493"/>
      <c r="V229" s="493"/>
      <c r="W229" s="493"/>
    </row>
    <row r="230" spans="1:23" x14ac:dyDescent="0.3">
      <c r="A230" s="487"/>
      <c r="B230" s="487"/>
      <c r="C230" s="522"/>
      <c r="D230" s="522"/>
      <c r="E230" s="522"/>
      <c r="F230" s="522"/>
      <c r="G230" s="493"/>
      <c r="H230" s="493"/>
      <c r="I230" s="493"/>
      <c r="J230" s="493"/>
      <c r="K230" s="493"/>
      <c r="L230" s="493"/>
      <c r="M230" s="517"/>
      <c r="N230" s="493"/>
      <c r="O230" s="493"/>
      <c r="P230" s="493"/>
      <c r="Q230" s="493"/>
      <c r="R230" s="493"/>
      <c r="S230" s="493"/>
      <c r="T230" s="493"/>
      <c r="U230" s="493"/>
      <c r="V230" s="493"/>
      <c r="W230" s="493"/>
    </row>
    <row r="231" spans="1:23" x14ac:dyDescent="0.3">
      <c r="A231" s="487"/>
      <c r="B231" s="487"/>
      <c r="C231" s="522"/>
      <c r="D231" s="522"/>
      <c r="E231" s="522"/>
      <c r="F231" s="522"/>
      <c r="G231" s="493"/>
      <c r="H231" s="493"/>
      <c r="I231" s="493"/>
      <c r="J231" s="493"/>
      <c r="K231" s="493"/>
      <c r="L231" s="493"/>
      <c r="M231" s="517"/>
      <c r="N231" s="493"/>
      <c r="O231" s="493"/>
      <c r="P231" s="493"/>
      <c r="Q231" s="493"/>
      <c r="R231" s="493"/>
      <c r="S231" s="493"/>
      <c r="T231" s="493"/>
      <c r="U231" s="493"/>
      <c r="V231" s="493"/>
      <c r="W231" s="493"/>
    </row>
    <row r="232" spans="1:23" x14ac:dyDescent="0.3">
      <c r="A232" s="487"/>
      <c r="B232" s="487"/>
      <c r="C232" s="522"/>
      <c r="D232" s="522"/>
      <c r="E232" s="522"/>
      <c r="F232" s="522"/>
      <c r="G232" s="493"/>
      <c r="H232" s="493"/>
      <c r="I232" s="493"/>
      <c r="J232" s="493"/>
      <c r="K232" s="493"/>
      <c r="L232" s="493"/>
      <c r="M232" s="517"/>
      <c r="N232" s="493"/>
      <c r="O232" s="493"/>
      <c r="P232" s="493"/>
      <c r="Q232" s="493"/>
      <c r="R232" s="493"/>
      <c r="S232" s="493"/>
      <c r="T232" s="493"/>
      <c r="U232" s="493"/>
      <c r="V232" s="493"/>
      <c r="W232" s="493"/>
    </row>
    <row r="233" spans="1:23" x14ac:dyDescent="0.3">
      <c r="A233" s="487"/>
      <c r="B233" s="487"/>
      <c r="C233" s="522"/>
      <c r="D233" s="522"/>
      <c r="E233" s="522"/>
      <c r="F233" s="522"/>
      <c r="G233" s="493"/>
      <c r="H233" s="493"/>
      <c r="I233" s="493"/>
      <c r="J233" s="493"/>
      <c r="K233" s="493"/>
      <c r="L233" s="493"/>
      <c r="M233" s="517"/>
      <c r="N233" s="493"/>
      <c r="O233" s="493"/>
      <c r="P233" s="493"/>
      <c r="Q233" s="493"/>
      <c r="R233" s="493"/>
      <c r="S233" s="493"/>
      <c r="T233" s="493"/>
      <c r="U233" s="493"/>
      <c r="V233" s="493"/>
      <c r="W233" s="493"/>
    </row>
    <row r="234" spans="1:23" x14ac:dyDescent="0.3">
      <c r="A234" s="487"/>
      <c r="B234" s="487"/>
      <c r="C234" s="522"/>
      <c r="D234" s="522"/>
      <c r="E234" s="522"/>
      <c r="F234" s="522"/>
      <c r="G234" s="493"/>
      <c r="H234" s="493"/>
      <c r="I234" s="493"/>
      <c r="J234" s="493"/>
      <c r="K234" s="493"/>
      <c r="L234" s="493"/>
      <c r="M234" s="517"/>
      <c r="N234" s="493"/>
      <c r="O234" s="493"/>
      <c r="P234" s="493"/>
      <c r="Q234" s="493"/>
      <c r="R234" s="493"/>
      <c r="S234" s="493"/>
      <c r="T234" s="493"/>
      <c r="U234" s="493"/>
      <c r="V234" s="493"/>
      <c r="W234" s="493"/>
    </row>
    <row r="235" spans="1:23" x14ac:dyDescent="0.3">
      <c r="A235" s="487"/>
      <c r="B235" s="487"/>
      <c r="C235" s="522"/>
      <c r="D235" s="522"/>
      <c r="E235" s="522"/>
      <c r="F235" s="522"/>
      <c r="G235" s="493"/>
      <c r="H235" s="493"/>
      <c r="I235" s="493"/>
      <c r="J235" s="493"/>
      <c r="K235" s="493"/>
      <c r="L235" s="493"/>
      <c r="M235" s="517"/>
      <c r="N235" s="493"/>
      <c r="O235" s="493"/>
      <c r="P235" s="493"/>
      <c r="Q235" s="493"/>
      <c r="R235" s="493"/>
      <c r="S235" s="493"/>
      <c r="T235" s="493"/>
      <c r="U235" s="493"/>
      <c r="V235" s="493"/>
      <c r="W235" s="493"/>
    </row>
    <row r="236" spans="1:23" x14ac:dyDescent="0.3">
      <c r="A236" s="487"/>
      <c r="B236" s="487"/>
      <c r="C236" s="522"/>
      <c r="D236" s="522"/>
      <c r="E236" s="522"/>
      <c r="F236" s="522"/>
      <c r="G236" s="493"/>
      <c r="H236" s="493"/>
      <c r="I236" s="493"/>
      <c r="J236" s="493"/>
      <c r="K236" s="493"/>
      <c r="L236" s="493"/>
      <c r="M236" s="517"/>
      <c r="N236" s="493"/>
      <c r="O236" s="493"/>
      <c r="P236" s="493"/>
      <c r="Q236" s="493"/>
      <c r="R236" s="493"/>
      <c r="S236" s="493"/>
      <c r="T236" s="493"/>
      <c r="U236" s="493"/>
      <c r="V236" s="493"/>
      <c r="W236" s="493"/>
    </row>
    <row r="237" spans="1:23" x14ac:dyDescent="0.3">
      <c r="A237" s="487"/>
      <c r="B237" s="487"/>
      <c r="C237" s="522"/>
      <c r="D237" s="522"/>
      <c r="E237" s="522"/>
      <c r="F237" s="522"/>
      <c r="G237" s="493"/>
      <c r="H237" s="493"/>
      <c r="I237" s="493"/>
      <c r="J237" s="493"/>
      <c r="K237" s="493"/>
      <c r="L237" s="493"/>
      <c r="M237" s="517"/>
      <c r="N237" s="493"/>
      <c r="O237" s="493"/>
      <c r="P237" s="493"/>
      <c r="Q237" s="493"/>
      <c r="R237" s="493"/>
      <c r="S237" s="493"/>
      <c r="T237" s="493"/>
      <c r="U237" s="493"/>
      <c r="V237" s="493"/>
      <c r="W237" s="493"/>
    </row>
    <row r="238" spans="1:23" x14ac:dyDescent="0.3">
      <c r="A238" s="487"/>
      <c r="B238" s="487"/>
      <c r="C238" s="522"/>
      <c r="D238" s="522"/>
      <c r="E238" s="522"/>
      <c r="F238" s="522"/>
      <c r="G238" s="493"/>
      <c r="H238" s="493"/>
      <c r="I238" s="493"/>
      <c r="J238" s="493"/>
      <c r="K238" s="493"/>
      <c r="L238" s="493"/>
      <c r="M238" s="517"/>
      <c r="N238" s="493"/>
      <c r="O238" s="493"/>
      <c r="P238" s="493"/>
      <c r="Q238" s="493"/>
      <c r="R238" s="493"/>
      <c r="S238" s="493"/>
      <c r="T238" s="493"/>
      <c r="U238" s="493"/>
      <c r="V238" s="493"/>
      <c r="W238" s="493"/>
    </row>
    <row r="239" spans="1:23" x14ac:dyDescent="0.3">
      <c r="A239" s="487"/>
      <c r="B239" s="487"/>
      <c r="C239" s="522"/>
      <c r="D239" s="522"/>
      <c r="E239" s="522"/>
      <c r="F239" s="522"/>
      <c r="G239" s="493"/>
      <c r="H239" s="493"/>
      <c r="I239" s="493"/>
      <c r="J239" s="493"/>
      <c r="K239" s="493"/>
      <c r="L239" s="493"/>
      <c r="M239" s="517"/>
      <c r="N239" s="493"/>
      <c r="O239" s="493"/>
      <c r="P239" s="493"/>
      <c r="Q239" s="493"/>
      <c r="R239" s="493"/>
      <c r="S239" s="493"/>
      <c r="T239" s="493"/>
      <c r="U239" s="493"/>
      <c r="V239" s="493"/>
      <c r="W239" s="493"/>
    </row>
    <row r="240" spans="1:23" x14ac:dyDescent="0.3">
      <c r="A240" s="487"/>
      <c r="B240" s="487"/>
      <c r="C240" s="522"/>
      <c r="D240" s="522"/>
      <c r="E240" s="522"/>
      <c r="F240" s="522"/>
      <c r="G240" s="493"/>
      <c r="H240" s="493"/>
      <c r="I240" s="493"/>
      <c r="J240" s="493"/>
      <c r="K240" s="493"/>
      <c r="L240" s="493"/>
      <c r="M240" s="517"/>
      <c r="N240" s="493"/>
      <c r="O240" s="493"/>
      <c r="P240" s="493"/>
      <c r="Q240" s="493"/>
      <c r="R240" s="493"/>
      <c r="S240" s="493"/>
      <c r="T240" s="493"/>
      <c r="U240" s="493"/>
      <c r="V240" s="493"/>
      <c r="W240" s="493"/>
    </row>
    <row r="241" spans="1:23" x14ac:dyDescent="0.3">
      <c r="A241" s="487"/>
      <c r="B241" s="487"/>
      <c r="C241" s="522"/>
      <c r="D241" s="522"/>
      <c r="E241" s="522"/>
      <c r="F241" s="522"/>
      <c r="G241" s="493"/>
      <c r="H241" s="493"/>
      <c r="I241" s="493"/>
      <c r="J241" s="493"/>
      <c r="K241" s="493"/>
      <c r="L241" s="493"/>
      <c r="M241" s="517"/>
      <c r="N241" s="493"/>
      <c r="O241" s="493"/>
      <c r="P241" s="493"/>
      <c r="Q241" s="493"/>
      <c r="R241" s="493"/>
      <c r="S241" s="493"/>
      <c r="T241" s="493"/>
      <c r="U241" s="493"/>
      <c r="V241" s="493"/>
      <c r="W241" s="493"/>
    </row>
    <row r="242" spans="1:23" x14ac:dyDescent="0.3">
      <c r="A242" s="487"/>
      <c r="B242" s="487"/>
      <c r="C242" s="522"/>
      <c r="D242" s="522"/>
      <c r="E242" s="522"/>
      <c r="F242" s="522"/>
      <c r="G242" s="493"/>
      <c r="H242" s="493"/>
      <c r="I242" s="493"/>
      <c r="J242" s="493"/>
      <c r="K242" s="493"/>
      <c r="L242" s="493"/>
      <c r="M242" s="517"/>
      <c r="N242" s="493"/>
      <c r="O242" s="493"/>
      <c r="P242" s="493"/>
      <c r="Q242" s="493"/>
      <c r="R242" s="493"/>
      <c r="S242" s="493"/>
      <c r="T242" s="493"/>
      <c r="U242" s="493"/>
      <c r="V242" s="493"/>
      <c r="W242" s="493"/>
    </row>
    <row r="243" spans="1:23" x14ac:dyDescent="0.3">
      <c r="A243" s="487"/>
      <c r="B243" s="487"/>
      <c r="C243" s="522"/>
      <c r="D243" s="522"/>
      <c r="E243" s="522"/>
      <c r="F243" s="522"/>
      <c r="G243" s="493"/>
      <c r="H243" s="493"/>
      <c r="I243" s="493"/>
      <c r="J243" s="493"/>
      <c r="K243" s="493"/>
      <c r="L243" s="493"/>
      <c r="M243" s="517"/>
      <c r="N243" s="493"/>
      <c r="O243" s="493"/>
      <c r="P243" s="493"/>
      <c r="Q243" s="493"/>
      <c r="R243" s="493"/>
      <c r="S243" s="493"/>
      <c r="T243" s="493"/>
      <c r="U243" s="493"/>
      <c r="V243" s="493"/>
      <c r="W243" s="493"/>
    </row>
    <row r="244" spans="1:23" x14ac:dyDescent="0.3">
      <c r="A244" s="487"/>
      <c r="B244" s="487"/>
      <c r="C244" s="522"/>
      <c r="D244" s="522"/>
      <c r="E244" s="522"/>
      <c r="F244" s="522"/>
      <c r="G244" s="493"/>
      <c r="H244" s="493"/>
      <c r="I244" s="493"/>
      <c r="J244" s="493"/>
      <c r="K244" s="493"/>
      <c r="L244" s="493"/>
      <c r="M244" s="517"/>
      <c r="N244" s="493"/>
      <c r="O244" s="493"/>
      <c r="P244" s="493"/>
      <c r="Q244" s="493"/>
      <c r="R244" s="493"/>
      <c r="S244" s="493"/>
      <c r="T244" s="493"/>
      <c r="U244" s="493"/>
      <c r="V244" s="493"/>
      <c r="W244" s="493"/>
    </row>
    <row r="245" spans="1:23" x14ac:dyDescent="0.3">
      <c r="A245" s="487"/>
      <c r="B245" s="487"/>
      <c r="C245" s="522"/>
      <c r="D245" s="522"/>
      <c r="E245" s="522"/>
      <c r="F245" s="522"/>
      <c r="G245" s="493"/>
      <c r="H245" s="493"/>
      <c r="I245" s="493"/>
      <c r="J245" s="493"/>
      <c r="K245" s="493"/>
      <c r="L245" s="493"/>
      <c r="M245" s="517"/>
      <c r="N245" s="493"/>
      <c r="O245" s="493"/>
      <c r="P245" s="493"/>
      <c r="Q245" s="493"/>
      <c r="R245" s="493"/>
      <c r="S245" s="493"/>
      <c r="T245" s="493"/>
      <c r="U245" s="493"/>
      <c r="V245" s="493"/>
      <c r="W245" s="493"/>
    </row>
    <row r="246" spans="1:23" x14ac:dyDescent="0.3">
      <c r="A246" s="487"/>
      <c r="B246" s="487"/>
      <c r="C246" s="522"/>
      <c r="D246" s="522"/>
      <c r="E246" s="522"/>
      <c r="F246" s="522"/>
      <c r="G246" s="493"/>
      <c r="H246" s="493"/>
      <c r="I246" s="493"/>
      <c r="J246" s="493"/>
      <c r="K246" s="493"/>
      <c r="L246" s="493"/>
      <c r="M246" s="517"/>
      <c r="N246" s="493"/>
      <c r="O246" s="493"/>
      <c r="P246" s="493"/>
      <c r="Q246" s="493"/>
      <c r="R246" s="493"/>
      <c r="S246" s="493"/>
      <c r="T246" s="493"/>
      <c r="U246" s="493"/>
      <c r="V246" s="493"/>
      <c r="W246" s="493"/>
    </row>
    <row r="247" spans="1:23" x14ac:dyDescent="0.3">
      <c r="A247" s="487"/>
      <c r="B247" s="487"/>
      <c r="C247" s="522"/>
      <c r="D247" s="522"/>
      <c r="E247" s="522"/>
      <c r="F247" s="522"/>
      <c r="G247" s="493"/>
      <c r="H247" s="493"/>
      <c r="I247" s="493"/>
      <c r="J247" s="493"/>
      <c r="K247" s="493"/>
      <c r="L247" s="493"/>
      <c r="M247" s="517"/>
      <c r="N247" s="493"/>
      <c r="O247" s="493"/>
      <c r="P247" s="493"/>
      <c r="Q247" s="493"/>
      <c r="R247" s="493"/>
      <c r="S247" s="493"/>
      <c r="T247" s="493"/>
      <c r="U247" s="493"/>
      <c r="V247" s="493"/>
      <c r="W247" s="493"/>
    </row>
    <row r="248" spans="1:23" x14ac:dyDescent="0.3">
      <c r="A248" s="487"/>
      <c r="B248" s="487"/>
      <c r="C248" s="522"/>
      <c r="D248" s="522"/>
      <c r="E248" s="522"/>
      <c r="F248" s="522"/>
      <c r="G248" s="493"/>
      <c r="H248" s="493"/>
      <c r="I248" s="493"/>
      <c r="J248" s="493"/>
      <c r="K248" s="493"/>
      <c r="L248" s="493"/>
      <c r="M248" s="517"/>
      <c r="N248" s="493"/>
      <c r="O248" s="493"/>
      <c r="P248" s="493"/>
      <c r="Q248" s="493"/>
      <c r="R248" s="493"/>
      <c r="S248" s="493"/>
      <c r="T248" s="493"/>
      <c r="U248" s="493"/>
      <c r="V248" s="493"/>
      <c r="W248" s="493"/>
    </row>
    <row r="249" spans="1:23" x14ac:dyDescent="0.3">
      <c r="A249" s="487"/>
      <c r="B249" s="487"/>
      <c r="C249" s="522"/>
      <c r="D249" s="522"/>
      <c r="E249" s="522"/>
      <c r="F249" s="522"/>
      <c r="G249" s="493"/>
      <c r="H249" s="493"/>
      <c r="I249" s="493"/>
      <c r="J249" s="493"/>
      <c r="K249" s="493"/>
      <c r="L249" s="493"/>
      <c r="M249" s="517"/>
      <c r="N249" s="493"/>
      <c r="O249" s="493"/>
      <c r="P249" s="493"/>
      <c r="Q249" s="493"/>
      <c r="R249" s="493"/>
      <c r="S249" s="493"/>
      <c r="T249" s="493"/>
      <c r="U249" s="493"/>
      <c r="V249" s="493"/>
      <c r="W249" s="493"/>
    </row>
    <row r="250" spans="1:23" x14ac:dyDescent="0.3">
      <c r="A250" s="487"/>
      <c r="B250" s="487"/>
      <c r="C250" s="522"/>
      <c r="D250" s="522"/>
      <c r="E250" s="522"/>
      <c r="F250" s="522"/>
      <c r="G250" s="493"/>
      <c r="H250" s="493"/>
      <c r="I250" s="493"/>
      <c r="J250" s="493"/>
      <c r="K250" s="493"/>
      <c r="L250" s="493"/>
      <c r="M250" s="517"/>
      <c r="N250" s="493"/>
      <c r="O250" s="493"/>
      <c r="P250" s="493"/>
      <c r="Q250" s="493"/>
      <c r="R250" s="493"/>
      <c r="S250" s="493"/>
      <c r="T250" s="493"/>
      <c r="U250" s="493"/>
      <c r="V250" s="493"/>
      <c r="W250" s="493"/>
    </row>
  </sheetData>
  <printOptions horizontalCentered="1"/>
  <pageMargins left="0.5" right="0.5" top="0.5" bottom="0.5" header="0.25" footer="0.2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85" zoomScaleNormal="85" workbookViewId="0">
      <selection activeCell="O1" sqref="O1"/>
    </sheetView>
  </sheetViews>
  <sheetFormatPr defaultColWidth="9.109375" defaultRowHeight="14.4" x14ac:dyDescent="0.3"/>
  <cols>
    <col min="1" max="1" width="6.88671875" style="2" customWidth="1"/>
    <col min="2" max="2" width="3.6640625" style="2" customWidth="1"/>
    <col min="3" max="3" width="24.88671875" style="2" customWidth="1"/>
    <col min="4" max="7" width="14.6640625" style="2" customWidth="1"/>
    <col min="8" max="8" width="18.6640625" style="2" customWidth="1"/>
    <col min="9" max="10" width="9.109375" style="2"/>
    <col min="11" max="11" width="13.33203125" style="2" customWidth="1"/>
    <col min="12" max="16384" width="9.109375" style="2"/>
  </cols>
  <sheetData>
    <row r="1" spans="1:15" x14ac:dyDescent="0.3">
      <c r="A1" s="487" t="s">
        <v>142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O1" s="2" t="s">
        <v>2427</v>
      </c>
    </row>
    <row r="2" spans="1:15" x14ac:dyDescent="0.3">
      <c r="A2" s="487" t="s">
        <v>260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O2" s="8" t="s">
        <v>1904</v>
      </c>
    </row>
    <row r="3" spans="1:15" x14ac:dyDescent="0.3">
      <c r="A3" s="487" t="s">
        <v>2306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O3" s="8" t="s">
        <v>2430</v>
      </c>
    </row>
    <row r="4" spans="1:15" x14ac:dyDescent="0.3">
      <c r="A4" s="487" t="s">
        <v>297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O4" s="8" t="s">
        <v>1959</v>
      </c>
    </row>
    <row r="5" spans="1:15" x14ac:dyDescent="0.3">
      <c r="A5" s="493"/>
      <c r="B5" s="493"/>
      <c r="C5" s="493"/>
      <c r="D5" s="493"/>
      <c r="E5" s="493"/>
      <c r="F5" s="493"/>
      <c r="G5" s="493"/>
      <c r="H5" s="493"/>
      <c r="I5" s="493"/>
      <c r="J5" s="493"/>
      <c r="K5" s="493"/>
      <c r="O5" s="8" t="s">
        <v>2428</v>
      </c>
    </row>
    <row r="6" spans="1:15" x14ac:dyDescent="0.3">
      <c r="A6" s="517" t="s">
        <v>298</v>
      </c>
      <c r="B6" s="493"/>
      <c r="C6" s="487"/>
      <c r="D6" s="487"/>
      <c r="E6" s="262" t="s">
        <v>147</v>
      </c>
      <c r="F6" s="262" t="s">
        <v>148</v>
      </c>
      <c r="G6" s="262" t="s">
        <v>146</v>
      </c>
      <c r="H6" s="261" t="s">
        <v>299</v>
      </c>
      <c r="I6" s="493"/>
      <c r="J6" s="493"/>
      <c r="K6" s="493"/>
      <c r="O6" s="485"/>
    </row>
    <row r="7" spans="1:15" x14ac:dyDescent="0.3">
      <c r="A7" s="610" t="s">
        <v>300</v>
      </c>
      <c r="B7" s="493"/>
      <c r="C7" s="229"/>
      <c r="D7" s="487"/>
      <c r="E7" s="229"/>
      <c r="F7" s="229"/>
      <c r="G7" s="229"/>
      <c r="H7" s="261"/>
      <c r="I7" s="493"/>
      <c r="J7" s="493"/>
      <c r="K7" s="493"/>
      <c r="O7" s="485"/>
    </row>
    <row r="8" spans="1:15" x14ac:dyDescent="0.3">
      <c r="A8" s="493"/>
      <c r="B8" s="229" t="s">
        <v>301</v>
      </c>
      <c r="C8" s="229"/>
      <c r="D8" s="487"/>
      <c r="E8" s="229"/>
      <c r="F8" s="229"/>
      <c r="G8" s="229"/>
      <c r="H8" s="261"/>
      <c r="I8" s="493"/>
      <c r="J8" s="493"/>
      <c r="K8" s="493"/>
      <c r="O8" s="231"/>
    </row>
    <row r="9" spans="1:15" x14ac:dyDescent="0.3">
      <c r="A9" s="517">
        <v>1</v>
      </c>
      <c r="B9" s="493"/>
      <c r="C9" s="229" t="s">
        <v>248</v>
      </c>
      <c r="D9" s="487"/>
      <c r="E9" s="235">
        <v>54150</v>
      </c>
      <c r="F9" s="235">
        <v>555055.90999999992</v>
      </c>
      <c r="G9" s="235">
        <f>+E9+F9</f>
        <v>609205.90999999992</v>
      </c>
      <c r="H9" s="255" t="s">
        <v>302</v>
      </c>
      <c r="I9" s="493"/>
      <c r="J9" s="493"/>
      <c r="K9" s="493"/>
    </row>
    <row r="10" spans="1:15" x14ac:dyDescent="0.3">
      <c r="A10" s="517">
        <f t="shared" ref="A10:A18" si="0">+A9+1</f>
        <v>2</v>
      </c>
      <c r="B10" s="493"/>
      <c r="C10" s="229" t="s">
        <v>249</v>
      </c>
      <c r="D10" s="487"/>
      <c r="E10" s="235">
        <v>89244.34</v>
      </c>
      <c r="F10" s="235">
        <v>1952953.45</v>
      </c>
      <c r="G10" s="235">
        <f t="shared" ref="G10:G16" si="1">+E10+F10</f>
        <v>2042197.79</v>
      </c>
      <c r="H10" s="255" t="s">
        <v>302</v>
      </c>
      <c r="I10" s="493"/>
      <c r="J10" s="493"/>
      <c r="K10" s="493"/>
    </row>
    <row r="11" spans="1:15" x14ac:dyDescent="0.3">
      <c r="A11" s="517">
        <f t="shared" si="0"/>
        <v>3</v>
      </c>
      <c r="B11" s="493"/>
      <c r="C11" s="229" t="s">
        <v>250</v>
      </c>
      <c r="D11" s="487"/>
      <c r="E11" s="235">
        <v>5722.5</v>
      </c>
      <c r="F11" s="235">
        <v>34640</v>
      </c>
      <c r="G11" s="235">
        <f t="shared" si="1"/>
        <v>40362.5</v>
      </c>
      <c r="H11" s="255" t="s">
        <v>302</v>
      </c>
      <c r="I11" s="493"/>
      <c r="J11" s="493"/>
      <c r="K11" s="493"/>
    </row>
    <row r="12" spans="1:15" x14ac:dyDescent="0.3">
      <c r="A12" s="517">
        <f t="shared" si="0"/>
        <v>4</v>
      </c>
      <c r="B12" s="493"/>
      <c r="C12" s="229" t="s">
        <v>251</v>
      </c>
      <c r="D12" s="487"/>
      <c r="E12" s="235">
        <v>11657.5</v>
      </c>
      <c r="F12" s="235">
        <v>106545</v>
      </c>
      <c r="G12" s="235">
        <f t="shared" si="1"/>
        <v>118202.5</v>
      </c>
      <c r="H12" s="255" t="s">
        <v>302</v>
      </c>
      <c r="I12" s="493"/>
      <c r="J12" s="493"/>
      <c r="K12" s="493"/>
    </row>
    <row r="13" spans="1:15" x14ac:dyDescent="0.3">
      <c r="A13" s="517">
        <f t="shared" si="0"/>
        <v>5</v>
      </c>
      <c r="B13" s="493"/>
      <c r="C13" s="229" t="s">
        <v>252</v>
      </c>
      <c r="D13" s="487"/>
      <c r="E13" s="235">
        <v>33220</v>
      </c>
      <c r="F13" s="235">
        <v>346530</v>
      </c>
      <c r="G13" s="235">
        <f t="shared" si="1"/>
        <v>379750</v>
      </c>
      <c r="H13" s="255" t="s">
        <v>302</v>
      </c>
      <c r="I13" s="493"/>
      <c r="J13" s="493"/>
      <c r="K13" s="493"/>
    </row>
    <row r="14" spans="1:15" x14ac:dyDescent="0.3">
      <c r="A14" s="517">
        <f t="shared" si="0"/>
        <v>6</v>
      </c>
      <c r="B14" s="493"/>
      <c r="C14" s="229" t="s">
        <v>253</v>
      </c>
      <c r="D14" s="487"/>
      <c r="E14" s="235">
        <v>18356.309999999998</v>
      </c>
      <c r="F14" s="235">
        <v>169005.28</v>
      </c>
      <c r="G14" s="235">
        <f t="shared" si="1"/>
        <v>187361.59</v>
      </c>
      <c r="H14" s="255" t="s">
        <v>302</v>
      </c>
      <c r="I14" s="493"/>
      <c r="J14" s="493"/>
      <c r="K14" s="493"/>
    </row>
    <row r="15" spans="1:15" x14ac:dyDescent="0.3">
      <c r="A15" s="517">
        <f t="shared" si="0"/>
        <v>7</v>
      </c>
      <c r="B15" s="493"/>
      <c r="C15" s="229" t="s">
        <v>254</v>
      </c>
      <c r="D15" s="487"/>
      <c r="E15" s="235">
        <v>74464.737622999979</v>
      </c>
      <c r="F15" s="235">
        <v>715230.08237700001</v>
      </c>
      <c r="G15" s="235">
        <f t="shared" si="1"/>
        <v>789694.82</v>
      </c>
      <c r="H15" s="259" t="s">
        <v>303</v>
      </c>
      <c r="I15" s="493"/>
      <c r="J15" s="493"/>
      <c r="K15" s="493"/>
    </row>
    <row r="16" spans="1:15" x14ac:dyDescent="0.3">
      <c r="A16" s="517">
        <f t="shared" si="0"/>
        <v>8</v>
      </c>
      <c r="B16" s="493"/>
      <c r="C16" s="229" t="s">
        <v>255</v>
      </c>
      <c r="D16" s="487"/>
      <c r="E16" s="234">
        <v>1983</v>
      </c>
      <c r="F16" s="234">
        <v>377811.82</v>
      </c>
      <c r="G16" s="234">
        <f t="shared" si="1"/>
        <v>379794.82</v>
      </c>
      <c r="H16" s="255" t="s">
        <v>302</v>
      </c>
      <c r="I16" s="493"/>
      <c r="J16" s="493"/>
      <c r="K16" s="493"/>
    </row>
    <row r="17" spans="1:11" x14ac:dyDescent="0.3">
      <c r="A17" s="517">
        <f t="shared" si="0"/>
        <v>9</v>
      </c>
      <c r="B17" s="493"/>
      <c r="C17" s="229" t="s">
        <v>256</v>
      </c>
      <c r="D17" s="487"/>
      <c r="E17" s="250">
        <v>-2337162.4599999995</v>
      </c>
      <c r="F17" s="250">
        <f>+G17-E17</f>
        <v>-17672.900000000373</v>
      </c>
      <c r="G17" s="250">
        <v>-2354835.36</v>
      </c>
      <c r="H17" s="255" t="s">
        <v>302</v>
      </c>
      <c r="I17" s="493"/>
      <c r="J17" s="493"/>
      <c r="K17" s="493"/>
    </row>
    <row r="18" spans="1:11" x14ac:dyDescent="0.3">
      <c r="A18" s="517">
        <f t="shared" si="0"/>
        <v>10</v>
      </c>
      <c r="B18" s="493"/>
      <c r="C18" s="256" t="s">
        <v>304</v>
      </c>
      <c r="D18" s="487"/>
      <c r="E18" s="223">
        <f>SUM(E9:E17)</f>
        <v>-2048364.0723769995</v>
      </c>
      <c r="F18" s="223">
        <f>SUM(F9:F17)</f>
        <v>4240098.6423769994</v>
      </c>
      <c r="G18" s="223">
        <f>SUM(G9:G17)</f>
        <v>2191734.5699999998</v>
      </c>
      <c r="H18" s="255"/>
      <c r="I18" s="493"/>
      <c r="J18" s="493"/>
      <c r="K18" s="493"/>
    </row>
    <row r="19" spans="1:11" x14ac:dyDescent="0.3">
      <c r="A19" s="493"/>
      <c r="B19" s="493"/>
      <c r="C19" s="229"/>
      <c r="D19" s="487"/>
      <c r="E19" s="522"/>
      <c r="F19" s="522"/>
      <c r="G19" s="522"/>
      <c r="H19" s="617"/>
      <c r="I19" s="493"/>
      <c r="J19" s="493"/>
      <c r="K19" s="493"/>
    </row>
    <row r="20" spans="1:11" x14ac:dyDescent="0.3">
      <c r="A20" s="493"/>
      <c r="B20" s="229" t="s">
        <v>305</v>
      </c>
      <c r="C20" s="229"/>
      <c r="D20" s="487"/>
      <c r="E20" s="522"/>
      <c r="F20" s="522"/>
      <c r="G20" s="223"/>
      <c r="H20" s="517"/>
      <c r="I20" s="493"/>
      <c r="J20" s="493"/>
      <c r="K20" s="493"/>
    </row>
    <row r="21" spans="1:11" x14ac:dyDescent="0.3">
      <c r="A21" s="517">
        <f>+A18+1</f>
        <v>11</v>
      </c>
      <c r="B21" s="493"/>
      <c r="C21" s="229" t="s">
        <v>243</v>
      </c>
      <c r="D21" s="487"/>
      <c r="E21" s="258">
        <v>1268490.0233520002</v>
      </c>
      <c r="F21" s="260">
        <v>20012318.716647997</v>
      </c>
      <c r="G21" s="258">
        <f>+E21+F21</f>
        <v>21280808.739999998</v>
      </c>
      <c r="H21" s="255" t="s">
        <v>302</v>
      </c>
      <c r="I21" s="493"/>
      <c r="J21" s="493"/>
      <c r="K21" s="493"/>
    </row>
    <row r="22" spans="1:11" x14ac:dyDescent="0.3">
      <c r="A22" s="517">
        <f>+A21+1</f>
        <v>12</v>
      </c>
      <c r="B22" s="493"/>
      <c r="C22" s="229" t="s">
        <v>244</v>
      </c>
      <c r="D22" s="487"/>
      <c r="E22" s="258">
        <v>2759453.359045567</v>
      </c>
      <c r="F22" s="260">
        <v>14839281.250954432</v>
      </c>
      <c r="G22" s="258">
        <f>+E22+F22</f>
        <v>17598734.609999999</v>
      </c>
      <c r="H22" s="255" t="s">
        <v>302</v>
      </c>
      <c r="I22" s="493"/>
      <c r="J22" s="493"/>
      <c r="K22" s="493"/>
    </row>
    <row r="23" spans="1:11" x14ac:dyDescent="0.3">
      <c r="A23" s="517">
        <f t="shared" ref="A23:A28" si="2">+A22+1</f>
        <v>13</v>
      </c>
      <c r="B23" s="493"/>
      <c r="C23" s="229" t="s">
        <v>245</v>
      </c>
      <c r="D23" s="487"/>
      <c r="E23" s="235">
        <v>667005.90507000021</v>
      </c>
      <c r="F23" s="235">
        <f>+G23-E23</f>
        <v>5541743.0949299997</v>
      </c>
      <c r="G23" s="258">
        <v>6208749</v>
      </c>
      <c r="H23" s="259" t="s">
        <v>245</v>
      </c>
      <c r="I23" s="493"/>
      <c r="J23" s="493"/>
      <c r="K23" s="493"/>
    </row>
    <row r="24" spans="1:11" x14ac:dyDescent="0.3">
      <c r="A24" s="517">
        <f t="shared" si="2"/>
        <v>14</v>
      </c>
      <c r="B24" s="493"/>
      <c r="C24" s="229" t="s">
        <v>246</v>
      </c>
      <c r="D24" s="487"/>
      <c r="E24" s="235">
        <v>147229.99</v>
      </c>
      <c r="F24" s="223">
        <v>1790395.18</v>
      </c>
      <c r="G24" s="258">
        <f>+E24+F24</f>
        <v>1937625.17</v>
      </c>
      <c r="H24" s="255" t="s">
        <v>302</v>
      </c>
      <c r="I24" s="493"/>
      <c r="J24" s="493"/>
      <c r="K24" s="493"/>
    </row>
    <row r="25" spans="1:11" x14ac:dyDescent="0.3">
      <c r="A25" s="517">
        <f t="shared" si="2"/>
        <v>15</v>
      </c>
      <c r="B25" s="493"/>
      <c r="C25" s="229" t="s">
        <v>452</v>
      </c>
      <c r="D25" s="487"/>
      <c r="E25" s="235">
        <v>0</v>
      </c>
      <c r="F25" s="235">
        <v>854967.01</v>
      </c>
      <c r="G25" s="258">
        <f>+E25+F25</f>
        <v>854967.01</v>
      </c>
      <c r="H25" s="255" t="s">
        <v>302</v>
      </c>
      <c r="I25" s="493"/>
      <c r="J25" s="493"/>
      <c r="K25" s="493"/>
    </row>
    <row r="26" spans="1:11" x14ac:dyDescent="0.3">
      <c r="A26" s="517">
        <f t="shared" si="2"/>
        <v>16</v>
      </c>
      <c r="B26" s="493"/>
      <c r="C26" s="487" t="s">
        <v>453</v>
      </c>
      <c r="D26" s="493"/>
      <c r="E26" s="235">
        <v>0</v>
      </c>
      <c r="F26" s="235">
        <v>752182.84000000008</v>
      </c>
      <c r="G26" s="258">
        <f>+E26+F26</f>
        <v>752182.84000000008</v>
      </c>
      <c r="H26" s="255" t="s">
        <v>302</v>
      </c>
      <c r="I26" s="493"/>
      <c r="J26" s="493"/>
      <c r="K26" s="493"/>
    </row>
    <row r="27" spans="1:11" x14ac:dyDescent="0.3">
      <c r="A27" s="517">
        <f t="shared" si="2"/>
        <v>17</v>
      </c>
      <c r="B27" s="493"/>
      <c r="C27" s="229" t="s">
        <v>247</v>
      </c>
      <c r="D27" s="487"/>
      <c r="E27" s="225">
        <v>113632.75245</v>
      </c>
      <c r="F27" s="225">
        <v>162151.22754999998</v>
      </c>
      <c r="G27" s="257">
        <f>+E27+F27</f>
        <v>275783.98</v>
      </c>
      <c r="H27" s="255" t="s">
        <v>454</v>
      </c>
      <c r="I27" s="493"/>
      <c r="J27" s="493"/>
      <c r="K27" s="493"/>
    </row>
    <row r="28" spans="1:11" x14ac:dyDescent="0.3">
      <c r="A28" s="517">
        <f t="shared" si="2"/>
        <v>18</v>
      </c>
      <c r="B28" s="493"/>
      <c r="C28" s="256" t="s">
        <v>305</v>
      </c>
      <c r="D28" s="487"/>
      <c r="E28" s="223">
        <f>SUM(E21:E27)</f>
        <v>4955812.029917567</v>
      </c>
      <c r="F28" s="223">
        <f>SUM(F21:F27)</f>
        <v>43953039.320082434</v>
      </c>
      <c r="G28" s="223">
        <f>SUM(G21:G27)</f>
        <v>48908851.349999994</v>
      </c>
      <c r="H28" s="255"/>
      <c r="I28" s="493"/>
      <c r="J28" s="493"/>
      <c r="K28" s="493"/>
    </row>
    <row r="29" spans="1:11" x14ac:dyDescent="0.3">
      <c r="A29" s="493"/>
      <c r="B29" s="493"/>
      <c r="C29" s="487"/>
      <c r="D29" s="493"/>
      <c r="E29" s="254"/>
      <c r="F29" s="254"/>
      <c r="G29" s="254"/>
      <c r="H29" s="517"/>
      <c r="I29" s="493"/>
      <c r="J29" s="493"/>
      <c r="K29" s="493"/>
    </row>
    <row r="30" spans="1:11" x14ac:dyDescent="0.3">
      <c r="A30" s="493"/>
      <c r="B30" s="594" t="s">
        <v>306</v>
      </c>
      <c r="C30" s="594"/>
      <c r="D30" s="526"/>
      <c r="E30" s="493"/>
      <c r="F30" s="526"/>
      <c r="G30" s="526"/>
      <c r="H30" s="526"/>
      <c r="I30" s="493"/>
      <c r="J30" s="493"/>
      <c r="K30" s="493"/>
    </row>
    <row r="31" spans="1:11" x14ac:dyDescent="0.3">
      <c r="A31" s="517">
        <f>+A28+1</f>
        <v>19</v>
      </c>
      <c r="B31" s="594"/>
      <c r="C31" s="594" t="s">
        <v>278</v>
      </c>
      <c r="D31" s="493"/>
      <c r="E31" s="251">
        <v>328852.00234800013</v>
      </c>
      <c r="F31" s="251">
        <v>2617850.5276520001</v>
      </c>
      <c r="G31" s="251">
        <v>2946702.5300000003</v>
      </c>
      <c r="H31" s="14" t="s">
        <v>307</v>
      </c>
      <c r="I31" s="493"/>
      <c r="J31" s="493"/>
      <c r="K31" s="493"/>
    </row>
    <row r="32" spans="1:11" x14ac:dyDescent="0.3">
      <c r="A32" s="517">
        <f t="shared" ref="A32:A40" si="3">+A31+1</f>
        <v>20</v>
      </c>
      <c r="B32" s="594"/>
      <c r="C32" s="594" t="s">
        <v>279</v>
      </c>
      <c r="D32" s="493"/>
      <c r="E32" s="251">
        <v>0</v>
      </c>
      <c r="F32" s="251">
        <v>0</v>
      </c>
      <c r="G32" s="251">
        <v>0</v>
      </c>
      <c r="H32" s="14" t="s">
        <v>302</v>
      </c>
      <c r="I32" s="493"/>
      <c r="J32" s="493"/>
      <c r="K32" s="493"/>
    </row>
    <row r="33" spans="1:11" x14ac:dyDescent="0.3">
      <c r="A33" s="517">
        <f t="shared" si="3"/>
        <v>21</v>
      </c>
      <c r="B33" s="594"/>
      <c r="C33" s="594" t="s">
        <v>280</v>
      </c>
      <c r="D33" s="493"/>
      <c r="E33" s="251">
        <v>0</v>
      </c>
      <c r="F33" s="251">
        <v>-0.01</v>
      </c>
      <c r="G33" s="251">
        <v>-0.01</v>
      </c>
      <c r="H33" s="14" t="s">
        <v>302</v>
      </c>
      <c r="I33" s="493"/>
      <c r="J33" s="493"/>
      <c r="K33" s="493"/>
    </row>
    <row r="34" spans="1:11" x14ac:dyDescent="0.3">
      <c r="A34" s="517">
        <f t="shared" si="3"/>
        <v>22</v>
      </c>
      <c r="B34" s="594"/>
      <c r="C34" s="594" t="s">
        <v>281</v>
      </c>
      <c r="D34" s="493"/>
      <c r="E34" s="251">
        <v>22855.56</v>
      </c>
      <c r="F34" s="251">
        <v>5002725.6000000015</v>
      </c>
      <c r="G34" s="251">
        <v>5025581.1600000011</v>
      </c>
      <c r="H34" s="14" t="s">
        <v>302</v>
      </c>
      <c r="I34" s="493"/>
      <c r="J34" s="493"/>
      <c r="K34" s="493"/>
    </row>
    <row r="35" spans="1:11" x14ac:dyDescent="0.3">
      <c r="A35" s="517">
        <f t="shared" si="3"/>
        <v>23</v>
      </c>
      <c r="B35" s="594"/>
      <c r="C35" s="594" t="s">
        <v>282</v>
      </c>
      <c r="D35" s="493"/>
      <c r="E35" s="251">
        <v>7311854.9399999995</v>
      </c>
      <c r="F35" s="251">
        <v>50917777.290000007</v>
      </c>
      <c r="G35" s="251">
        <v>58229632.230000004</v>
      </c>
      <c r="H35" s="14" t="s">
        <v>302</v>
      </c>
      <c r="I35" s="493"/>
      <c r="J35" s="493"/>
      <c r="K35" s="493"/>
    </row>
    <row r="36" spans="1:11" x14ac:dyDescent="0.3">
      <c r="A36" s="517">
        <f t="shared" si="3"/>
        <v>24</v>
      </c>
      <c r="B36" s="594"/>
      <c r="C36" s="594" t="s">
        <v>283</v>
      </c>
      <c r="D36" s="493"/>
      <c r="E36" s="251">
        <v>850935.77032499958</v>
      </c>
      <c r="F36" s="251">
        <v>6739927.4796749987</v>
      </c>
      <c r="G36" s="251">
        <v>7590863.2499999981</v>
      </c>
      <c r="H36" s="165" t="s">
        <v>308</v>
      </c>
      <c r="I36" s="493"/>
      <c r="J36" s="493"/>
      <c r="K36" s="493"/>
    </row>
    <row r="37" spans="1:11" x14ac:dyDescent="0.3">
      <c r="A37" s="517">
        <f t="shared" si="3"/>
        <v>25</v>
      </c>
      <c r="B37" s="594"/>
      <c r="C37" s="594" t="s">
        <v>309</v>
      </c>
      <c r="D37" s="493"/>
      <c r="E37" s="251">
        <v>215596.35549801253</v>
      </c>
      <c r="F37" s="251">
        <v>962144.78450198763</v>
      </c>
      <c r="G37" s="251">
        <v>1177741.1400000001</v>
      </c>
      <c r="H37" s="166" t="s">
        <v>310</v>
      </c>
      <c r="I37" s="493"/>
      <c r="J37" s="493"/>
      <c r="K37" s="493"/>
    </row>
    <row r="38" spans="1:11" x14ac:dyDescent="0.3">
      <c r="A38" s="517">
        <f t="shared" si="3"/>
        <v>26</v>
      </c>
      <c r="B38" s="253"/>
      <c r="C38" s="594" t="s">
        <v>285</v>
      </c>
      <c r="D38" s="493"/>
      <c r="E38" s="251">
        <v>700659.24756799964</v>
      </c>
      <c r="F38" s="251">
        <v>6881517.792431999</v>
      </c>
      <c r="G38" s="251">
        <v>7582177.0399999991</v>
      </c>
      <c r="H38" s="14" t="s">
        <v>311</v>
      </c>
      <c r="I38" s="493"/>
      <c r="J38" s="493"/>
      <c r="K38" s="493"/>
    </row>
    <row r="39" spans="1:11" x14ac:dyDescent="0.3">
      <c r="A39" s="517">
        <f t="shared" si="3"/>
        <v>27</v>
      </c>
      <c r="B39" s="594"/>
      <c r="C39" s="594" t="s">
        <v>286</v>
      </c>
      <c r="D39" s="493"/>
      <c r="E39" s="252">
        <v>3557.3231079999996</v>
      </c>
      <c r="F39" s="252">
        <v>28176.156892000003</v>
      </c>
      <c r="G39" s="252">
        <v>31733.480000000003</v>
      </c>
      <c r="H39" s="165" t="s">
        <v>308</v>
      </c>
      <c r="I39" s="493"/>
      <c r="J39" s="493"/>
      <c r="K39" s="493"/>
    </row>
    <row r="40" spans="1:11" x14ac:dyDescent="0.3">
      <c r="A40" s="517">
        <f t="shared" si="3"/>
        <v>28</v>
      </c>
      <c r="B40" s="493"/>
      <c r="C40" s="487" t="s">
        <v>312</v>
      </c>
      <c r="D40" s="493"/>
      <c r="E40" s="251">
        <v>9434311.1988470126</v>
      </c>
      <c r="F40" s="251">
        <v>73150119.621152982</v>
      </c>
      <c r="G40" s="251">
        <v>82584430.820000008</v>
      </c>
      <c r="H40" s="493"/>
      <c r="I40" s="493"/>
      <c r="J40" s="493"/>
      <c r="K40" s="493"/>
    </row>
    <row r="41" spans="1:11" x14ac:dyDescent="0.3">
      <c r="A41" s="517"/>
      <c r="B41" s="493"/>
      <c r="C41" s="493"/>
      <c r="D41" s="493"/>
      <c r="E41" s="493"/>
      <c r="F41" s="493"/>
      <c r="G41" s="493"/>
      <c r="H41" s="493"/>
      <c r="I41" s="493"/>
      <c r="J41" s="493"/>
      <c r="K41" s="493"/>
    </row>
    <row r="42" spans="1:11" x14ac:dyDescent="0.3">
      <c r="A42" s="517"/>
      <c r="B42" s="487" t="s">
        <v>313</v>
      </c>
      <c r="C42" s="493"/>
      <c r="D42" s="493"/>
      <c r="E42" s="493"/>
      <c r="F42" s="493"/>
      <c r="G42" s="517"/>
      <c r="H42" s="493"/>
      <c r="I42" s="493"/>
      <c r="J42" s="493"/>
      <c r="K42" s="493"/>
    </row>
    <row r="43" spans="1:11" x14ac:dyDescent="0.3">
      <c r="A43" s="517">
        <f>+A40+1</f>
        <v>29</v>
      </c>
      <c r="B43" s="493"/>
      <c r="C43" s="487" t="s">
        <v>314</v>
      </c>
      <c r="D43" s="493"/>
      <c r="E43" s="223">
        <v>17934916.686987024</v>
      </c>
      <c r="F43" s="235">
        <v>176291227.76301301</v>
      </c>
      <c r="G43" s="235">
        <v>194226144.45000002</v>
      </c>
      <c r="H43" s="493"/>
      <c r="I43" s="493"/>
      <c r="J43" s="493"/>
      <c r="K43" s="493"/>
    </row>
    <row r="44" spans="1:11" x14ac:dyDescent="0.3">
      <c r="A44" s="517">
        <f t="shared" ref="A44:A49" si="4">+A43+1</f>
        <v>30</v>
      </c>
      <c r="B44" s="493"/>
      <c r="C44" s="487" t="s">
        <v>315</v>
      </c>
      <c r="D44" s="493"/>
      <c r="E44" s="223">
        <v>1921134.0599999996</v>
      </c>
      <c r="F44" s="235">
        <v>14110567.839999998</v>
      </c>
      <c r="G44" s="235">
        <v>16031701.899999999</v>
      </c>
      <c r="H44" s="493"/>
      <c r="I44" s="493"/>
      <c r="J44" s="493"/>
      <c r="K44" s="493"/>
    </row>
    <row r="45" spans="1:11" x14ac:dyDescent="0.3">
      <c r="A45" s="517">
        <f t="shared" si="4"/>
        <v>31</v>
      </c>
      <c r="B45" s="493"/>
      <c r="C45" s="487" t="s">
        <v>316</v>
      </c>
      <c r="D45" s="493"/>
      <c r="E45" s="223">
        <v>8258451.6835999945</v>
      </c>
      <c r="F45" s="235">
        <v>70495465.40640001</v>
      </c>
      <c r="G45" s="235">
        <v>78753917.090000004</v>
      </c>
      <c r="H45" s="493"/>
      <c r="I45" s="493"/>
      <c r="J45" s="493"/>
      <c r="K45" s="493"/>
    </row>
    <row r="46" spans="1:11" x14ac:dyDescent="0.3">
      <c r="A46" s="517">
        <f t="shared" si="4"/>
        <v>32</v>
      </c>
      <c r="B46" s="493"/>
      <c r="C46" s="487" t="s">
        <v>317</v>
      </c>
      <c r="D46" s="493"/>
      <c r="E46" s="223">
        <v>512245.37999999983</v>
      </c>
      <c r="F46" s="235">
        <v>4362862.53</v>
      </c>
      <c r="G46" s="235">
        <v>4875107.91</v>
      </c>
      <c r="H46" s="493"/>
      <c r="I46" s="493"/>
      <c r="J46" s="493"/>
      <c r="K46" s="493"/>
    </row>
    <row r="47" spans="1:11" x14ac:dyDescent="0.3">
      <c r="A47" s="517">
        <f t="shared" si="4"/>
        <v>33</v>
      </c>
      <c r="B47" s="493"/>
      <c r="C47" s="487" t="s">
        <v>318</v>
      </c>
      <c r="D47" s="493"/>
      <c r="E47" s="223">
        <v>-2854665.26</v>
      </c>
      <c r="F47" s="235">
        <v>-14665139.009999998</v>
      </c>
      <c r="G47" s="235">
        <v>-17519804.269999996</v>
      </c>
      <c r="H47" s="493"/>
      <c r="I47" s="493"/>
      <c r="J47" s="493"/>
      <c r="K47" s="493"/>
    </row>
    <row r="48" spans="1:11" x14ac:dyDescent="0.3">
      <c r="A48" s="517">
        <f t="shared" si="4"/>
        <v>34</v>
      </c>
      <c r="B48" s="493"/>
      <c r="C48" s="487" t="s">
        <v>319</v>
      </c>
      <c r="D48" s="493"/>
      <c r="E48" s="225"/>
      <c r="F48" s="250"/>
      <c r="G48" s="250">
        <v>661882.18999999994</v>
      </c>
      <c r="H48" s="493"/>
      <c r="I48" s="493"/>
      <c r="J48" s="493"/>
      <c r="K48" s="493"/>
    </row>
    <row r="49" spans="1:11" x14ac:dyDescent="0.3">
      <c r="A49" s="517">
        <f t="shared" si="4"/>
        <v>35</v>
      </c>
      <c r="B49" s="493"/>
      <c r="C49" s="618" t="s">
        <v>320</v>
      </c>
      <c r="D49" s="493"/>
      <c r="E49" s="235">
        <v>25772082.550587013</v>
      </c>
      <c r="F49" s="235">
        <v>250594984.52941301</v>
      </c>
      <c r="G49" s="235">
        <v>277028949.2700001</v>
      </c>
      <c r="H49" s="493"/>
      <c r="I49" s="493"/>
      <c r="J49" s="493"/>
      <c r="K49" s="493"/>
    </row>
    <row r="50" spans="1:11" x14ac:dyDescent="0.3">
      <c r="A50" s="493"/>
      <c r="B50" s="493"/>
      <c r="C50" s="493"/>
      <c r="D50" s="493"/>
      <c r="E50" s="221"/>
      <c r="F50" s="221"/>
      <c r="G50" s="249"/>
      <c r="H50" s="493"/>
      <c r="I50" s="493"/>
      <c r="J50" s="493"/>
      <c r="K50" s="493"/>
    </row>
  </sheetData>
  <printOptions horizontalCentered="1"/>
  <pageMargins left="0.5" right="0.5" top="0.5" bottom="0.5" header="0.25" footer="0.25"/>
  <pageSetup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4C0AA6-1F9C-4D79-9638-337F6CFED5EE}"/>
</file>

<file path=customXml/itemProps2.xml><?xml version="1.0" encoding="utf-8"?>
<ds:datastoreItem xmlns:ds="http://schemas.openxmlformats.org/officeDocument/2006/customXml" ds:itemID="{3224AFD9-183A-4163-8C25-A6C25109E7D0}"/>
</file>

<file path=customXml/itemProps3.xml><?xml version="1.0" encoding="utf-8"?>
<ds:datastoreItem xmlns:ds="http://schemas.openxmlformats.org/officeDocument/2006/customXml" ds:itemID="{42E2D771-29B9-4114-AC4A-19C9CC0C13E6}"/>
</file>

<file path=customXml/itemProps4.xml><?xml version="1.0" encoding="utf-8"?>
<ds:datastoreItem xmlns:ds="http://schemas.openxmlformats.org/officeDocument/2006/customXml" ds:itemID="{1C5C27E5-BEA3-4038-A5E7-AC840CC0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17</vt:i4>
      </vt:variant>
    </vt:vector>
  </HeadingPairs>
  <TitlesOfParts>
    <vt:vector size="43" baseType="lpstr">
      <vt:lpstr>Index</vt:lpstr>
      <vt:lpstr>Model Inputs</vt:lpstr>
      <vt:lpstr>Rev Req</vt:lpstr>
      <vt:lpstr>AMA Rate Base</vt:lpstr>
      <vt:lpstr>O&amp;M</vt:lpstr>
      <vt:lpstr>Adjust Issues</vt:lpstr>
      <vt:lpstr>Revenue &amp; Gas Cost</vt:lpstr>
      <vt:lpstr>Misc Rev Adjs</vt:lpstr>
      <vt:lpstr>WP - Other Rev &amp; Tax</vt:lpstr>
      <vt:lpstr>Labor</vt:lpstr>
      <vt:lpstr>Plant</vt:lpstr>
      <vt:lpstr>Reserve</vt:lpstr>
      <vt:lpstr>TY Capital Adds</vt:lpstr>
      <vt:lpstr>Depr_New Rates</vt:lpstr>
      <vt:lpstr>Allocators</vt:lpstr>
      <vt:lpstr>Services</vt:lpstr>
      <vt:lpstr>Design Day</vt:lpstr>
      <vt:lpstr>Customers</vt:lpstr>
      <vt:lpstr>Volumes</vt:lpstr>
      <vt:lpstr>Total Revenue</vt:lpstr>
      <vt:lpstr>Monthly Margin</vt:lpstr>
      <vt:lpstr>Meter_Invest</vt:lpstr>
      <vt:lpstr>O&amp;M Net of Exclusions</vt:lpstr>
      <vt:lpstr>904</vt:lpstr>
      <vt:lpstr>Inc Customer O&amp;M</vt:lpstr>
      <vt:lpstr>Direct Assign</vt:lpstr>
      <vt:lpstr>'Adjust Issues'!Print_Area</vt:lpstr>
      <vt:lpstr>'AMA Rate Base'!Print_Area</vt:lpstr>
      <vt:lpstr>Customers!Print_Area</vt:lpstr>
      <vt:lpstr>Meter_Invest!Print_Area</vt:lpstr>
      <vt:lpstr>'Misc Rev Adjs'!Print_Area</vt:lpstr>
      <vt:lpstr>'Monthly Margin'!Print_Area</vt:lpstr>
      <vt:lpstr>'O&amp;M'!Print_Area</vt:lpstr>
      <vt:lpstr>'Rev Req'!Print_Area</vt:lpstr>
      <vt:lpstr>'Revenue &amp; Gas Cost'!Print_Area</vt:lpstr>
      <vt:lpstr>'Total Revenue'!Print_Area</vt:lpstr>
      <vt:lpstr>'WP - Other Rev &amp; Tax'!Print_Area</vt:lpstr>
      <vt:lpstr>'Adjust Issues'!Print_Titles</vt:lpstr>
      <vt:lpstr>'AMA Rate Base'!Print_Titles</vt:lpstr>
      <vt:lpstr>Customers!Print_Titles</vt:lpstr>
      <vt:lpstr>'Monthly Margin'!Print_Titles</vt:lpstr>
      <vt:lpstr>'O&amp;M'!Print_Titles</vt:lpstr>
      <vt:lpstr>'Total Revenue'!Print_Titles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</dc:creator>
  <cp:lastModifiedBy>Wyman, Robert</cp:lastModifiedBy>
  <cp:lastPrinted>2018-12-31T15:19:06Z</cp:lastPrinted>
  <dcterms:created xsi:type="dcterms:W3CDTF">2018-11-14T20:46:25Z</dcterms:created>
  <dcterms:modified xsi:type="dcterms:W3CDTF">2019-01-04T19:08:26Z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