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28" documentId="8_{FCFFD89B-496B-42C3-AA96-AB91D4440878}" xr6:coauthVersionLast="47" xr6:coauthVersionMax="47" xr10:uidLastSave="{98CAD798-57FD-4B91-B1A4-1AC57A5D79A9}"/>
  <bookViews>
    <workbookView xWindow="-86" yWindow="0" windowWidth="16629" windowHeight="17880" firstSheet="1" activeTab="1" xr2:uid="{7B488123-3810-4137-ABBE-EB86E6938786}"/>
  </bookViews>
  <sheets>
    <sheet name="Contents" sheetId="1" r:id="rId1"/>
    <sheet name="EXTERNAL" sheetId="2" r:id="rId2"/>
    <sheet name="Mains Workpaper" sheetId="40" r:id="rId3"/>
    <sheet name="Acct303" sheetId="41" r:id="rId4"/>
    <sheet name="Spl Contract Direct" sheetId="44" r:id="rId5"/>
    <sheet name="Customers" sheetId="7" r:id="rId6"/>
    <sheet name="Volumes" sheetId="8" r:id="rId7"/>
    <sheet name="RJA-4A Gas Supply" sheetId="46" r:id="rId8"/>
    <sheet name="Revenue" sheetId="9" r:id="rId9"/>
    <sheet name="Design Day" sheetId="10" r:id="rId10"/>
    <sheet name="Seasonal Vols" sheetId="39" r:id="rId11"/>
    <sheet name="Mains Allocators" sheetId="42" r:id="rId12"/>
    <sheet name="Large Cust Mains" sheetId="43" r:id="rId13"/>
    <sheet name="Meter Costs" sheetId="11" r:id="rId14"/>
    <sheet name="Service Costs" sheetId="13" r:id="rId15"/>
    <sheet name="2023 Net Write Offs" sheetId="47" r:id="rId16"/>
    <sheet name="Meter Reading" sheetId="19" r:id="rId17"/>
    <sheet name="385Summary" sheetId="45" r:id="rId18"/>
    <sheet name="Index to External Links" sheetId="48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5">'2023 Net Write Offs'!$A$1:$O$36</definedName>
    <definedName name="_xlnm.Print_Area" localSheetId="1">EXTERNAL!$A$1:$K$216</definedName>
    <definedName name="_xlnm.Print_Area" localSheetId="2">'Mains Workpaper'!$A$1:$G$54</definedName>
    <definedName name="_xlnm.Print_Area" localSheetId="8">Revenue!$A$1:$K$25</definedName>
    <definedName name="_xlnm.Print_Titles" localSheetId="1">EXTERNAL!$1:$6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9" l="1"/>
  <c r="G14" i="39"/>
  <c r="H14" i="39"/>
  <c r="I14" i="39"/>
  <c r="J14" i="39"/>
  <c r="K14" i="39"/>
  <c r="F15" i="39"/>
  <c r="G15" i="39"/>
  <c r="H15" i="39"/>
  <c r="I15" i="39"/>
  <c r="J15" i="39"/>
  <c r="K15" i="39"/>
  <c r="F16" i="39"/>
  <c r="G16" i="39"/>
  <c r="H16" i="39"/>
  <c r="I16" i="39"/>
  <c r="J16" i="39"/>
  <c r="K16" i="39"/>
  <c r="F17" i="39"/>
  <c r="G17" i="39"/>
  <c r="H17" i="39"/>
  <c r="I17" i="39"/>
  <c r="J17" i="39"/>
  <c r="K17" i="39"/>
  <c r="F18" i="39"/>
  <c r="G18" i="39"/>
  <c r="H18" i="39"/>
  <c r="I18" i="39"/>
  <c r="J18" i="39"/>
  <c r="K18" i="39"/>
  <c r="F19" i="39"/>
  <c r="G19" i="39"/>
  <c r="H19" i="39"/>
  <c r="I19" i="39"/>
  <c r="J19" i="39"/>
  <c r="K19" i="39"/>
  <c r="F20" i="39"/>
  <c r="G20" i="39"/>
  <c r="H20" i="39"/>
  <c r="I20" i="39"/>
  <c r="J20" i="39"/>
  <c r="K20" i="39"/>
  <c r="F21" i="39"/>
  <c r="G21" i="39"/>
  <c r="H21" i="39"/>
  <c r="I21" i="39"/>
  <c r="J21" i="39"/>
  <c r="K21" i="39"/>
  <c r="F22" i="39"/>
  <c r="G22" i="39"/>
  <c r="H22" i="39"/>
  <c r="I22" i="39"/>
  <c r="J22" i="39"/>
  <c r="K22" i="39"/>
  <c r="F23" i="39"/>
  <c r="G23" i="39"/>
  <c r="H23" i="39"/>
  <c r="I23" i="39"/>
  <c r="J23" i="39"/>
  <c r="K23" i="39"/>
  <c r="F24" i="39"/>
  <c r="G24" i="39"/>
  <c r="H24" i="39"/>
  <c r="I24" i="39"/>
  <c r="J24" i="39"/>
  <c r="K24" i="39"/>
  <c r="F25" i="39"/>
  <c r="G25" i="39"/>
  <c r="H25" i="39"/>
  <c r="I25" i="39"/>
  <c r="J25" i="39"/>
  <c r="K25" i="39"/>
  <c r="E15" i="39"/>
  <c r="E26" i="39" s="1"/>
  <c r="E16" i="39"/>
  <c r="E17" i="39"/>
  <c r="E18" i="39"/>
  <c r="E19" i="39"/>
  <c r="E20" i="39"/>
  <c r="E21" i="39"/>
  <c r="E22" i="39"/>
  <c r="E23" i="39"/>
  <c r="E24" i="39"/>
  <c r="E25" i="39"/>
  <c r="E14" i="39"/>
  <c r="A49" i="41" l="1"/>
  <c r="A51" i="41" s="1"/>
  <c r="A50" i="41"/>
  <c r="A164" i="41"/>
  <c r="A52" i="41" l="1"/>
  <c r="A53" i="41" l="1"/>
  <c r="A54" i="41"/>
  <c r="A56" i="41" l="1"/>
  <c r="A55" i="41"/>
  <c r="A57" i="41" l="1"/>
  <c r="A58" i="41" l="1"/>
  <c r="A59" i="41" l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3" i="2" l="1"/>
  <c r="A12" i="2" l="1"/>
  <c r="A15" i="2" s="1"/>
  <c r="A13" i="2"/>
  <c r="A14" i="2"/>
  <c r="A16" i="2"/>
  <c r="A20" i="2"/>
  <c r="A24" i="2"/>
  <c r="A28" i="2"/>
  <c r="A32" i="2"/>
  <c r="A36" i="2"/>
  <c r="A40" i="2"/>
  <c r="A44" i="2"/>
  <c r="A48" i="2"/>
  <c r="A52" i="2"/>
  <c r="A56" i="2"/>
  <c r="A60" i="2"/>
  <c r="A64" i="2"/>
  <c r="A68" i="2"/>
  <c r="A72" i="2"/>
  <c r="A76" i="2"/>
  <c r="A80" i="2"/>
  <c r="A81" i="2"/>
  <c r="A83" i="2"/>
  <c r="A88" i="2"/>
  <c r="A92" i="2"/>
  <c r="A96" i="2"/>
  <c r="A100" i="2"/>
  <c r="A104" i="2"/>
  <c r="A108" i="2"/>
  <c r="A112" i="2"/>
  <c r="A116" i="2"/>
  <c r="A120" i="2"/>
  <c r="A121" i="2"/>
  <c r="A125" i="2"/>
  <c r="A129" i="2"/>
  <c r="A130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198" i="2"/>
  <c r="A202" i="2"/>
  <c r="A206" i="2"/>
  <c r="A207" i="2"/>
  <c r="A17" i="2" l="1"/>
  <c r="C79" i="2"/>
  <c r="C75" i="2"/>
  <c r="C71" i="2"/>
  <c r="C67" i="2"/>
  <c r="C63" i="2"/>
  <c r="C59" i="2"/>
  <c r="C55" i="2"/>
  <c r="C51" i="2"/>
  <c r="A18" i="2" l="1"/>
  <c r="H14" i="13"/>
  <c r="A19" i="2" l="1"/>
  <c r="A21" i="2" l="1"/>
  <c r="A22" i="2"/>
  <c r="D13" i="40"/>
  <c r="A23" i="2" l="1"/>
  <c r="A25" i="2"/>
  <c r="A1" i="45"/>
  <c r="A1" i="47"/>
  <c r="A1" i="46"/>
  <c r="A1" i="44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7" i="1"/>
  <c r="C12" i="1" a="1"/>
  <c r="C10" i="1" a="1"/>
  <c r="C17" i="1" a="1"/>
  <c r="C16" i="1" a="1"/>
  <c r="C23" i="1" a="1"/>
  <c r="C18" i="1" a="1"/>
  <c r="C13" i="1" a="1"/>
  <c r="C20" i="1" a="1"/>
  <c r="C22" i="1" a="1"/>
  <c r="C21" i="1" a="1"/>
  <c r="C19" i="1" a="1"/>
  <c r="C11" i="1" a="1"/>
  <c r="C9" i="1" a="1"/>
  <c r="C8" i="1" a="1"/>
  <c r="C15" i="1" a="1"/>
  <c r="C14" i="1" a="1"/>
  <c r="A26" i="2" l="1"/>
  <c r="C10" i="1"/>
  <c r="C8" i="1"/>
  <c r="C9" i="1"/>
  <c r="C19" i="1"/>
  <c r="C22" i="1"/>
  <c r="C20" i="1"/>
  <c r="C16" i="1"/>
  <c r="C23" i="1"/>
  <c r="C18" i="1"/>
  <c r="C13" i="1"/>
  <c r="C14" i="1"/>
  <c r="C21" i="1"/>
  <c r="C17" i="1"/>
  <c r="C15" i="1"/>
  <c r="C12" i="1"/>
  <c r="C11" i="1"/>
  <c r="A27" i="2" l="1"/>
  <c r="F110" i="2"/>
  <c r="G110" i="2"/>
  <c r="H110" i="2"/>
  <c r="I110" i="2"/>
  <c r="J110" i="2"/>
  <c r="K110" i="2"/>
  <c r="E110" i="2"/>
  <c r="G8" i="47"/>
  <c r="F8" i="47"/>
  <c r="E8" i="47"/>
  <c r="A9" i="47"/>
  <c r="A10" i="47"/>
  <c r="A15" i="47"/>
  <c r="A16" i="47"/>
  <c r="A22" i="47"/>
  <c r="A29" i="47"/>
  <c r="A7" i="47"/>
  <c r="K6" i="47"/>
  <c r="J6" i="47"/>
  <c r="I6" i="47"/>
  <c r="H6" i="47"/>
  <c r="G6" i="47"/>
  <c r="F6" i="47"/>
  <c r="E6" i="47"/>
  <c r="D6" i="47"/>
  <c r="C6" i="47"/>
  <c r="B6" i="47"/>
  <c r="A6" i="47"/>
  <c r="A8" i="47" s="1"/>
  <c r="A11" i="47" s="1"/>
  <c r="O12" i="47"/>
  <c r="O13" i="47"/>
  <c r="O14" i="47" s="1"/>
  <c r="C14" i="47"/>
  <c r="D14" i="47"/>
  <c r="E14" i="47"/>
  <c r="F14" i="47"/>
  <c r="G14" i="47"/>
  <c r="H14" i="47"/>
  <c r="I14" i="47"/>
  <c r="J14" i="47"/>
  <c r="K14" i="47"/>
  <c r="L14" i="47"/>
  <c r="M14" i="47"/>
  <c r="N14" i="47"/>
  <c r="C21" i="47"/>
  <c r="C28" i="47"/>
  <c r="C31" i="47"/>
  <c r="C32" i="47"/>
  <c r="C33" i="47"/>
  <c r="C34" i="47"/>
  <c r="C35" i="47"/>
  <c r="A29" i="2" l="1"/>
  <c r="A30" i="2" s="1"/>
  <c r="A31" i="2" s="1"/>
  <c r="A33" i="2" s="1"/>
  <c r="A34" i="2" s="1"/>
  <c r="A35" i="2" s="1"/>
  <c r="A37" i="2" s="1"/>
  <c r="A38" i="2" s="1"/>
  <c r="A39" i="2" s="1"/>
  <c r="A41" i="2" s="1"/>
  <c r="A42" i="2"/>
  <c r="A43" i="2" s="1"/>
  <c r="A45" i="2" s="1"/>
  <c r="A46" i="2" s="1"/>
  <c r="A47" i="2" s="1"/>
  <c r="A49" i="2" s="1"/>
  <c r="A50" i="2" s="1"/>
  <c r="A51" i="2" s="1"/>
  <c r="A53" i="2" s="1"/>
  <c r="A54" i="2" s="1"/>
  <c r="A55" i="2" s="1"/>
  <c r="A57" i="2" s="1"/>
  <c r="A58" i="2" s="1"/>
  <c r="A59" i="2" s="1"/>
  <c r="A61" i="2" s="1"/>
  <c r="A62" i="2" s="1"/>
  <c r="A63" i="2" s="1"/>
  <c r="A65" i="2" s="1"/>
  <c r="A66" i="2" s="1"/>
  <c r="A67" i="2" s="1"/>
  <c r="A69" i="2" s="1"/>
  <c r="A70" i="2" s="1"/>
  <c r="A71" i="2" s="1"/>
  <c r="A73" i="2" s="1"/>
  <c r="A74" i="2" s="1"/>
  <c r="A75" i="2" s="1"/>
  <c r="A77" i="2" s="1"/>
  <c r="A78" i="2" s="1"/>
  <c r="A79" i="2" s="1"/>
  <c r="A82" i="2" s="1"/>
  <c r="A84" i="2" s="1"/>
  <c r="A85" i="2" s="1"/>
  <c r="A86" i="2" s="1"/>
  <c r="A87" i="2" s="1"/>
  <c r="A89" i="2" s="1"/>
  <c r="A90" i="2" s="1"/>
  <c r="A91" i="2" s="1"/>
  <c r="A93" i="2" s="1"/>
  <c r="A94" i="2" s="1"/>
  <c r="A95" i="2" s="1"/>
  <c r="A97" i="2" s="1"/>
  <c r="A98" i="2" s="1"/>
  <c r="A99" i="2" s="1"/>
  <c r="A101" i="2" s="1"/>
  <c r="A102" i="2" s="1"/>
  <c r="A103" i="2" s="1"/>
  <c r="A105" i="2" s="1"/>
  <c r="A106" i="2" s="1"/>
  <c r="A107" i="2" s="1"/>
  <c r="A109" i="2" s="1"/>
  <c r="A110" i="2" s="1"/>
  <c r="A111" i="2" s="1"/>
  <c r="A113" i="2" s="1"/>
  <c r="A114" i="2" s="1"/>
  <c r="A115" i="2" s="1"/>
  <c r="A117" i="2" s="1"/>
  <c r="A118" i="2" s="1"/>
  <c r="A119" i="2" s="1"/>
  <c r="A122" i="2" s="1"/>
  <c r="A123" i="2" s="1"/>
  <c r="A124" i="2" s="1"/>
  <c r="A126" i="2" s="1"/>
  <c r="A127" i="2" s="1"/>
  <c r="A128" i="2" s="1"/>
  <c r="A131" i="2" s="1"/>
  <c r="A133" i="2" s="1"/>
  <c r="A134" i="2" s="1"/>
  <c r="A135" i="2" s="1"/>
  <c r="A137" i="2" s="1"/>
  <c r="A138" i="2" s="1"/>
  <c r="A139" i="2" s="1"/>
  <c r="A141" i="2" s="1"/>
  <c r="A142" i="2" s="1"/>
  <c r="A143" i="2" s="1"/>
  <c r="A145" i="2" s="1"/>
  <c r="A146" i="2" s="1"/>
  <c r="A147" i="2" s="1"/>
  <c r="A149" i="2" s="1"/>
  <c r="A150" i="2" s="1"/>
  <c r="A151" i="2" s="1"/>
  <c r="A153" i="2" s="1"/>
  <c r="A154" i="2" s="1"/>
  <c r="A155" i="2" s="1"/>
  <c r="A157" i="2" s="1"/>
  <c r="A158" i="2" s="1"/>
  <c r="A159" i="2" s="1"/>
  <c r="A161" i="2" s="1"/>
  <c r="A162" i="2" s="1"/>
  <c r="A163" i="2" s="1"/>
  <c r="A165" i="2" s="1"/>
  <c r="A166" i="2" s="1"/>
  <c r="A167" i="2" s="1"/>
  <c r="A169" i="2" s="1"/>
  <c r="A170" i="2" s="1"/>
  <c r="A171" i="2" s="1"/>
  <c r="A173" i="2" s="1"/>
  <c r="A174" i="2" s="1"/>
  <c r="A175" i="2" s="1"/>
  <c r="A177" i="2" s="1"/>
  <c r="A178" i="2" s="1"/>
  <c r="A179" i="2" s="1"/>
  <c r="A181" i="2" s="1"/>
  <c r="A182" i="2" s="1"/>
  <c r="A183" i="2" s="1"/>
  <c r="A185" i="2" s="1"/>
  <c r="A186" i="2" s="1"/>
  <c r="A187" i="2" s="1"/>
  <c r="A189" i="2" s="1"/>
  <c r="A190" i="2" s="1"/>
  <c r="A191" i="2" s="1"/>
  <c r="A193" i="2" s="1"/>
  <c r="A194" i="2" s="1"/>
  <c r="A195" i="2" s="1"/>
  <c r="A197" i="2" s="1"/>
  <c r="A199" i="2" s="1"/>
  <c r="A200" i="2" s="1"/>
  <c r="A201" i="2" s="1"/>
  <c r="A203" i="2" s="1"/>
  <c r="A204" i="2" s="1"/>
  <c r="A205" i="2" s="1"/>
  <c r="A208" i="2" s="1"/>
  <c r="A12" i="47"/>
  <c r="A13" i="47"/>
  <c r="A14" i="47" s="1"/>
  <c r="D8" i="47"/>
  <c r="C36" i="47"/>
  <c r="A209" i="2"/>
  <c r="A213" i="2"/>
  <c r="G37" i="13"/>
  <c r="C10" i="19"/>
  <c r="C9" i="19"/>
  <c r="C8" i="19"/>
  <c r="A17" i="47" l="1"/>
  <c r="A18" i="47" l="1"/>
  <c r="Q9" i="44"/>
  <c r="Q12" i="44"/>
  <c r="A19" i="47" l="1"/>
  <c r="A20" i="47" s="1"/>
  <c r="A21" i="47" l="1"/>
  <c r="A23" i="47" l="1"/>
  <c r="A24" i="47" s="1"/>
  <c r="A25" i="47" s="1"/>
  <c r="A26" i="47" s="1"/>
  <c r="G33" i="45"/>
  <c r="G35" i="45" s="1"/>
  <c r="H33" i="45"/>
  <c r="A27" i="47" l="1"/>
  <c r="A28" i="47" s="1"/>
  <c r="A30" i="47" s="1"/>
  <c r="A31" i="47" s="1"/>
  <c r="A32" i="47" s="1"/>
  <c r="A33" i="47" s="1"/>
  <c r="A34" i="47" s="1"/>
  <c r="A35" i="47" s="1"/>
  <c r="A36" i="47" s="1"/>
  <c r="C119" i="2" l="1"/>
  <c r="C124" i="2"/>
  <c r="A53" i="46"/>
  <c r="A54" i="46"/>
  <c r="A56" i="46"/>
  <c r="A58" i="46"/>
  <c r="A43" i="46"/>
  <c r="A48" i="46"/>
  <c r="C37" i="46"/>
  <c r="D37" i="46"/>
  <c r="E37" i="46"/>
  <c r="F37" i="46"/>
  <c r="G37" i="46"/>
  <c r="H37" i="46"/>
  <c r="I37" i="46"/>
  <c r="J37" i="46"/>
  <c r="K37" i="46"/>
  <c r="B37" i="46"/>
  <c r="A38" i="46" l="1"/>
  <c r="H10" i="46"/>
  <c r="K10" i="46"/>
  <c r="M10" i="46"/>
  <c r="O10" i="46" s="1"/>
  <c r="N10" i="46"/>
  <c r="P10" i="46"/>
  <c r="A11" i="46"/>
  <c r="F11" i="46"/>
  <c r="G11" i="46"/>
  <c r="G12" i="46" s="1"/>
  <c r="G13" i="46" s="1"/>
  <c r="K11" i="46"/>
  <c r="M11" i="46"/>
  <c r="F12" i="46"/>
  <c r="K12" i="46"/>
  <c r="M12" i="46"/>
  <c r="F13" i="46"/>
  <c r="K13" i="46"/>
  <c r="M13" i="46"/>
  <c r="F14" i="46"/>
  <c r="K14" i="46"/>
  <c r="M14" i="46"/>
  <c r="F15" i="46"/>
  <c r="K15" i="46"/>
  <c r="M15" i="46"/>
  <c r="K16" i="46"/>
  <c r="M16" i="46"/>
  <c r="K17" i="46"/>
  <c r="M17" i="46"/>
  <c r="K18" i="46"/>
  <c r="M18" i="46"/>
  <c r="K19" i="46"/>
  <c r="M19" i="46"/>
  <c r="K20" i="46"/>
  <c r="M20" i="46"/>
  <c r="K21" i="46"/>
  <c r="M21" i="46"/>
  <c r="K22" i="46"/>
  <c r="M22" i="46"/>
  <c r="F23" i="46"/>
  <c r="K23" i="46"/>
  <c r="M23" i="46"/>
  <c r="F24" i="46"/>
  <c r="K24" i="46"/>
  <c r="M24" i="46"/>
  <c r="F25" i="46"/>
  <c r="K25" i="46"/>
  <c r="M25" i="46"/>
  <c r="F26" i="46"/>
  <c r="K26" i="46"/>
  <c r="M26" i="46"/>
  <c r="F27" i="46"/>
  <c r="K27" i="46"/>
  <c r="M27" i="46"/>
  <c r="F28" i="46"/>
  <c r="K28" i="46"/>
  <c r="M28" i="46"/>
  <c r="F29" i="46"/>
  <c r="K29" i="46"/>
  <c r="M29" i="46"/>
  <c r="F30" i="46"/>
  <c r="K30" i="46"/>
  <c r="M30" i="46"/>
  <c r="K31" i="46"/>
  <c r="M31" i="46"/>
  <c r="A32" i="46"/>
  <c r="A33" i="46"/>
  <c r="A34" i="46"/>
  <c r="C191" i="2"/>
  <c r="C195" i="2"/>
  <c r="C167" i="2"/>
  <c r="S10" i="46" l="1"/>
  <c r="A12" i="46"/>
  <c r="A13" i="46" s="1"/>
  <c r="Q10" i="46"/>
  <c r="F33" i="46"/>
  <c r="G14" i="46"/>
  <c r="G15" i="46" s="1"/>
  <c r="H13" i="46"/>
  <c r="H12" i="46"/>
  <c r="H14" i="46"/>
  <c r="H11" i="46"/>
  <c r="R10" i="46"/>
  <c r="Q14" i="46" l="1"/>
  <c r="R14" i="46"/>
  <c r="S14" i="46"/>
  <c r="P14" i="46"/>
  <c r="N14" i="46"/>
  <c r="O14" i="46"/>
  <c r="G16" i="46"/>
  <c r="H15" i="46"/>
  <c r="Q12" i="46"/>
  <c r="R12" i="46"/>
  <c r="N12" i="46"/>
  <c r="S12" i="46"/>
  <c r="P12" i="46"/>
  <c r="O12" i="46"/>
  <c r="A14" i="46"/>
  <c r="N11" i="46"/>
  <c r="O11" i="46"/>
  <c r="P11" i="46"/>
  <c r="Q11" i="46"/>
  <c r="R11" i="46"/>
  <c r="S11" i="46"/>
  <c r="R13" i="46"/>
  <c r="N13" i="46"/>
  <c r="Q13" i="46"/>
  <c r="O13" i="46"/>
  <c r="P13" i="46"/>
  <c r="S13" i="46"/>
  <c r="C183" i="2"/>
  <c r="C9" i="40"/>
  <c r="Q39" i="44"/>
  <c r="C10" i="40"/>
  <c r="G11" i="40"/>
  <c r="C11" i="40" s="1"/>
  <c r="C12" i="40"/>
  <c r="F106" i="2"/>
  <c r="G106" i="2"/>
  <c r="H106" i="2"/>
  <c r="I106" i="2"/>
  <c r="J106" i="2"/>
  <c r="K106" i="2"/>
  <c r="F9" i="45"/>
  <c r="A10" i="45"/>
  <c r="G10" i="45"/>
  <c r="H11" i="45"/>
  <c r="I12" i="45"/>
  <c r="J13" i="45"/>
  <c r="J33" i="45" s="1"/>
  <c r="K14" i="45"/>
  <c r="L15" i="45"/>
  <c r="L33" i="45" s="1"/>
  <c r="L35" i="45" s="1"/>
  <c r="L16" i="45"/>
  <c r="L17" i="45"/>
  <c r="L18" i="45"/>
  <c r="L19" i="45"/>
  <c r="A32" i="45"/>
  <c r="D33" i="45"/>
  <c r="D34" i="45" s="1"/>
  <c r="A36" i="45"/>
  <c r="A39" i="45"/>
  <c r="F40" i="45"/>
  <c r="F64" i="45" s="1"/>
  <c r="G41" i="45"/>
  <c r="H42" i="45"/>
  <c r="H64" i="45" s="1"/>
  <c r="I43" i="45"/>
  <c r="I64" i="45" s="1"/>
  <c r="I66" i="45" s="1"/>
  <c r="J44" i="45"/>
  <c r="K45" i="45"/>
  <c r="K64" i="45" s="1"/>
  <c r="L46" i="45"/>
  <c r="L47" i="45"/>
  <c r="L48" i="45"/>
  <c r="L49" i="45"/>
  <c r="L50" i="45"/>
  <c r="G57" i="45"/>
  <c r="H57" i="45"/>
  <c r="G58" i="45"/>
  <c r="K58" i="45"/>
  <c r="A63" i="45"/>
  <c r="D64" i="45"/>
  <c r="J64" i="45"/>
  <c r="Q15" i="44"/>
  <c r="Q16" i="44"/>
  <c r="Q19" i="44"/>
  <c r="Q38" i="44" s="1"/>
  <c r="Q20" i="44"/>
  <c r="Q21" i="44"/>
  <c r="Q22" i="44"/>
  <c r="Q23" i="44"/>
  <c r="Q28" i="44"/>
  <c r="Q31" i="44"/>
  <c r="Q41" i="44" s="1"/>
  <c r="K12" i="13" s="1"/>
  <c r="K204" i="2" s="1"/>
  <c r="Q33" i="44"/>
  <c r="G17" i="46" l="1"/>
  <c r="H16" i="46"/>
  <c r="A15" i="46"/>
  <c r="P15" i="46"/>
  <c r="R15" i="46"/>
  <c r="N15" i="46"/>
  <c r="O15" i="46"/>
  <c r="Q15" i="46"/>
  <c r="S15" i="46"/>
  <c r="J66" i="45"/>
  <c r="G64" i="45"/>
  <c r="G23" i="45" s="1"/>
  <c r="J35" i="45"/>
  <c r="L64" i="45"/>
  <c r="L66" i="45" s="1"/>
  <c r="G66" i="45"/>
  <c r="G30" i="45"/>
  <c r="D35" i="45"/>
  <c r="H66" i="45"/>
  <c r="H25" i="45"/>
  <c r="H28" i="45"/>
  <c r="F22" i="45"/>
  <c r="F33" i="45" s="1"/>
  <c r="F35" i="45" s="1"/>
  <c r="F66" i="45"/>
  <c r="K29" i="45"/>
  <c r="D65" i="45"/>
  <c r="K66" i="45"/>
  <c r="K28" i="45"/>
  <c r="A11" i="45"/>
  <c r="K30" i="45"/>
  <c r="Q40" i="44"/>
  <c r="Q36" i="44"/>
  <c r="G8" i="40" l="1"/>
  <c r="R16" i="46"/>
  <c r="S16" i="46"/>
  <c r="N16" i="46"/>
  <c r="O16" i="46"/>
  <c r="Q16" i="46"/>
  <c r="P16" i="46"/>
  <c r="A16" i="46"/>
  <c r="H17" i="46"/>
  <c r="G18" i="46"/>
  <c r="G25" i="45"/>
  <c r="I25" i="45"/>
  <c r="I33" i="45" s="1"/>
  <c r="I35" i="45" s="1"/>
  <c r="G22" i="45"/>
  <c r="H24" i="45"/>
  <c r="G29" i="45"/>
  <c r="G27" i="45"/>
  <c r="H26" i="45"/>
  <c r="G24" i="45"/>
  <c r="K27" i="45"/>
  <c r="H23" i="45"/>
  <c r="H35" i="45" s="1"/>
  <c r="G26" i="45"/>
  <c r="A12" i="45"/>
  <c r="K33" i="45"/>
  <c r="K35" i="45" s="1"/>
  <c r="Q42" i="44"/>
  <c r="C8" i="40" l="1"/>
  <c r="G16" i="40"/>
  <c r="A17" i="46"/>
  <c r="A18" i="46" s="1"/>
  <c r="A19" i="46" s="1"/>
  <c r="G19" i="46"/>
  <c r="H18" i="46"/>
  <c r="O17" i="46"/>
  <c r="P17" i="46"/>
  <c r="Q17" i="46"/>
  <c r="R17" i="46"/>
  <c r="S17" i="46"/>
  <c r="N17" i="46"/>
  <c r="A13" i="45"/>
  <c r="C16" i="40" l="1"/>
  <c r="H16" i="40" s="1"/>
  <c r="O18" i="46"/>
  <c r="Q18" i="46"/>
  <c r="P18" i="46"/>
  <c r="N18" i="46"/>
  <c r="S18" i="46"/>
  <c r="R18" i="46"/>
  <c r="A20" i="46"/>
  <c r="H19" i="46"/>
  <c r="G20" i="46"/>
  <c r="A14" i="45"/>
  <c r="H20" i="46" l="1"/>
  <c r="G21" i="46"/>
  <c r="Q19" i="46"/>
  <c r="R19" i="46"/>
  <c r="P19" i="46"/>
  <c r="S19" i="46"/>
  <c r="N19" i="46"/>
  <c r="O19" i="46"/>
  <c r="A21" i="46"/>
  <c r="A15" i="45"/>
  <c r="H21" i="46" l="1"/>
  <c r="G22" i="46"/>
  <c r="N20" i="46"/>
  <c r="Q20" i="46"/>
  <c r="O20" i="46"/>
  <c r="S20" i="46"/>
  <c r="P20" i="46"/>
  <c r="R20" i="46"/>
  <c r="A22" i="46"/>
  <c r="A23" i="46" s="1"/>
  <c r="A24" i="46" s="1"/>
  <c r="A25" i="46" s="1"/>
  <c r="A26" i="46" s="1"/>
  <c r="A27" i="46" s="1"/>
  <c r="A28" i="46" s="1"/>
  <c r="A29" i="46" s="1"/>
  <c r="A30" i="46" s="1"/>
  <c r="A31" i="46" s="1"/>
  <c r="A16" i="45"/>
  <c r="H22" i="46" l="1"/>
  <c r="G23" i="46"/>
  <c r="S21" i="46"/>
  <c r="O21" i="46"/>
  <c r="N21" i="46"/>
  <c r="P21" i="46"/>
  <c r="R21" i="46"/>
  <c r="Q21" i="46"/>
  <c r="A17" i="45"/>
  <c r="A18" i="45"/>
  <c r="A19" i="45" s="1"/>
  <c r="H23" i="46" l="1"/>
  <c r="G24" i="46"/>
  <c r="P22" i="46"/>
  <c r="Q22" i="46"/>
  <c r="O22" i="46"/>
  <c r="R22" i="46"/>
  <c r="S22" i="46"/>
  <c r="N22" i="46"/>
  <c r="A20" i="45"/>
  <c r="O23" i="46" l="1"/>
  <c r="P23" i="46"/>
  <c r="Q23" i="46"/>
  <c r="N23" i="46"/>
  <c r="R23" i="46"/>
  <c r="S23" i="46"/>
  <c r="H24" i="46"/>
  <c r="G25" i="46"/>
  <c r="A21" i="45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3" i="45" s="1"/>
  <c r="A34" i="45" s="1"/>
  <c r="A35" i="45" s="1"/>
  <c r="A37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4" i="45" s="1"/>
  <c r="A65" i="45" s="1"/>
  <c r="A66" i="45" s="1"/>
  <c r="P24" i="46" l="1"/>
  <c r="Q24" i="46"/>
  <c r="R24" i="46"/>
  <c r="S24" i="46"/>
  <c r="O24" i="46"/>
  <c r="N24" i="46"/>
  <c r="G26" i="46"/>
  <c r="H25" i="46"/>
  <c r="K138" i="2"/>
  <c r="K142" i="2"/>
  <c r="K146" i="2"/>
  <c r="K150" i="2"/>
  <c r="K154" i="2"/>
  <c r="K158" i="2"/>
  <c r="K162" i="2"/>
  <c r="K14" i="2"/>
  <c r="K18" i="2"/>
  <c r="K22" i="2"/>
  <c r="K26" i="2"/>
  <c r="K30" i="2"/>
  <c r="K34" i="2"/>
  <c r="K38" i="2"/>
  <c r="A7" i="42"/>
  <c r="A17" i="42"/>
  <c r="A18" i="42"/>
  <c r="A28" i="42"/>
  <c r="A29" i="42"/>
  <c r="A39" i="42"/>
  <c r="A40" i="42"/>
  <c r="A41" i="42"/>
  <c r="A42" i="42"/>
  <c r="A43" i="42"/>
  <c r="A44" i="42"/>
  <c r="A45" i="42"/>
  <c r="D6" i="42"/>
  <c r="E6" i="42"/>
  <c r="F6" i="42"/>
  <c r="G6" i="42"/>
  <c r="H6" i="42"/>
  <c r="I6" i="42"/>
  <c r="J6" i="42"/>
  <c r="C6" i="42"/>
  <c r="F5" i="43"/>
  <c r="C5" i="43"/>
  <c r="A7" i="43"/>
  <c r="A6" i="43"/>
  <c r="A1" i="43"/>
  <c r="A6" i="42"/>
  <c r="A1" i="42"/>
  <c r="D8" i="40"/>
  <c r="H26" i="46" l="1"/>
  <c r="G27" i="46"/>
  <c r="O25" i="46"/>
  <c r="P25" i="46"/>
  <c r="Q25" i="46"/>
  <c r="N25" i="46"/>
  <c r="S25" i="46"/>
  <c r="R25" i="46"/>
  <c r="A8" i="42"/>
  <c r="A9" i="42" s="1"/>
  <c r="A8" i="43"/>
  <c r="A9" i="43" s="1"/>
  <c r="H27" i="46" l="1"/>
  <c r="G28" i="46"/>
  <c r="P26" i="46"/>
  <c r="Q26" i="46"/>
  <c r="O26" i="46"/>
  <c r="R26" i="46"/>
  <c r="S26" i="46"/>
  <c r="N26" i="46"/>
  <c r="A10" i="42"/>
  <c r="A11" i="42" s="1"/>
  <c r="A10" i="43"/>
  <c r="A11" i="43" s="1"/>
  <c r="P27" i="46" l="1"/>
  <c r="Q27" i="46"/>
  <c r="O27" i="46"/>
  <c r="N27" i="46"/>
  <c r="S27" i="46"/>
  <c r="R27" i="46"/>
  <c r="H28" i="46"/>
  <c r="G29" i="46"/>
  <c r="A12" i="42"/>
  <c r="A13" i="42" s="1"/>
  <c r="A12" i="43"/>
  <c r="G30" i="46" l="1"/>
  <c r="H29" i="46"/>
  <c r="P28" i="46"/>
  <c r="Q28" i="46"/>
  <c r="R28" i="46"/>
  <c r="S28" i="46"/>
  <c r="O28" i="46"/>
  <c r="N28" i="46"/>
  <c r="A14" i="42"/>
  <c r="A15" i="42" s="1"/>
  <c r="A16" i="42" s="1"/>
  <c r="A19" i="42" s="1"/>
  <c r="A20" i="42" s="1"/>
  <c r="A13" i="43"/>
  <c r="A14" i="43" s="1"/>
  <c r="A16" i="43" s="1"/>
  <c r="A17" i="43" s="1"/>
  <c r="A18" i="43" s="1"/>
  <c r="N29" i="46" l="1"/>
  <c r="O29" i="46"/>
  <c r="P29" i="46"/>
  <c r="R29" i="46"/>
  <c r="Q29" i="46"/>
  <c r="S29" i="46"/>
  <c r="H30" i="46"/>
  <c r="G31" i="46"/>
  <c r="H31" i="46" s="1"/>
  <c r="A19" i="43"/>
  <c r="A20" i="43" s="1"/>
  <c r="A21" i="42"/>
  <c r="A22" i="42" s="1"/>
  <c r="A23" i="42" s="1"/>
  <c r="P30" i="46" l="1"/>
  <c r="O30" i="46"/>
  <c r="Q30" i="46"/>
  <c r="S30" i="46"/>
  <c r="N30" i="46"/>
  <c r="R30" i="46"/>
  <c r="Q31" i="46"/>
  <c r="Q33" i="46" s="1"/>
  <c r="D46" i="46" s="1"/>
  <c r="N31" i="46"/>
  <c r="N33" i="46" s="1"/>
  <c r="D40" i="46" s="1"/>
  <c r="S31" i="46"/>
  <c r="O31" i="46"/>
  <c r="O33" i="46" s="1"/>
  <c r="D41" i="46" s="1"/>
  <c r="P31" i="46"/>
  <c r="P33" i="46" s="1"/>
  <c r="D45" i="46" s="1"/>
  <c r="R31" i="46"/>
  <c r="H33" i="46"/>
  <c r="A21" i="43"/>
  <c r="A22" i="43" s="1"/>
  <c r="A23" i="43" s="1"/>
  <c r="A24" i="42"/>
  <c r="A25" i="42" s="1"/>
  <c r="A26" i="42" s="1"/>
  <c r="R33" i="46" l="1"/>
  <c r="D50" i="46" s="1"/>
  <c r="S33" i="46"/>
  <c r="D51" i="46" s="1"/>
  <c r="A27" i="42"/>
  <c r="A30" i="42" s="1"/>
  <c r="A31" i="42" l="1"/>
  <c r="A32" i="42" s="1"/>
  <c r="A33" i="42" s="1"/>
  <c r="A34" i="42" l="1"/>
  <c r="A35" i="42" s="1"/>
  <c r="A36" i="42" s="1"/>
  <c r="A37" i="42" s="1"/>
  <c r="A38" i="42" s="1"/>
  <c r="D11" i="41" l="1"/>
  <c r="C11" i="41"/>
  <c r="C9" i="41"/>
  <c r="C10" i="41"/>
  <c r="C8" i="41"/>
  <c r="D8" i="41" l="1"/>
  <c r="E8" i="41" s="1"/>
  <c r="D10" i="41"/>
  <c r="E10" i="41" s="1"/>
  <c r="E11" i="41"/>
  <c r="D9" i="41"/>
  <c r="E9" i="41" s="1"/>
  <c r="C12" i="41"/>
  <c r="A13" i="41"/>
  <c r="A7" i="41"/>
  <c r="A6" i="41"/>
  <c r="A1" i="41"/>
  <c r="D12" i="41" l="1"/>
  <c r="A8" i="41"/>
  <c r="E12" i="41" l="1"/>
  <c r="A9" i="41" l="1"/>
  <c r="A10" i="41" s="1"/>
  <c r="A11" i="41" l="1"/>
  <c r="A12" i="41" s="1"/>
  <c r="A14" i="41" s="1"/>
  <c r="A15" i="41" l="1"/>
  <c r="A16" i="41" s="1"/>
  <c r="A17" i="41" l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l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G8" i="13" l="1"/>
  <c r="F8" i="13"/>
  <c r="E8" i="13"/>
  <c r="H8" i="13"/>
  <c r="G38" i="13"/>
  <c r="G36" i="13"/>
  <c r="A13" i="13"/>
  <c r="A15" i="13"/>
  <c r="A16" i="13"/>
  <c r="A17" i="13"/>
  <c r="A18" i="13"/>
  <c r="A19" i="13"/>
  <c r="A20" i="13"/>
  <c r="A33" i="13"/>
  <c r="G25" i="13"/>
  <c r="G26" i="13"/>
  <c r="G23" i="13"/>
  <c r="G24" i="13"/>
  <c r="G27" i="13"/>
  <c r="G28" i="13"/>
  <c r="G29" i="13"/>
  <c r="G30" i="13"/>
  <c r="G31" i="13"/>
  <c r="G22" i="13"/>
  <c r="F14" i="13" l="1"/>
  <c r="E14" i="13"/>
  <c r="G14" i="13" l="1"/>
  <c r="D15" i="40" l="1"/>
  <c r="D14" i="40"/>
  <c r="D12" i="40"/>
  <c r="D11" i="40"/>
  <c r="D10" i="40"/>
  <c r="D9" i="40"/>
  <c r="E9" i="40" s="1"/>
  <c r="E22" i="40"/>
  <c r="E23" i="40"/>
  <c r="E24" i="40"/>
  <c r="E25" i="40"/>
  <c r="E26" i="40"/>
  <c r="E27" i="40"/>
  <c r="E28" i="40"/>
  <c r="E29" i="40"/>
  <c r="E32" i="40"/>
  <c r="E33" i="40"/>
  <c r="E34" i="40"/>
  <c r="E35" i="40"/>
  <c r="E37" i="40"/>
  <c r="E38" i="40"/>
  <c r="E39" i="40"/>
  <c r="E40" i="40"/>
  <c r="E41" i="40"/>
  <c r="E42" i="40"/>
  <c r="E43" i="40"/>
  <c r="A19" i="40"/>
  <c r="A21" i="40"/>
  <c r="A17" i="40"/>
  <c r="A7" i="40"/>
  <c r="A6" i="40"/>
  <c r="A1" i="40"/>
  <c r="E12" i="40" l="1"/>
  <c r="E14" i="40"/>
  <c r="C14" i="40" s="1"/>
  <c r="E15" i="40"/>
  <c r="C15" i="40" s="1"/>
  <c r="D16" i="40"/>
  <c r="E10" i="40"/>
  <c r="E11" i="40"/>
  <c r="E13" i="40"/>
  <c r="C13" i="40" s="1"/>
  <c r="A8" i="40"/>
  <c r="A9" i="40" l="1"/>
  <c r="A10" i="40" s="1"/>
  <c r="E16" i="40"/>
  <c r="E17" i="40" l="1"/>
  <c r="A11" i="40"/>
  <c r="A12" i="40" s="1"/>
  <c r="A13" i="40" l="1"/>
  <c r="A14" i="40" l="1"/>
  <c r="A15" i="40" s="1"/>
  <c r="A16" i="40" l="1"/>
  <c r="A18" i="40" l="1"/>
  <c r="A20" i="40" s="1"/>
  <c r="A22" i="40" s="1"/>
  <c r="A23" i="40" s="1"/>
  <c r="A24" i="40" l="1"/>
  <c r="A25" i="40" s="1"/>
  <c r="A26" i="40" l="1"/>
  <c r="A27" i="40" l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15" i="11" l="1"/>
  <c r="A16" i="11"/>
  <c r="A17" i="11"/>
  <c r="A18" i="11"/>
  <c r="A19" i="11"/>
  <c r="A21" i="11"/>
  <c r="A30" i="11"/>
  <c r="A41" i="11"/>
  <c r="A44" i="11"/>
  <c r="A45" i="11"/>
  <c r="A46" i="11"/>
  <c r="A47" i="11"/>
  <c r="E32" i="11"/>
  <c r="F32" i="11"/>
  <c r="G32" i="11"/>
  <c r="H32" i="11"/>
  <c r="I32" i="11"/>
  <c r="J32" i="11"/>
  <c r="E33" i="11"/>
  <c r="F33" i="11"/>
  <c r="G33" i="11"/>
  <c r="H33" i="11"/>
  <c r="I33" i="11"/>
  <c r="J33" i="11"/>
  <c r="E34" i="11"/>
  <c r="F34" i="11"/>
  <c r="G34" i="11"/>
  <c r="H34" i="11"/>
  <c r="I34" i="11"/>
  <c r="J34" i="11"/>
  <c r="E35" i="11"/>
  <c r="F35" i="11"/>
  <c r="G35" i="11"/>
  <c r="H35" i="11"/>
  <c r="I35" i="11"/>
  <c r="J35" i="11"/>
  <c r="E36" i="11"/>
  <c r="F36" i="11"/>
  <c r="G36" i="11"/>
  <c r="H36" i="11"/>
  <c r="I36" i="11"/>
  <c r="J36" i="11"/>
  <c r="E37" i="11"/>
  <c r="F37" i="11"/>
  <c r="G37" i="11"/>
  <c r="H37" i="11"/>
  <c r="I37" i="11"/>
  <c r="J37" i="11"/>
  <c r="E38" i="11"/>
  <c r="F38" i="11"/>
  <c r="G38" i="11"/>
  <c r="H38" i="11"/>
  <c r="I38" i="11"/>
  <c r="J38" i="11"/>
  <c r="E39" i="11"/>
  <c r="E43" i="11" s="1"/>
  <c r="F39" i="11"/>
  <c r="F43" i="11" s="1"/>
  <c r="G39" i="11"/>
  <c r="G43" i="11" s="1"/>
  <c r="H39" i="11"/>
  <c r="H43" i="11" s="1"/>
  <c r="I39" i="11"/>
  <c r="I43" i="11" s="1"/>
  <c r="J39" i="11"/>
  <c r="J43" i="11" s="1"/>
  <c r="D33" i="11"/>
  <c r="D34" i="11"/>
  <c r="D35" i="11"/>
  <c r="D36" i="11"/>
  <c r="D37" i="11"/>
  <c r="D38" i="11"/>
  <c r="D39" i="11"/>
  <c r="D43" i="11" s="1"/>
  <c r="D32" i="11"/>
  <c r="A12" i="11"/>
  <c r="E23" i="11"/>
  <c r="F23" i="11"/>
  <c r="G23" i="11"/>
  <c r="H23" i="11"/>
  <c r="I23" i="11"/>
  <c r="J23" i="11"/>
  <c r="E24" i="11"/>
  <c r="F24" i="11"/>
  <c r="G24" i="11"/>
  <c r="H24" i="11"/>
  <c r="I24" i="11"/>
  <c r="J24" i="11"/>
  <c r="E25" i="11"/>
  <c r="F25" i="11"/>
  <c r="G25" i="11"/>
  <c r="H25" i="11"/>
  <c r="I25" i="11"/>
  <c r="J25" i="11"/>
  <c r="E26" i="11"/>
  <c r="F26" i="11"/>
  <c r="G26" i="11"/>
  <c r="H26" i="11"/>
  <c r="I26" i="11"/>
  <c r="J26" i="11"/>
  <c r="E27" i="11"/>
  <c r="F27" i="11"/>
  <c r="G27" i="11"/>
  <c r="H27" i="11"/>
  <c r="I27" i="11"/>
  <c r="J27" i="11"/>
  <c r="E28" i="11"/>
  <c r="F28" i="11"/>
  <c r="G28" i="11"/>
  <c r="H28" i="11"/>
  <c r="I28" i="11"/>
  <c r="J28" i="11"/>
  <c r="E29" i="11"/>
  <c r="F29" i="11"/>
  <c r="G29" i="11"/>
  <c r="H29" i="11"/>
  <c r="I29" i="11"/>
  <c r="J29" i="11"/>
  <c r="D24" i="11"/>
  <c r="D25" i="11"/>
  <c r="D26" i="11"/>
  <c r="D27" i="11"/>
  <c r="D28" i="11"/>
  <c r="D29" i="11"/>
  <c r="D23" i="11"/>
  <c r="H42" i="11" l="1"/>
  <c r="F8" i="11"/>
  <c r="D42" i="11"/>
  <c r="E8" i="11"/>
  <c r="J8" i="11"/>
  <c r="K8" i="11"/>
  <c r="K11" i="11"/>
  <c r="I11" i="11"/>
  <c r="I8" i="11"/>
  <c r="H8" i="11"/>
  <c r="G8" i="11"/>
  <c r="G42" i="11"/>
  <c r="F42" i="11"/>
  <c r="E42" i="11"/>
  <c r="J42" i="11"/>
  <c r="I42" i="11"/>
  <c r="J11" i="11"/>
  <c r="E11" i="11"/>
  <c r="E98" i="2" s="1"/>
  <c r="G11" i="11"/>
  <c r="F11" i="11"/>
  <c r="H11" i="11"/>
  <c r="F40" i="11"/>
  <c r="D40" i="11"/>
  <c r="E40" i="11"/>
  <c r="G40" i="11"/>
  <c r="J40" i="11"/>
  <c r="H40" i="11"/>
  <c r="I40" i="11"/>
  <c r="J10" i="11" l="1"/>
  <c r="J94" i="2" s="1"/>
  <c r="I98" i="2"/>
  <c r="G98" i="2"/>
  <c r="J98" i="2"/>
  <c r="H98" i="2"/>
  <c r="K98" i="2"/>
  <c r="F98" i="2"/>
  <c r="E10" i="11"/>
  <c r="E94" i="2" s="1"/>
  <c r="I10" i="11"/>
  <c r="K10" i="11"/>
  <c r="F10" i="11"/>
  <c r="H10" i="11"/>
  <c r="G10" i="11"/>
  <c r="D11" i="11"/>
  <c r="E14" i="11" s="1"/>
  <c r="H9" i="19"/>
  <c r="H10" i="19"/>
  <c r="H8" i="19"/>
  <c r="D9" i="19"/>
  <c r="E9" i="19"/>
  <c r="D10" i="19"/>
  <c r="E10" i="19"/>
  <c r="E8" i="19"/>
  <c r="D8" i="19"/>
  <c r="C175" i="2"/>
  <c r="A12" i="39"/>
  <c r="A27" i="39"/>
  <c r="A11" i="39"/>
  <c r="A7" i="39"/>
  <c r="K6" i="39"/>
  <c r="J6" i="39"/>
  <c r="I6" i="39"/>
  <c r="H6" i="39"/>
  <c r="G6" i="39"/>
  <c r="F6" i="39"/>
  <c r="E6" i="39"/>
  <c r="D6" i="39"/>
  <c r="C6" i="39"/>
  <c r="B6" i="39"/>
  <c r="A6" i="39"/>
  <c r="A1" i="39"/>
  <c r="K94" i="2" l="1"/>
  <c r="I94" i="2"/>
  <c r="K14" i="11"/>
  <c r="F94" i="2"/>
  <c r="H14" i="11"/>
  <c r="I14" i="11"/>
  <c r="G14" i="11"/>
  <c r="G94" i="2"/>
  <c r="H94" i="2"/>
  <c r="F14" i="11"/>
  <c r="J14" i="11"/>
  <c r="F8" i="39"/>
  <c r="F170" i="2" s="1"/>
  <c r="I8" i="39"/>
  <c r="I10" i="39" s="1"/>
  <c r="I174" i="2" s="1"/>
  <c r="E8" i="39"/>
  <c r="E10" i="39" s="1"/>
  <c r="K8" i="39"/>
  <c r="K10" i="39" s="1"/>
  <c r="K174" i="2" s="1"/>
  <c r="J8" i="39"/>
  <c r="J10" i="39" s="1"/>
  <c r="J174" i="2" s="1"/>
  <c r="H8" i="39"/>
  <c r="H10" i="39" s="1"/>
  <c r="H174" i="2" s="1"/>
  <c r="G8" i="39"/>
  <c r="J26" i="39"/>
  <c r="I26" i="39"/>
  <c r="H26" i="39"/>
  <c r="F26" i="39"/>
  <c r="G26" i="39"/>
  <c r="K26" i="39"/>
  <c r="I170" i="2" l="1"/>
  <c r="F10" i="39"/>
  <c r="F174" i="2" s="1"/>
  <c r="E170" i="2"/>
  <c r="D8" i="39"/>
  <c r="J170" i="2"/>
  <c r="K170" i="2"/>
  <c r="H170" i="2"/>
  <c r="E174" i="2"/>
  <c r="G10" i="39"/>
  <c r="G174" i="2" s="1"/>
  <c r="G170" i="2"/>
  <c r="A8" i="39"/>
  <c r="D10" i="39" l="1"/>
  <c r="A9" i="39"/>
  <c r="A10" i="39" s="1"/>
  <c r="A13" i="39" l="1"/>
  <c r="A14" i="39" s="1"/>
  <c r="A15" i="39" s="1"/>
  <c r="A16" i="39" l="1"/>
  <c r="A17" i="39" s="1"/>
  <c r="A18" i="39" l="1"/>
  <c r="A19" i="39" s="1"/>
  <c r="A20" i="39" s="1"/>
  <c r="A21" i="39" s="1"/>
  <c r="A22" i="39" s="1"/>
  <c r="A23" i="39" s="1"/>
  <c r="A24" i="39" s="1"/>
  <c r="A25" i="39" s="1"/>
  <c r="A26" i="39" l="1"/>
  <c r="F9" i="19" l="1"/>
  <c r="F10" i="19"/>
  <c r="F8" i="19"/>
  <c r="A11" i="19"/>
  <c r="A14" i="19"/>
  <c r="A15" i="19"/>
  <c r="A17" i="19"/>
  <c r="A18" i="19"/>
  <c r="B16" i="19"/>
  <c r="A14" i="9"/>
  <c r="F20" i="9"/>
  <c r="G20" i="9"/>
  <c r="H20" i="9"/>
  <c r="I20" i="9"/>
  <c r="J20" i="9"/>
  <c r="K20" i="9"/>
  <c r="K15" i="9"/>
  <c r="K194" i="2" s="1"/>
  <c r="J15" i="9"/>
  <c r="J194" i="2" s="1"/>
  <c r="I15" i="9"/>
  <c r="I190" i="2" s="1"/>
  <c r="H15" i="9"/>
  <c r="H190" i="2" s="1"/>
  <c r="G15" i="9"/>
  <c r="G190" i="2" s="1"/>
  <c r="F15" i="9"/>
  <c r="F190" i="2" s="1"/>
  <c r="J11" i="9"/>
  <c r="J10" i="9"/>
  <c r="K12" i="9"/>
  <c r="D12" i="9" s="1"/>
  <c r="K11" i="9"/>
  <c r="K10" i="9"/>
  <c r="J9" i="9"/>
  <c r="I9" i="9"/>
  <c r="H9" i="9"/>
  <c r="G9" i="9"/>
  <c r="K9" i="9"/>
  <c r="G13" i="8"/>
  <c r="G12" i="8"/>
  <c r="H13" i="8"/>
  <c r="H12" i="8"/>
  <c r="I12" i="8"/>
  <c r="J14" i="8"/>
  <c r="J13" i="8"/>
  <c r="J12" i="8"/>
  <c r="J11" i="8"/>
  <c r="I11" i="8"/>
  <c r="H11" i="8"/>
  <c r="G11" i="8"/>
  <c r="E20" i="9"/>
  <c r="E15" i="9"/>
  <c r="E190" i="2" s="1"/>
  <c r="F9" i="9"/>
  <c r="E9" i="9"/>
  <c r="K8" i="9"/>
  <c r="J8" i="9"/>
  <c r="I8" i="9"/>
  <c r="H8" i="9"/>
  <c r="G8" i="9"/>
  <c r="F8" i="9"/>
  <c r="E8" i="9"/>
  <c r="K11" i="8"/>
  <c r="K6" i="8"/>
  <c r="F11" i="8"/>
  <c r="E11" i="8"/>
  <c r="K12" i="7"/>
  <c r="K14" i="7" s="1"/>
  <c r="J12" i="7"/>
  <c r="I12" i="7"/>
  <c r="I14" i="7" s="1"/>
  <c r="H12" i="7"/>
  <c r="H14" i="7" s="1"/>
  <c r="G12" i="7"/>
  <c r="G14" i="7" s="1"/>
  <c r="F12" i="7"/>
  <c r="F14" i="7" s="1"/>
  <c r="E12" i="7"/>
  <c r="E14" i="7" s="1"/>
  <c r="K8" i="7"/>
  <c r="J8" i="7"/>
  <c r="J10" i="7" s="1"/>
  <c r="I8" i="7"/>
  <c r="I10" i="7" s="1"/>
  <c r="H8" i="7"/>
  <c r="H10" i="7" s="1"/>
  <c r="G8" i="7"/>
  <c r="G10" i="7" s="1"/>
  <c r="F8" i="7"/>
  <c r="F10" i="7" s="1"/>
  <c r="E8" i="7"/>
  <c r="E10" i="7" s="1"/>
  <c r="G13" i="9" l="1"/>
  <c r="G182" i="2" s="1"/>
  <c r="K8" i="8"/>
  <c r="D194" i="2"/>
  <c r="D190" i="2"/>
  <c r="I13" i="9"/>
  <c r="I182" i="2" s="1"/>
  <c r="G8" i="19"/>
  <c r="I8" i="19" s="1"/>
  <c r="J13" i="9"/>
  <c r="J186" i="2" s="1"/>
  <c r="F13" i="9"/>
  <c r="F182" i="2" s="1"/>
  <c r="G9" i="19"/>
  <c r="I9" i="19" s="1"/>
  <c r="G10" i="19"/>
  <c r="E13" i="9"/>
  <c r="H13" i="9"/>
  <c r="H182" i="2" s="1"/>
  <c r="D11" i="9"/>
  <c r="D10" i="9"/>
  <c r="K13" i="9"/>
  <c r="K186" i="2" s="1"/>
  <c r="D9" i="9"/>
  <c r="G191" i="2" l="1"/>
  <c r="J195" i="2"/>
  <c r="K195" i="2"/>
  <c r="E191" i="2"/>
  <c r="I12" i="19"/>
  <c r="H191" i="2"/>
  <c r="E19" i="9"/>
  <c r="E178" i="2" s="1"/>
  <c r="E182" i="2"/>
  <c r="K191" i="2"/>
  <c r="J191" i="2"/>
  <c r="I195" i="2"/>
  <c r="F195" i="2"/>
  <c r="E195" i="2"/>
  <c r="G195" i="2"/>
  <c r="H195" i="2"/>
  <c r="F191" i="2"/>
  <c r="I191" i="2"/>
  <c r="D13" i="9"/>
  <c r="D195" i="2" l="1"/>
  <c r="D191" i="2"/>
  <c r="C99" i="2"/>
  <c r="D98" i="2"/>
  <c r="I99" i="2" s="1"/>
  <c r="C163" i="2"/>
  <c r="C159" i="2"/>
  <c r="C155" i="2"/>
  <c r="C151" i="2"/>
  <c r="C147" i="2"/>
  <c r="C143" i="2"/>
  <c r="C139" i="2"/>
  <c r="J99" i="2" l="1"/>
  <c r="K99" i="2"/>
  <c r="F99" i="2"/>
  <c r="G99" i="2"/>
  <c r="H99" i="2"/>
  <c r="E99" i="2"/>
  <c r="D99" i="2" l="1"/>
  <c r="A37" i="46"/>
  <c r="C43" i="2"/>
  <c r="C39" i="2"/>
  <c r="C35" i="2"/>
  <c r="C31" i="2"/>
  <c r="C27" i="2"/>
  <c r="C23" i="2"/>
  <c r="A2" i="2"/>
  <c r="A8" i="1"/>
  <c r="A39" i="46" l="1"/>
  <c r="A40" i="46" s="1"/>
  <c r="A41" i="46" s="1"/>
  <c r="A42" i="46" s="1"/>
  <c r="A44" i="46" s="1"/>
  <c r="A45" i="46" s="1"/>
  <c r="A46" i="46" s="1"/>
  <c r="A47" i="46" s="1"/>
  <c r="A49" i="46" s="1"/>
  <c r="A50" i="46" s="1"/>
  <c r="A51" i="46" s="1"/>
  <c r="A52" i="46" s="1"/>
  <c r="C205" i="2"/>
  <c r="A55" i="46" l="1"/>
  <c r="A57" i="46" s="1"/>
  <c r="J8" i="8"/>
  <c r="I8" i="8"/>
  <c r="K86" i="2"/>
  <c r="K10" i="13" s="1"/>
  <c r="E8" i="8"/>
  <c r="F8" i="8"/>
  <c r="G8" i="8"/>
  <c r="K134" i="2"/>
  <c r="A24" i="9"/>
  <c r="A22" i="9"/>
  <c r="A21" i="9"/>
  <c r="A20" i="9"/>
  <c r="A6" i="9"/>
  <c r="A7" i="9"/>
  <c r="A16" i="9"/>
  <c r="A18" i="9"/>
  <c r="A15" i="7"/>
  <c r="A6" i="7"/>
  <c r="A7" i="7"/>
  <c r="A9" i="7"/>
  <c r="A11" i="7"/>
  <c r="A13" i="7"/>
  <c r="A16" i="7"/>
  <c r="A6" i="10"/>
  <c r="A7" i="10"/>
  <c r="A9" i="10"/>
  <c r="A11" i="10"/>
  <c r="A13" i="10"/>
  <c r="A15" i="10"/>
  <c r="A18" i="10"/>
  <c r="A19" i="10"/>
  <c r="H85" i="2"/>
  <c r="K10" i="7"/>
  <c r="K85" i="2" s="1"/>
  <c r="F85" i="2"/>
  <c r="K6" i="7"/>
  <c r="J6" i="7"/>
  <c r="I6" i="7"/>
  <c r="H6" i="7"/>
  <c r="G6" i="7"/>
  <c r="F6" i="7"/>
  <c r="E6" i="7"/>
  <c r="D6" i="7"/>
  <c r="C6" i="7"/>
  <c r="B6" i="7"/>
  <c r="K6" i="9"/>
  <c r="J6" i="9"/>
  <c r="I6" i="9"/>
  <c r="H6" i="9"/>
  <c r="G6" i="9"/>
  <c r="F6" i="9"/>
  <c r="E6" i="9"/>
  <c r="D6" i="9"/>
  <c r="C6" i="9"/>
  <c r="B6" i="9"/>
  <c r="K6" i="10"/>
  <c r="J6" i="10"/>
  <c r="I6" i="10"/>
  <c r="H6" i="10"/>
  <c r="G6" i="10"/>
  <c r="F6" i="10"/>
  <c r="E6" i="10"/>
  <c r="D6" i="10"/>
  <c r="C6" i="10"/>
  <c r="B6" i="10"/>
  <c r="K6" i="11"/>
  <c r="C29" i="11" s="1"/>
  <c r="J6" i="11"/>
  <c r="C28" i="11" s="1"/>
  <c r="I6" i="11"/>
  <c r="C27" i="11" s="1"/>
  <c r="H6" i="11"/>
  <c r="C26" i="11" s="1"/>
  <c r="G6" i="11"/>
  <c r="C25" i="11" s="1"/>
  <c r="F6" i="11"/>
  <c r="C24" i="11" s="1"/>
  <c r="E6" i="11"/>
  <c r="C23" i="11" s="1"/>
  <c r="D6" i="11"/>
  <c r="C6" i="11"/>
  <c r="B6" i="11"/>
  <c r="A6" i="11"/>
  <c r="K6" i="13"/>
  <c r="J6" i="13"/>
  <c r="I6" i="13"/>
  <c r="H6" i="13"/>
  <c r="G6" i="13"/>
  <c r="F6" i="13"/>
  <c r="E6" i="13"/>
  <c r="D6" i="13"/>
  <c r="C6" i="13"/>
  <c r="B6" i="13"/>
  <c r="A6" i="13"/>
  <c r="C15" i="2"/>
  <c r="C11" i="2"/>
  <c r="C19" i="2"/>
  <c r="C47" i="2"/>
  <c r="C87" i="2"/>
  <c r="C91" i="2"/>
  <c r="C95" i="2"/>
  <c r="C103" i="2"/>
  <c r="C107" i="2"/>
  <c r="C111" i="2"/>
  <c r="C115" i="2"/>
  <c r="C128" i="2"/>
  <c r="C135" i="2"/>
  <c r="C171" i="2"/>
  <c r="C179" i="2"/>
  <c r="C187" i="2"/>
  <c r="C201" i="2"/>
  <c r="A8" i="2"/>
  <c r="A7" i="11"/>
  <c r="A9" i="11"/>
  <c r="A26" i="9"/>
  <c r="A28" i="9"/>
  <c r="A29" i="9"/>
  <c r="O6" i="19"/>
  <c r="P6" i="19"/>
  <c r="J6" i="8"/>
  <c r="A9" i="8"/>
  <c r="A10" i="8"/>
  <c r="A15" i="8"/>
  <c r="A16" i="8"/>
  <c r="A17" i="8"/>
  <c r="A24" i="7"/>
  <c r="A23" i="7"/>
  <c r="A22" i="7"/>
  <c r="A21" i="7"/>
  <c r="A20" i="7"/>
  <c r="A19" i="7"/>
  <c r="A18" i="7"/>
  <c r="A17" i="7"/>
  <c r="A7" i="8"/>
  <c r="I6" i="8"/>
  <c r="H6" i="8"/>
  <c r="G6" i="8"/>
  <c r="F6" i="8"/>
  <c r="E6" i="8"/>
  <c r="D6" i="8"/>
  <c r="C6" i="8"/>
  <c r="B6" i="8"/>
  <c r="A6" i="8"/>
  <c r="A11" i="13"/>
  <c r="A9" i="13"/>
  <c r="A7" i="13"/>
  <c r="A20" i="19"/>
  <c r="A19" i="19"/>
  <c r="A7" i="19"/>
  <c r="N6" i="19"/>
  <c r="M6" i="19"/>
  <c r="L6" i="19"/>
  <c r="K6" i="19"/>
  <c r="J6" i="19"/>
  <c r="A6" i="19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" i="7"/>
  <c r="A1" i="8"/>
  <c r="A1" i="9"/>
  <c r="A1" i="10"/>
  <c r="A1" i="11"/>
  <c r="A1" i="13"/>
  <c r="A1" i="19"/>
  <c r="A1" i="2"/>
  <c r="D7" i="1"/>
  <c r="A7" i="2"/>
  <c r="E10" i="2"/>
  <c r="E55" i="46" s="1"/>
  <c r="G10" i="2"/>
  <c r="G55" i="46" s="1"/>
  <c r="F10" i="2"/>
  <c r="F55" i="46" s="1"/>
  <c r="H10" i="2"/>
  <c r="H55" i="46" s="1"/>
  <c r="G134" i="2" l="1"/>
  <c r="G57" i="46" s="1"/>
  <c r="E134" i="2"/>
  <c r="E57" i="46" s="1"/>
  <c r="F134" i="2"/>
  <c r="F57" i="46" s="1"/>
  <c r="J9" i="42"/>
  <c r="I134" i="2"/>
  <c r="I57" i="46" s="1"/>
  <c r="J31" i="42"/>
  <c r="K57" i="46"/>
  <c r="G166" i="2"/>
  <c r="D31" i="42"/>
  <c r="D32" i="42" s="1"/>
  <c r="E138" i="2" s="1"/>
  <c r="E166" i="2"/>
  <c r="D20" i="42"/>
  <c r="D21" i="42" s="1"/>
  <c r="E14" i="2" s="1"/>
  <c r="E42" i="2"/>
  <c r="F20" i="42"/>
  <c r="F21" i="42" s="1"/>
  <c r="G14" i="2" s="1"/>
  <c r="G42" i="2"/>
  <c r="G20" i="42"/>
  <c r="G21" i="42" s="1"/>
  <c r="G22" i="42" s="1"/>
  <c r="H42" i="2"/>
  <c r="E20" i="42"/>
  <c r="E21" i="42" s="1"/>
  <c r="E22" i="42" s="1"/>
  <c r="F42" i="2"/>
  <c r="K90" i="2"/>
  <c r="K16" i="19"/>
  <c r="P16" i="19"/>
  <c r="M16" i="19"/>
  <c r="A8" i="19"/>
  <c r="A13" i="19" s="1"/>
  <c r="A8" i="11"/>
  <c r="A10" i="11" s="1"/>
  <c r="A9" i="2"/>
  <c r="A8" i="7"/>
  <c r="A10" i="7" s="1"/>
  <c r="A8" i="13"/>
  <c r="A10" i="13" s="1"/>
  <c r="A8" i="8"/>
  <c r="A11" i="8" s="1"/>
  <c r="A12" i="8" s="1"/>
  <c r="A13" i="8" s="1"/>
  <c r="A8" i="10"/>
  <c r="A8" i="9"/>
  <c r="D8" i="11"/>
  <c r="E85" i="2"/>
  <c r="D10" i="11"/>
  <c r="D170" i="2"/>
  <c r="G171" i="2" s="1"/>
  <c r="D106" i="2"/>
  <c r="G85" i="2"/>
  <c r="L16" i="19" s="1"/>
  <c r="H8" i="8"/>
  <c r="F86" i="2"/>
  <c r="E86" i="2"/>
  <c r="H86" i="2"/>
  <c r="J134" i="2"/>
  <c r="J57" i="46" s="1"/>
  <c r="F31" i="42" l="1"/>
  <c r="F32" i="42" s="1"/>
  <c r="F33" i="42" s="1"/>
  <c r="F166" i="2"/>
  <c r="H31" i="42"/>
  <c r="E31" i="42"/>
  <c r="E32" i="42" s="1"/>
  <c r="E33" i="42" s="1"/>
  <c r="F142" i="2" s="1"/>
  <c r="H134" i="2"/>
  <c r="H57" i="46" s="1"/>
  <c r="I166" i="2"/>
  <c r="H10" i="13"/>
  <c r="H12" i="13" s="1"/>
  <c r="H102" i="2" s="1"/>
  <c r="E10" i="13"/>
  <c r="E12" i="13" s="1"/>
  <c r="E102" i="2" s="1"/>
  <c r="F10" i="13"/>
  <c r="F12" i="13" s="1"/>
  <c r="F102" i="2" s="1"/>
  <c r="F14" i="2"/>
  <c r="F22" i="42"/>
  <c r="F23" i="42" s="1"/>
  <c r="H14" i="2"/>
  <c r="G138" i="2"/>
  <c r="J46" i="46"/>
  <c r="J47" i="46" s="1"/>
  <c r="J123" i="2" s="1"/>
  <c r="J51" i="46"/>
  <c r="J52" i="46" s="1"/>
  <c r="J127" i="2" s="1"/>
  <c r="K46" i="46"/>
  <c r="K47" i="46" s="1"/>
  <c r="K123" i="2" s="1"/>
  <c r="K51" i="46"/>
  <c r="K52" i="46" s="1"/>
  <c r="K127" i="2" s="1"/>
  <c r="I31" i="42"/>
  <c r="J166" i="2"/>
  <c r="E23" i="42"/>
  <c r="F18" i="2"/>
  <c r="G23" i="42"/>
  <c r="H18" i="2"/>
  <c r="F34" i="42"/>
  <c r="G142" i="2"/>
  <c r="D33" i="42"/>
  <c r="E142" i="2" s="1"/>
  <c r="D22" i="42"/>
  <c r="E18" i="2" s="1"/>
  <c r="J13" i="11"/>
  <c r="E13" i="11"/>
  <c r="K13" i="11"/>
  <c r="F13" i="11"/>
  <c r="I13" i="11"/>
  <c r="H13" i="11"/>
  <c r="G13" i="11"/>
  <c r="A12" i="13"/>
  <c r="A14" i="13" s="1"/>
  <c r="A21" i="13" s="1"/>
  <c r="A11" i="11"/>
  <c r="A13" i="11" s="1"/>
  <c r="A9" i="19"/>
  <c r="A10" i="19" s="1"/>
  <c r="A10" i="2"/>
  <c r="A9" i="9"/>
  <c r="A14" i="8"/>
  <c r="A12" i="7"/>
  <c r="H171" i="2"/>
  <c r="E171" i="2"/>
  <c r="F171" i="2"/>
  <c r="D17" i="9"/>
  <c r="D8" i="8"/>
  <c r="I107" i="2"/>
  <c r="E107" i="2"/>
  <c r="G107" i="2"/>
  <c r="H107" i="2"/>
  <c r="K107" i="2"/>
  <c r="J107" i="2"/>
  <c r="D200" i="2"/>
  <c r="F201" i="2" s="1"/>
  <c r="J16" i="19"/>
  <c r="K8" i="19" s="1"/>
  <c r="G86" i="2"/>
  <c r="F107" i="2"/>
  <c r="J171" i="2"/>
  <c r="K171" i="2"/>
  <c r="I171" i="2"/>
  <c r="G31" i="42" l="1"/>
  <c r="H166" i="2"/>
  <c r="D166" i="2" s="1"/>
  <c r="F167" i="2" s="1"/>
  <c r="D134" i="2"/>
  <c r="F138" i="2"/>
  <c r="E34" i="42"/>
  <c r="F146" i="2" s="1"/>
  <c r="K17" i="8"/>
  <c r="F17" i="8"/>
  <c r="G17" i="8"/>
  <c r="I17" i="8"/>
  <c r="E17" i="8"/>
  <c r="J17" i="8"/>
  <c r="H17" i="8"/>
  <c r="A11" i="2"/>
  <c r="G10" i="13"/>
  <c r="G12" i="13" s="1"/>
  <c r="G102" i="2" s="1"/>
  <c r="G18" i="2"/>
  <c r="H45" i="46"/>
  <c r="H47" i="46" s="1"/>
  <c r="H123" i="2" s="1"/>
  <c r="H50" i="46"/>
  <c r="H52" i="46" s="1"/>
  <c r="H127" i="2" s="1"/>
  <c r="G45" i="46"/>
  <c r="G47" i="46" s="1"/>
  <c r="G123" i="2" s="1"/>
  <c r="G50" i="46"/>
  <c r="G52" i="46" s="1"/>
  <c r="G127" i="2" s="1"/>
  <c r="D57" i="46"/>
  <c r="I45" i="46"/>
  <c r="I47" i="46" s="1"/>
  <c r="I123" i="2" s="1"/>
  <c r="E45" i="46"/>
  <c r="E47" i="46" s="1"/>
  <c r="E123" i="2" s="1"/>
  <c r="I50" i="46"/>
  <c r="I52" i="46" s="1"/>
  <c r="I127" i="2" s="1"/>
  <c r="F45" i="46"/>
  <c r="F47" i="46" s="1"/>
  <c r="F123" i="2" s="1"/>
  <c r="E50" i="46"/>
  <c r="E52" i="46" s="1"/>
  <c r="E127" i="2" s="1"/>
  <c r="F50" i="46"/>
  <c r="F52" i="46" s="1"/>
  <c r="F127" i="2" s="1"/>
  <c r="G24" i="42"/>
  <c r="H22" i="2"/>
  <c r="F35" i="42"/>
  <c r="G146" i="2"/>
  <c r="E24" i="42"/>
  <c r="F22" i="2"/>
  <c r="F24" i="42"/>
  <c r="G22" i="2"/>
  <c r="D34" i="42"/>
  <c r="E146" i="2" s="1"/>
  <c r="G32" i="42"/>
  <c r="H138" i="2" s="1"/>
  <c r="C31" i="42"/>
  <c r="D23" i="42"/>
  <c r="E22" i="2" s="1"/>
  <c r="A22" i="13"/>
  <c r="A23" i="13" s="1"/>
  <c r="A14" i="11"/>
  <c r="A20" i="11" s="1"/>
  <c r="A12" i="19"/>
  <c r="A16" i="19" s="1"/>
  <c r="D174" i="2"/>
  <c r="J8" i="19"/>
  <c r="J12" i="19" s="1"/>
  <c r="K12" i="19"/>
  <c r="A10" i="9"/>
  <c r="A11" i="9" s="1"/>
  <c r="A14" i="7"/>
  <c r="D94" i="2"/>
  <c r="J85" i="2"/>
  <c r="D171" i="2"/>
  <c r="I86" i="2"/>
  <c r="I10" i="13" s="1"/>
  <c r="D8" i="7"/>
  <c r="D10" i="7" s="1"/>
  <c r="K201" i="2"/>
  <c r="J201" i="2"/>
  <c r="H201" i="2"/>
  <c r="I201" i="2"/>
  <c r="G201" i="2"/>
  <c r="E201" i="2"/>
  <c r="D107" i="2"/>
  <c r="F135" i="2" l="1"/>
  <c r="K135" i="2"/>
  <c r="I135" i="2"/>
  <c r="J135" i="2"/>
  <c r="E135" i="2"/>
  <c r="H135" i="2"/>
  <c r="G135" i="2"/>
  <c r="E35" i="42"/>
  <c r="E36" i="42" s="1"/>
  <c r="H9" i="42"/>
  <c r="I95" i="2"/>
  <c r="E95" i="2"/>
  <c r="J167" i="2"/>
  <c r="D123" i="2"/>
  <c r="E124" i="2" s="1"/>
  <c r="D47" i="46"/>
  <c r="E215" i="2" s="1"/>
  <c r="I167" i="2"/>
  <c r="E167" i="2"/>
  <c r="G167" i="2"/>
  <c r="D52" i="46"/>
  <c r="K167" i="2"/>
  <c r="H167" i="2"/>
  <c r="E25" i="42"/>
  <c r="F26" i="2"/>
  <c r="F25" i="42"/>
  <c r="G26" i="2"/>
  <c r="G25" i="42"/>
  <c r="H26" i="2"/>
  <c r="F36" i="42"/>
  <c r="G150" i="2"/>
  <c r="D35" i="42"/>
  <c r="E150" i="2" s="1"/>
  <c r="G33" i="42"/>
  <c r="H142" i="2" s="1"/>
  <c r="D24" i="42"/>
  <c r="E26" i="2" s="1"/>
  <c r="I90" i="2"/>
  <c r="A24" i="13"/>
  <c r="A25" i="13" s="1"/>
  <c r="A22" i="11"/>
  <c r="A23" i="11" s="1"/>
  <c r="G175" i="2"/>
  <c r="F175" i="2"/>
  <c r="K175" i="2"/>
  <c r="H175" i="2"/>
  <c r="I175" i="2"/>
  <c r="E175" i="2"/>
  <c r="J175" i="2"/>
  <c r="E114" i="2"/>
  <c r="J13" i="19"/>
  <c r="F114" i="2"/>
  <c r="K13" i="19"/>
  <c r="O16" i="19"/>
  <c r="A12" i="9"/>
  <c r="A13" i="9" s="1"/>
  <c r="K95" i="2"/>
  <c r="H95" i="2"/>
  <c r="F95" i="2"/>
  <c r="G95" i="2"/>
  <c r="J95" i="2"/>
  <c r="I85" i="2"/>
  <c r="N16" i="19" s="1"/>
  <c r="D201" i="2"/>
  <c r="F150" i="2" l="1"/>
  <c r="D135" i="2"/>
  <c r="I124" i="2"/>
  <c r="J124" i="2"/>
  <c r="K124" i="2"/>
  <c r="H124" i="2"/>
  <c r="F124" i="2"/>
  <c r="G124" i="2"/>
  <c r="D167" i="2"/>
  <c r="F37" i="42"/>
  <c r="G154" i="2"/>
  <c r="F26" i="42"/>
  <c r="G30" i="2"/>
  <c r="G26" i="42"/>
  <c r="H30" i="2"/>
  <c r="E26" i="42"/>
  <c r="F30" i="2"/>
  <c r="E37" i="42"/>
  <c r="F154" i="2"/>
  <c r="D36" i="42"/>
  <c r="E154" i="2" s="1"/>
  <c r="G34" i="42"/>
  <c r="H146" i="2" s="1"/>
  <c r="D25" i="42"/>
  <c r="E30" i="2" s="1"/>
  <c r="A26" i="13"/>
  <c r="A24" i="11"/>
  <c r="A25" i="11" s="1"/>
  <c r="D175" i="2"/>
  <c r="O9" i="19"/>
  <c r="O12" i="19" s="1"/>
  <c r="N9" i="19"/>
  <c r="N12" i="19" s="1"/>
  <c r="M9" i="19"/>
  <c r="M12" i="19" s="1"/>
  <c r="P9" i="19"/>
  <c r="P12" i="19" s="1"/>
  <c r="L9" i="19"/>
  <c r="L12" i="19" s="1"/>
  <c r="A15" i="9"/>
  <c r="D95" i="2"/>
  <c r="D85" i="2"/>
  <c r="D124" i="2" l="1"/>
  <c r="E27" i="42"/>
  <c r="F38" i="2" s="1"/>
  <c r="F34" i="2"/>
  <c r="F27" i="42"/>
  <c r="G38" i="2" s="1"/>
  <c r="G34" i="2"/>
  <c r="G27" i="42"/>
  <c r="H38" i="2" s="1"/>
  <c r="H34" i="2"/>
  <c r="F38" i="42"/>
  <c r="G162" i="2" s="1"/>
  <c r="G158" i="2"/>
  <c r="E38" i="42"/>
  <c r="F162" i="2" s="1"/>
  <c r="F158" i="2"/>
  <c r="G35" i="42"/>
  <c r="H150" i="2" s="1"/>
  <c r="D37" i="42"/>
  <c r="E158" i="2" s="1"/>
  <c r="D26" i="42"/>
  <c r="E34" i="2" s="1"/>
  <c r="A27" i="13"/>
  <c r="A28" i="13" s="1"/>
  <c r="A29" i="13" s="1"/>
  <c r="A30" i="13" s="1"/>
  <c r="A31" i="13" s="1"/>
  <c r="A32" i="13" s="1"/>
  <c r="A26" i="11"/>
  <c r="A27" i="11" s="1"/>
  <c r="A28" i="11" s="1"/>
  <c r="A29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2" i="11" s="1"/>
  <c r="A43" i="11" s="1"/>
  <c r="J114" i="2"/>
  <c r="O13" i="19"/>
  <c r="G114" i="2"/>
  <c r="L13" i="19"/>
  <c r="K114" i="2"/>
  <c r="P13" i="19"/>
  <c r="H114" i="2"/>
  <c r="M13" i="19"/>
  <c r="I114" i="2"/>
  <c r="N13" i="19"/>
  <c r="A17" i="9"/>
  <c r="D38" i="42" l="1"/>
  <c r="E162" i="2" s="1"/>
  <c r="G36" i="42"/>
  <c r="H154" i="2" s="1"/>
  <c r="D27" i="42"/>
  <c r="E38" i="2" l="1"/>
  <c r="G37" i="42"/>
  <c r="H158" i="2" s="1"/>
  <c r="G38" i="42" l="1"/>
  <c r="A210" i="2" l="1"/>
  <c r="A211" i="2" s="1"/>
  <c r="A212" i="2" s="1"/>
  <c r="A214" i="2" s="1"/>
  <c r="A215" i="2" s="1"/>
  <c r="A216" i="2" s="1"/>
  <c r="H162" i="2"/>
  <c r="A19" i="9" l="1"/>
  <c r="A23" i="9" l="1"/>
  <c r="A25" i="9" s="1"/>
  <c r="D20" i="9" l="1"/>
  <c r="F19" i="9" l="1"/>
  <c r="H19" i="9"/>
  <c r="G19" i="9"/>
  <c r="G178" i="2" l="1"/>
  <c r="H178" i="2"/>
  <c r="F178" i="2"/>
  <c r="H21" i="9"/>
  <c r="F21" i="9"/>
  <c r="G21" i="9"/>
  <c r="E21" i="9" l="1"/>
  <c r="K19" i="9" l="1"/>
  <c r="K21" i="9" l="1"/>
  <c r="K178" i="2"/>
  <c r="D8" i="9" l="1"/>
  <c r="D15" i="9"/>
  <c r="J19" i="9" l="1"/>
  <c r="J178" i="2" s="1"/>
  <c r="I19" i="9"/>
  <c r="I21" i="9" l="1"/>
  <c r="I178" i="2"/>
  <c r="J21" i="9"/>
  <c r="D19" i="9"/>
  <c r="D21" i="9" l="1"/>
  <c r="D178" i="2"/>
  <c r="I179" i="2" s="1"/>
  <c r="D182" i="2"/>
  <c r="I183" i="2" s="1"/>
  <c r="D186" i="2"/>
  <c r="F183" i="2" l="1"/>
  <c r="E183" i="2"/>
  <c r="J183" i="2"/>
  <c r="K183" i="2"/>
  <c r="H183" i="2"/>
  <c r="G183" i="2"/>
  <c r="H179" i="2"/>
  <c r="G179" i="2"/>
  <c r="F179" i="2"/>
  <c r="E179" i="2"/>
  <c r="K179" i="2"/>
  <c r="J179" i="2"/>
  <c r="F187" i="2"/>
  <c r="H187" i="2"/>
  <c r="G187" i="2"/>
  <c r="E187" i="2"/>
  <c r="K187" i="2"/>
  <c r="J187" i="2"/>
  <c r="I187" i="2"/>
  <c r="D183" i="2" l="1"/>
  <c r="D179" i="2"/>
  <c r="D187" i="2"/>
  <c r="D12" i="7" l="1"/>
  <c r="D14" i="7" s="1"/>
  <c r="J14" i="7"/>
  <c r="J86" i="2" s="1"/>
  <c r="J10" i="13" s="1"/>
  <c r="I9" i="42" l="1"/>
  <c r="C9" i="42" s="1"/>
  <c r="J90" i="2"/>
  <c r="D90" i="2" s="1"/>
  <c r="J91" i="2" s="1"/>
  <c r="D86" i="2"/>
  <c r="J87" i="2" l="1"/>
  <c r="D110" i="2"/>
  <c r="J111" i="2" s="1"/>
  <c r="D10" i="13"/>
  <c r="I91" i="2"/>
  <c r="H91" i="2"/>
  <c r="E91" i="2"/>
  <c r="K91" i="2"/>
  <c r="G91" i="2"/>
  <c r="F91" i="2"/>
  <c r="I87" i="2"/>
  <c r="K87" i="2"/>
  <c r="E87" i="2"/>
  <c r="F87" i="2"/>
  <c r="G87" i="2"/>
  <c r="H87" i="2"/>
  <c r="D127" i="2"/>
  <c r="I128" i="2" l="1"/>
  <c r="H128" i="2"/>
  <c r="F128" i="2"/>
  <c r="G128" i="2"/>
  <c r="K128" i="2"/>
  <c r="J128" i="2"/>
  <c r="E111" i="2"/>
  <c r="K111" i="2"/>
  <c r="H111" i="2"/>
  <c r="F111" i="2"/>
  <c r="G111" i="2"/>
  <c r="I111" i="2"/>
  <c r="D91" i="2"/>
  <c r="D87" i="2"/>
  <c r="E128" i="2"/>
  <c r="D111" i="2" l="1"/>
  <c r="D102" i="2"/>
  <c r="D128" i="2"/>
  <c r="I103" i="2" l="1"/>
  <c r="F103" i="2"/>
  <c r="G103" i="2"/>
  <c r="H103" i="2"/>
  <c r="K103" i="2"/>
  <c r="E103" i="2"/>
  <c r="J103" i="2"/>
  <c r="D103" i="2" l="1"/>
  <c r="D114" i="2" l="1"/>
  <c r="E115" i="2" l="1"/>
  <c r="F115" i="2"/>
  <c r="H115" i="2"/>
  <c r="K115" i="2"/>
  <c r="I115" i="2"/>
  <c r="J115" i="2"/>
  <c r="G115" i="2"/>
  <c r="D115" i="2" l="1"/>
  <c r="C12" i="43" l="1"/>
  <c r="H14" i="42" s="1"/>
  <c r="C14" i="43"/>
  <c r="H16" i="42" s="1"/>
  <c r="C13" i="43"/>
  <c r="H15" i="42" s="1"/>
  <c r="D13" i="43"/>
  <c r="D14" i="43"/>
  <c r="D12" i="43"/>
  <c r="G9" i="43"/>
  <c r="G10" i="43"/>
  <c r="C10" i="43"/>
  <c r="H12" i="42" s="1"/>
  <c r="C11" i="43"/>
  <c r="H13" i="42" s="1"/>
  <c r="C9" i="43"/>
  <c r="H11" i="42" s="1"/>
  <c r="F9" i="43"/>
  <c r="I11" i="42" s="1"/>
  <c r="H10" i="43"/>
  <c r="H9" i="43"/>
  <c r="H11" i="43"/>
  <c r="H14" i="43"/>
  <c r="G13" i="43"/>
  <c r="G12" i="43"/>
  <c r="G14" i="43"/>
  <c r="G11" i="43"/>
  <c r="F11" i="43"/>
  <c r="I13" i="42" s="1"/>
  <c r="F10" i="43"/>
  <c r="I12" i="42" s="1"/>
  <c r="H13" i="43"/>
  <c r="E14" i="43"/>
  <c r="F13" i="43"/>
  <c r="I15" i="42" s="1"/>
  <c r="F12" i="43"/>
  <c r="I14" i="42" s="1"/>
  <c r="F14" i="43"/>
  <c r="I16" i="42" s="1"/>
  <c r="D11" i="43" l="1"/>
  <c r="D10" i="43"/>
  <c r="D9" i="43"/>
  <c r="E10" i="43"/>
  <c r="E11" i="43"/>
  <c r="H12" i="43"/>
  <c r="H8" i="43"/>
  <c r="H18" i="43" s="1"/>
  <c r="I33" i="42" s="1"/>
  <c r="C15" i="42"/>
  <c r="E9" i="43"/>
  <c r="E13" i="43"/>
  <c r="E8" i="43"/>
  <c r="E17" i="43" s="1"/>
  <c r="H32" i="42" s="1"/>
  <c r="C11" i="42"/>
  <c r="E12" i="43"/>
  <c r="C13" i="42"/>
  <c r="C8" i="43"/>
  <c r="H10" i="42" s="1"/>
  <c r="G8" i="43"/>
  <c r="F8" i="43"/>
  <c r="I10" i="42" s="1"/>
  <c r="D8" i="43"/>
  <c r="C12" i="42"/>
  <c r="C16" i="42"/>
  <c r="C14" i="42"/>
  <c r="H22" i="43" l="1"/>
  <c r="I37" i="42" s="1"/>
  <c r="J158" i="2" s="1"/>
  <c r="H20" i="43"/>
  <c r="I35" i="42" s="1"/>
  <c r="J150" i="2" s="1"/>
  <c r="J142" i="2"/>
  <c r="H19" i="43"/>
  <c r="I34" i="42" s="1"/>
  <c r="J146" i="2" s="1"/>
  <c r="E21" i="43"/>
  <c r="H36" i="42" s="1"/>
  <c r="E19" i="43"/>
  <c r="H34" i="42" s="1"/>
  <c r="I146" i="2" s="1"/>
  <c r="C10" i="42"/>
  <c r="I138" i="2"/>
  <c r="E22" i="43"/>
  <c r="H37" i="42" s="1"/>
  <c r="H23" i="43"/>
  <c r="I38" i="42" s="1"/>
  <c r="J162" i="2" s="1"/>
  <c r="H17" i="43"/>
  <c r="I32" i="42" s="1"/>
  <c r="J138" i="2" s="1"/>
  <c r="H21" i="43"/>
  <c r="I36" i="42" s="1"/>
  <c r="J154" i="2" s="1"/>
  <c r="E18" i="43"/>
  <c r="H33" i="42" s="1"/>
  <c r="E23" i="43"/>
  <c r="H38" i="42" s="1"/>
  <c r="E20" i="43"/>
  <c r="H35" i="42" s="1"/>
  <c r="D146" i="2" l="1"/>
  <c r="F147" i="2" s="1"/>
  <c r="C36" i="42"/>
  <c r="C34" i="42"/>
  <c r="I154" i="2"/>
  <c r="D154" i="2" s="1"/>
  <c r="J155" i="2" s="1"/>
  <c r="I142" i="2"/>
  <c r="D142" i="2" s="1"/>
  <c r="C33" i="42"/>
  <c r="C37" i="42"/>
  <c r="I158" i="2"/>
  <c r="D158" i="2" s="1"/>
  <c r="C32" i="42"/>
  <c r="D138" i="2"/>
  <c r="J139" i="2" s="1"/>
  <c r="I162" i="2"/>
  <c r="D162" i="2" s="1"/>
  <c r="C38" i="42"/>
  <c r="I150" i="2"/>
  <c r="C35" i="42"/>
  <c r="I147" i="2" l="1"/>
  <c r="G147" i="2"/>
  <c r="E147" i="2"/>
  <c r="H147" i="2"/>
  <c r="J147" i="2"/>
  <c r="K147" i="2"/>
  <c r="I159" i="2"/>
  <c r="K159" i="2"/>
  <c r="F159" i="2"/>
  <c r="G159" i="2"/>
  <c r="H159" i="2"/>
  <c r="E159" i="2"/>
  <c r="J159" i="2"/>
  <c r="D150" i="2"/>
  <c r="I151" i="2" s="1"/>
  <c r="I163" i="2"/>
  <c r="E163" i="2"/>
  <c r="H163" i="2"/>
  <c r="G163" i="2"/>
  <c r="K163" i="2"/>
  <c r="F163" i="2"/>
  <c r="J163" i="2"/>
  <c r="I139" i="2"/>
  <c r="G139" i="2"/>
  <c r="F139" i="2"/>
  <c r="K139" i="2"/>
  <c r="H139" i="2"/>
  <c r="E139" i="2"/>
  <c r="I155" i="2"/>
  <c r="G155" i="2"/>
  <c r="H155" i="2"/>
  <c r="E155" i="2"/>
  <c r="K155" i="2"/>
  <c r="F155" i="2"/>
  <c r="I143" i="2"/>
  <c r="G143" i="2"/>
  <c r="F143" i="2"/>
  <c r="K143" i="2"/>
  <c r="H143" i="2"/>
  <c r="E143" i="2"/>
  <c r="J143" i="2"/>
  <c r="D147" i="2" l="1"/>
  <c r="D139" i="2"/>
  <c r="E151" i="2"/>
  <c r="K151" i="2"/>
  <c r="J151" i="2"/>
  <c r="G151" i="2"/>
  <c r="F151" i="2"/>
  <c r="H151" i="2"/>
  <c r="D159" i="2"/>
  <c r="D163" i="2"/>
  <c r="D143" i="2"/>
  <c r="D155" i="2"/>
  <c r="D151" i="2" l="1"/>
  <c r="J8" i="10" l="1"/>
  <c r="I8" i="10"/>
  <c r="I10" i="2" l="1"/>
  <c r="J10" i="2"/>
  <c r="K8" i="10"/>
  <c r="D8" i="10" l="1"/>
  <c r="J55" i="46"/>
  <c r="I20" i="42"/>
  <c r="J42" i="2"/>
  <c r="K10" i="2"/>
  <c r="I55" i="46"/>
  <c r="I42" i="2"/>
  <c r="H20" i="42"/>
  <c r="J20" i="42" l="1"/>
  <c r="C20" i="42" s="1"/>
  <c r="K55" i="46"/>
  <c r="K41" i="46" s="1"/>
  <c r="K42" i="46" s="1"/>
  <c r="K118" i="2" s="1"/>
  <c r="H25" i="42"/>
  <c r="H27" i="42"/>
  <c r="H26" i="42"/>
  <c r="H21" i="42"/>
  <c r="H22" i="42"/>
  <c r="H24" i="42"/>
  <c r="H23" i="42"/>
  <c r="D10" i="2"/>
  <c r="K11" i="2" s="1"/>
  <c r="D42" i="2"/>
  <c r="I24" i="42"/>
  <c r="J26" i="2" s="1"/>
  <c r="I26" i="42"/>
  <c r="J34" i="2" s="1"/>
  <c r="I23" i="42"/>
  <c r="J22" i="2" s="1"/>
  <c r="I25" i="42"/>
  <c r="J30" i="2" s="1"/>
  <c r="I22" i="42"/>
  <c r="J18" i="2" s="1"/>
  <c r="I27" i="42"/>
  <c r="J38" i="2" s="1"/>
  <c r="I21" i="42"/>
  <c r="J14" i="2" s="1"/>
  <c r="H40" i="46"/>
  <c r="H42" i="46" s="1"/>
  <c r="H118" i="2" s="1"/>
  <c r="I40" i="46"/>
  <c r="I42" i="46" s="1"/>
  <c r="I118" i="2" s="1"/>
  <c r="F40" i="46"/>
  <c r="F42" i="46" s="1"/>
  <c r="F118" i="2" s="1"/>
  <c r="E40" i="46"/>
  <c r="E42" i="46" s="1"/>
  <c r="G40" i="46"/>
  <c r="G42" i="46" s="1"/>
  <c r="G118" i="2" s="1"/>
  <c r="J41" i="46" l="1"/>
  <c r="J42" i="46" s="1"/>
  <c r="J118" i="2" s="1"/>
  <c r="D55" i="46"/>
  <c r="C24" i="42"/>
  <c r="I26" i="2"/>
  <c r="H11" i="2"/>
  <c r="F11" i="2"/>
  <c r="G11" i="2"/>
  <c r="E11" i="2"/>
  <c r="D211" i="2"/>
  <c r="I11" i="2"/>
  <c r="J11" i="2"/>
  <c r="C26" i="42"/>
  <c r="I34" i="2"/>
  <c r="E118" i="2"/>
  <c r="C27" i="42"/>
  <c r="I38" i="2"/>
  <c r="C25" i="42"/>
  <c r="I30" i="2"/>
  <c r="E43" i="2"/>
  <c r="K43" i="2"/>
  <c r="H43" i="2"/>
  <c r="G43" i="2"/>
  <c r="F43" i="2"/>
  <c r="I14" i="2"/>
  <c r="C21" i="42"/>
  <c r="I43" i="2"/>
  <c r="C23" i="42"/>
  <c r="I22" i="2"/>
  <c r="D22" i="2" s="1"/>
  <c r="J23" i="2" s="1"/>
  <c r="J43" i="2"/>
  <c r="I18" i="2"/>
  <c r="C22" i="42"/>
  <c r="D42" i="46" l="1"/>
  <c r="E216" i="2" s="1"/>
  <c r="D215" i="2" s="1"/>
  <c r="D118" i="2"/>
  <c r="J119" i="2" s="1"/>
  <c r="D34" i="2"/>
  <c r="I35" i="2" s="1"/>
  <c r="D18" i="2"/>
  <c r="I19" i="2" s="1"/>
  <c r="D30" i="2"/>
  <c r="I31" i="2" s="1"/>
  <c r="D14" i="2"/>
  <c r="I15" i="2" s="1"/>
  <c r="I23" i="2"/>
  <c r="E23" i="2"/>
  <c r="K23" i="2"/>
  <c r="F23" i="2"/>
  <c r="H23" i="2"/>
  <c r="G23" i="2"/>
  <c r="D212" i="2"/>
  <c r="D38" i="2"/>
  <c r="I39" i="2" s="1"/>
  <c r="D43" i="2"/>
  <c r="D11" i="2"/>
  <c r="D26" i="2"/>
  <c r="I27" i="2" s="1"/>
  <c r="E119" i="2" l="1"/>
  <c r="E78" i="2"/>
  <c r="I62" i="2"/>
  <c r="H58" i="2"/>
  <c r="E46" i="2"/>
  <c r="I66" i="2"/>
  <c r="G58" i="2"/>
  <c r="K78" i="2"/>
  <c r="I70" i="2"/>
  <c r="F58" i="2"/>
  <c r="F46" i="2"/>
  <c r="J78" i="2"/>
  <c r="I74" i="2"/>
  <c r="E58" i="2"/>
  <c r="G46" i="2"/>
  <c r="I78" i="2"/>
  <c r="H46" i="2"/>
  <c r="H78" i="2"/>
  <c r="K58" i="2"/>
  <c r="I50" i="2"/>
  <c r="I46" i="2"/>
  <c r="G78" i="2"/>
  <c r="J58" i="2"/>
  <c r="I54" i="2"/>
  <c r="J46" i="2"/>
  <c r="F78" i="2"/>
  <c r="I58" i="2"/>
  <c r="K46" i="2"/>
  <c r="D216" i="2"/>
  <c r="I119" i="2"/>
  <c r="G119" i="2"/>
  <c r="F119" i="2"/>
  <c r="K119" i="2"/>
  <c r="H119" i="2"/>
  <c r="H27" i="2"/>
  <c r="F27" i="2"/>
  <c r="K27" i="2"/>
  <c r="E27" i="2"/>
  <c r="G27" i="2"/>
  <c r="J27" i="2"/>
  <c r="H31" i="2"/>
  <c r="F31" i="2"/>
  <c r="K31" i="2"/>
  <c r="E31" i="2"/>
  <c r="G31" i="2"/>
  <c r="J31" i="2"/>
  <c r="F35" i="2"/>
  <c r="H35" i="2"/>
  <c r="E35" i="2"/>
  <c r="G35" i="2"/>
  <c r="K35" i="2"/>
  <c r="J35" i="2"/>
  <c r="D23" i="2"/>
  <c r="H15" i="2"/>
  <c r="G15" i="2"/>
  <c r="K15" i="2"/>
  <c r="F15" i="2"/>
  <c r="E15" i="2"/>
  <c r="J15" i="2"/>
  <c r="H19" i="2"/>
  <c r="G19" i="2"/>
  <c r="K19" i="2"/>
  <c r="E19" i="2"/>
  <c r="F19" i="2"/>
  <c r="J19" i="2"/>
  <c r="F39" i="2"/>
  <c r="K39" i="2"/>
  <c r="E39" i="2"/>
  <c r="H39" i="2"/>
  <c r="G39" i="2"/>
  <c r="J39" i="2"/>
  <c r="H54" i="2" l="1"/>
  <c r="E66" i="2"/>
  <c r="F62" i="2"/>
  <c r="J50" i="2"/>
  <c r="K66" i="2"/>
  <c r="H74" i="2"/>
  <c r="G54" i="2"/>
  <c r="G66" i="2"/>
  <c r="K62" i="2"/>
  <c r="E74" i="2"/>
  <c r="J70" i="2"/>
  <c r="K74" i="2"/>
  <c r="K70" i="2"/>
  <c r="H62" i="2"/>
  <c r="F74" i="2"/>
  <c r="F66" i="2"/>
  <c r="J54" i="2"/>
  <c r="H70" i="2"/>
  <c r="F54" i="2"/>
  <c r="K50" i="2"/>
  <c r="J62" i="2"/>
  <c r="J74" i="2"/>
  <c r="E54" i="2"/>
  <c r="G50" i="2"/>
  <c r="F70" i="2"/>
  <c r="G62" i="2"/>
  <c r="E50" i="2"/>
  <c r="G70" i="2"/>
  <c r="F50" i="2"/>
  <c r="E70" i="2"/>
  <c r="H66" i="2"/>
  <c r="G74" i="2"/>
  <c r="D74" i="2" s="1"/>
  <c r="K75" i="2" s="1"/>
  <c r="K54" i="2"/>
  <c r="H50" i="2"/>
  <c r="J66" i="2"/>
  <c r="E62" i="2"/>
  <c r="D119" i="2"/>
  <c r="D46" i="2"/>
  <c r="E47" i="2" s="1"/>
  <c r="D58" i="2"/>
  <c r="F59" i="2" s="1"/>
  <c r="D78" i="2"/>
  <c r="J79" i="2" s="1"/>
  <c r="D39" i="2"/>
  <c r="D15" i="2"/>
  <c r="D35" i="2"/>
  <c r="D19" i="2"/>
  <c r="D27" i="2"/>
  <c r="D31" i="2"/>
  <c r="D50" i="2" l="1"/>
  <c r="E51" i="2" s="1"/>
  <c r="D54" i="2"/>
  <c r="F55" i="2" s="1"/>
  <c r="D66" i="2"/>
  <c r="F67" i="2" s="1"/>
  <c r="D70" i="2"/>
  <c r="G71" i="2" s="1"/>
  <c r="D62" i="2"/>
  <c r="K63" i="2" s="1"/>
  <c r="I47" i="2"/>
  <c r="G47" i="2"/>
  <c r="F47" i="2"/>
  <c r="G75" i="2"/>
  <c r="E75" i="2"/>
  <c r="I55" i="2"/>
  <c r="J75" i="2"/>
  <c r="I75" i="2"/>
  <c r="H79" i="2"/>
  <c r="H75" i="2"/>
  <c r="G79" i="2"/>
  <c r="F75" i="2"/>
  <c r="J59" i="2"/>
  <c r="I59" i="2"/>
  <c r="E59" i="2"/>
  <c r="K47" i="2"/>
  <c r="G51" i="2"/>
  <c r="I67" i="2"/>
  <c r="J47" i="2"/>
  <c r="H47" i="2"/>
  <c r="H59" i="2"/>
  <c r="I79" i="2"/>
  <c r="G67" i="2"/>
  <c r="G59" i="2"/>
  <c r="E79" i="2"/>
  <c r="K79" i="2"/>
  <c r="K59" i="2"/>
  <c r="F79" i="2"/>
  <c r="K67" i="2" l="1"/>
  <c r="E55" i="2"/>
  <c r="G55" i="2"/>
  <c r="H71" i="2"/>
  <c r="H51" i="2"/>
  <c r="J51" i="2"/>
  <c r="F51" i="2"/>
  <c r="K51" i="2"/>
  <c r="I51" i="2"/>
  <c r="E67" i="2"/>
  <c r="H67" i="2"/>
  <c r="J67" i="2"/>
  <c r="H55" i="2"/>
  <c r="F71" i="2"/>
  <c r="J63" i="2"/>
  <c r="J71" i="2"/>
  <c r="K71" i="2"/>
  <c r="K55" i="2"/>
  <c r="I63" i="2"/>
  <c r="E71" i="2"/>
  <c r="I71" i="2"/>
  <c r="J55" i="2"/>
  <c r="E63" i="2"/>
  <c r="H63" i="2"/>
  <c r="F63" i="2"/>
  <c r="G63" i="2"/>
  <c r="D75" i="2"/>
  <c r="D79" i="2"/>
  <c r="D59" i="2"/>
  <c r="D47" i="2"/>
  <c r="D67" i="2" l="1"/>
  <c r="D51" i="2"/>
  <c r="D71" i="2"/>
  <c r="D55" i="2"/>
  <c r="D63" i="2"/>
  <c r="J12" i="13" l="1"/>
  <c r="J204" i="2" s="1"/>
  <c r="I12" i="13" l="1"/>
  <c r="I204" i="2" l="1"/>
  <c r="D12" i="13"/>
  <c r="D204" i="2" l="1"/>
  <c r="I205" i="2"/>
  <c r="H205" i="2" l="1"/>
  <c r="G205" i="2"/>
  <c r="E205" i="2"/>
  <c r="F205" i="2"/>
  <c r="K205" i="2"/>
  <c r="J205" i="2"/>
  <c r="D205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<sst xmlns="http://schemas.openxmlformats.org/spreadsheetml/2006/main" count="1127" uniqueCount="642">
  <si>
    <t>Line</t>
  </si>
  <si>
    <t>Worksheet</t>
  </si>
  <si>
    <t>Description</t>
  </si>
  <si>
    <t>EXTERNAL</t>
  </si>
  <si>
    <t>Customer Count</t>
  </si>
  <si>
    <t>Volumes</t>
  </si>
  <si>
    <t>Revenue</t>
  </si>
  <si>
    <t>Design Day</t>
  </si>
  <si>
    <t>Meter Costs</t>
  </si>
  <si>
    <t>Service Costs</t>
  </si>
  <si>
    <t>Meter Reading</t>
  </si>
  <si>
    <t>Allocation Factor</t>
  </si>
  <si>
    <t>Total</t>
  </si>
  <si>
    <t>DEMAND ALLOCATION FACTORS</t>
  </si>
  <si>
    <t>Design Peak Day</t>
  </si>
  <si>
    <t>DESIGN_DAY</t>
  </si>
  <si>
    <t>Peak and Average</t>
  </si>
  <si>
    <t>Peak &amp; Average (Load Factor Weighted)</t>
  </si>
  <si>
    <t>CUSTOMER ALLOCATORS</t>
  </si>
  <si>
    <t>CUSTOMERS</t>
  </si>
  <si>
    <t>Customer Meters</t>
  </si>
  <si>
    <t>Total Meters</t>
  </si>
  <si>
    <t>METERS</t>
  </si>
  <si>
    <t>Service Lines</t>
  </si>
  <si>
    <t>SERVICES</t>
  </si>
  <si>
    <t>Account 385</t>
  </si>
  <si>
    <t>Industrial M&amp;R Costs</t>
  </si>
  <si>
    <t>ACCT_385</t>
  </si>
  <si>
    <t>Uncollectible</t>
  </si>
  <si>
    <t>METER_READ</t>
  </si>
  <si>
    <t>COMMODITY and REVENUE ALLOCATORS</t>
  </si>
  <si>
    <t>Total Volume</t>
  </si>
  <si>
    <t>BASE_REVENUE</t>
  </si>
  <si>
    <t>GAS_REVENUE</t>
  </si>
  <si>
    <t>Total Revenue</t>
  </si>
  <si>
    <t>TOTAL_REVENUE</t>
  </si>
  <si>
    <t>Demand Component</t>
  </si>
  <si>
    <t>Block 1</t>
  </si>
  <si>
    <t>Block 2</t>
  </si>
  <si>
    <t>Block 3</t>
  </si>
  <si>
    <t>Block 4</t>
  </si>
  <si>
    <t>Revenues</t>
  </si>
  <si>
    <t>Demand Allocation Factors</t>
  </si>
  <si>
    <t>Winter Season Volumes (Dec - Mar)</t>
  </si>
  <si>
    <t>Allocation of Meters (Acct. 381)</t>
  </si>
  <si>
    <t>Meter Replacement Cost</t>
  </si>
  <si>
    <t>Allocation of Services (Acct. 380)</t>
  </si>
  <si>
    <t>Weighting Factor</t>
  </si>
  <si>
    <t>Customers</t>
  </si>
  <si>
    <t>Write-offs</t>
  </si>
  <si>
    <t>Meter Reading Allocation Study</t>
  </si>
  <si>
    <t xml:space="preserve">Write-Offs </t>
  </si>
  <si>
    <t>Table of Contents</t>
  </si>
  <si>
    <t>GSI
505</t>
  </si>
  <si>
    <t>GSLV
511</t>
  </si>
  <si>
    <t>Transport
663</t>
  </si>
  <si>
    <t>Spl Contracts</t>
  </si>
  <si>
    <t>DesignDay_ST&gt;6"</t>
  </si>
  <si>
    <t>DesignDay_ST&gt;4-6"</t>
  </si>
  <si>
    <t>DesignDay_ST2-4"</t>
  </si>
  <si>
    <t>DesignDay_ST&lt;=2"</t>
  </si>
  <si>
    <t>DesignDay_PL6"</t>
  </si>
  <si>
    <t>DesignDay_PL4"</t>
  </si>
  <si>
    <t>DesignDay_PL&lt;=2"</t>
  </si>
  <si>
    <t>Design Peak Day for Customers Served from Steel Main Greater than 6-inch</t>
  </si>
  <si>
    <t>Design Peak Day Steel &gt; 6-inch</t>
  </si>
  <si>
    <t>Design Peak Day for Customers Served from Steel Main Between 4-inch and 6-inch</t>
  </si>
  <si>
    <t>Design Peak Day Steel 4 to 6-inch</t>
  </si>
  <si>
    <t>Design Peak Day for Customers Served from Steel Main Between 2-inch and 4-inch</t>
  </si>
  <si>
    <t>Design Peak Day Steel 2 to 4-inch</t>
  </si>
  <si>
    <t>Design Peak Day Steel 2-inch and less</t>
  </si>
  <si>
    <t>Design Peak Day for Customers Served from 2-inch Steel Main and Less</t>
  </si>
  <si>
    <t>Design Peak Day for Customers Served from 6-inch Plastic Main</t>
  </si>
  <si>
    <t>Design Peak Day 6-inch Plastic</t>
  </si>
  <si>
    <t>Design Peak Day for Customers Served from 4-inch Plastic Main</t>
  </si>
  <si>
    <t>Design Peak Day 4-inch Plastic</t>
  </si>
  <si>
    <t>Design Peak Day for Customers Served from 2-inch and Less Plastic Main</t>
  </si>
  <si>
    <t>Design Peak Day Plastic 2-inch and less</t>
  </si>
  <si>
    <t>Throughput for Customers Served from Steel Main Greater than 6-inch</t>
  </si>
  <si>
    <t>Throughput for Customers Served from Steel Main Between 4-inch and 6-inch</t>
  </si>
  <si>
    <t>Throughput for Customers Served from Steel Main Between 2-inch and 4-inch</t>
  </si>
  <si>
    <t>Throughput for Customers Served from 2-inch Steel Main and Less</t>
  </si>
  <si>
    <t>Throughput for Customers Served from 6-inch Plastic Main</t>
  </si>
  <si>
    <t>Throughput for Customers Served from 4-inch Plastic Main</t>
  </si>
  <si>
    <t>Throughput for Customers Served from 2-inch and Less Plastic Main</t>
  </si>
  <si>
    <t>Thruput_ST&gt;4-6"</t>
  </si>
  <si>
    <t>Thruput_ST2-4"</t>
  </si>
  <si>
    <t>Thruput_ST&lt;=2"</t>
  </si>
  <si>
    <t>Thruput_PL&lt;=2"</t>
  </si>
  <si>
    <t>Thruput_PL6"</t>
  </si>
  <si>
    <t>Thruput_PL4"</t>
  </si>
  <si>
    <t>Large Customers</t>
  </si>
  <si>
    <t>Large_CUST</t>
  </si>
  <si>
    <t>Customer Count for Large Customers</t>
  </si>
  <si>
    <t>REGULATORS</t>
  </si>
  <si>
    <t>House Regulators</t>
  </si>
  <si>
    <t>2023 Pro Forma Annual Bills</t>
  </si>
  <si>
    <t>Pro Forma Customers (Annual Bills/12)</t>
  </si>
  <si>
    <t>2023 Actual Bills</t>
  </si>
  <si>
    <t>2023 Actual Customers (Annual Bills/12)</t>
  </si>
  <si>
    <t>2023 Pro Forma Customer Count</t>
  </si>
  <si>
    <t>2023 Actual Customer Count</t>
  </si>
  <si>
    <t>Customer Counts</t>
  </si>
  <si>
    <t>Test Year Volumes</t>
  </si>
  <si>
    <t>2023 Pro Forma Therms</t>
  </si>
  <si>
    <t>Pro Forma Basic Service Revenue</t>
  </si>
  <si>
    <t>Non-Margin Revenues</t>
  </si>
  <si>
    <t>Delivery Charge Revenue</t>
  </si>
  <si>
    <t>Contract Demand Charge Revenue</t>
  </si>
  <si>
    <t>System Balancing Charge Revenue</t>
  </si>
  <si>
    <t>Other Margin Revenue</t>
  </si>
  <si>
    <t>Gas Costs</t>
  </si>
  <si>
    <t>Base Rate Margin</t>
  </si>
  <si>
    <t>Res
503</t>
  </si>
  <si>
    <t>GSC
504</t>
  </si>
  <si>
    <t>Interruptible
570</t>
  </si>
  <si>
    <t>Position</t>
  </si>
  <si>
    <t># of Positions</t>
  </si>
  <si>
    <t>Average Labor Rate</t>
  </si>
  <si>
    <t>Average Loading/ Benefit Rate</t>
  </si>
  <si>
    <t>Average Total Rate</t>
  </si>
  <si>
    <t>Amount</t>
  </si>
  <si>
    <t>Percent Meter Reading</t>
  </si>
  <si>
    <t>Meter Reading Amount</t>
  </si>
  <si>
    <t>AMR Technician</t>
  </si>
  <si>
    <t>Meter &amp; Electronic Inspector</t>
  </si>
  <si>
    <t>Service Mechanic (A, B, C)</t>
  </si>
  <si>
    <t>Meter Reading Expense</t>
  </si>
  <si>
    <t>2023 Pro Forma Sales Revenue</t>
  </si>
  <si>
    <t>2023 Pro Forma Transportation Revenue</t>
  </si>
  <si>
    <t>Peak_Avg</t>
  </si>
  <si>
    <t>CLASSIFICATION ALLOCATOR VALUES</t>
  </si>
  <si>
    <t>Commodity Component</t>
  </si>
  <si>
    <t>2023 Adjusted Billing Determinants</t>
  </si>
  <si>
    <t>Modified Peak and Average</t>
  </si>
  <si>
    <t>ACCT_813</t>
  </si>
  <si>
    <t>Account 813</t>
  </si>
  <si>
    <t>Winter Season Allocation Factors</t>
  </si>
  <si>
    <t>2023 Billed Volumes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</si>
  <si>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</si>
  <si>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</si>
  <si>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</si>
  <si>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</si>
  <si>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</si>
  <si>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</si>
  <si>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</si>
  <si>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</si>
  <si>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September 23</t>
  </si>
  <si>
    <t>October 23</t>
  </si>
  <si>
    <t>November 23</t>
  </si>
  <si>
    <t>December 23</t>
  </si>
  <si>
    <t>Special Contracts</t>
  </si>
  <si>
    <t>WINTER_5</t>
  </si>
  <si>
    <t>WINTER_SALES</t>
  </si>
  <si>
    <t>Winter Season Throughput</t>
  </si>
  <si>
    <t>Winter Season Throughput (Nov-Mar)</t>
  </si>
  <si>
    <t>Winter Excess (Above Non-Winter Average)</t>
  </si>
  <si>
    <t>Winter Season Excess</t>
  </si>
  <si>
    <t>Seasonal (Excess over Avg)</t>
  </si>
  <si>
    <t>Supporting Data:</t>
  </si>
  <si>
    <t>Meter Classes</t>
  </si>
  <si>
    <t>Number of Meters by Class</t>
  </si>
  <si>
    <t>CNG Class 1 Residential 0-400</t>
  </si>
  <si>
    <t>CNG Class 2 Commercial 401-700</t>
  </si>
  <si>
    <t>CNG Class 3 Commercial 701-2500</t>
  </si>
  <si>
    <t>CNG Class 4 Industrial 2501-4500</t>
  </si>
  <si>
    <t>CNG Class 5 Industrial 4501-12000</t>
  </si>
  <si>
    <t>CNG Class 6 Industrial 12001-90000</t>
  </si>
  <si>
    <t>CNG Class 7 Industrial over 90000</t>
  </si>
  <si>
    <t>Costs by Component</t>
  </si>
  <si>
    <t>Meter</t>
  </si>
  <si>
    <t>ERT</t>
  </si>
  <si>
    <t xml:space="preserve">Material </t>
  </si>
  <si>
    <t>Equipment</t>
  </si>
  <si>
    <t>Labor</t>
  </si>
  <si>
    <t>Other</t>
  </si>
  <si>
    <t>Overhead</t>
  </si>
  <si>
    <t>Regulator</t>
  </si>
  <si>
    <t>Regulators</t>
  </si>
  <si>
    <t>Regulator Cost</t>
  </si>
  <si>
    <t>REGULATOR</t>
  </si>
  <si>
    <t>Meters Allocator</t>
  </si>
  <si>
    <t>House Regulator Allocator</t>
  </si>
  <si>
    <t>House Regulators - Acct 383</t>
  </si>
  <si>
    <t>Meters Replacement Cost</t>
  </si>
  <si>
    <t>Mains Workpaper</t>
  </si>
  <si>
    <t>Mains Balance at December 31, 2023</t>
  </si>
  <si>
    <t>Size</t>
  </si>
  <si>
    <t>Type</t>
  </si>
  <si>
    <t>Original Cost</t>
  </si>
  <si>
    <t>Mains - High Pressure</t>
  </si>
  <si>
    <t>Mains Steel IP &gt;6"</t>
  </si>
  <si>
    <t>Mains Steel IP &gt;4-6"</t>
  </si>
  <si>
    <t>Mains Steel IP &gt;2-4"</t>
  </si>
  <si>
    <t>Mains Steel IP &lt;=2"</t>
  </si>
  <si>
    <t>Mains Plastic IP 4"</t>
  </si>
  <si>
    <t>Mains Plastic IP 2"</t>
  </si>
  <si>
    <t>Mains Designation</t>
  </si>
  <si>
    <t>Balance</t>
  </si>
  <si>
    <t>DATA TABLE:</t>
  </si>
  <si>
    <t>376-G-Mains-High Pressure Steel</t>
  </si>
  <si>
    <t>10" HP Steel Main-CNGC</t>
  </si>
  <si>
    <t>12" HP Steel Main-CNGC</t>
  </si>
  <si>
    <t>16" HP Steel Main-CNGC</t>
  </si>
  <si>
    <t>2" and Below HP Steel Main-CNGC</t>
  </si>
  <si>
    <t>20" HP Steel Main-CNGC</t>
  </si>
  <si>
    <t>4" HP Steel Main-CNGC</t>
  </si>
  <si>
    <t>6" HP Steel Main-CNGC</t>
  </si>
  <si>
    <t>8" HP Steel Main-CNGC</t>
  </si>
  <si>
    <t>8" Steel Main</t>
  </si>
  <si>
    <t>Anode Banks (Galvanic Anodes)</t>
  </si>
  <si>
    <t>ERX Data Recorder</t>
  </si>
  <si>
    <t>Non-unitized</t>
  </si>
  <si>
    <t>376-G-Mains-Plastic</t>
  </si>
  <si>
    <t>2" and Below Plastic Main</t>
  </si>
  <si>
    <t>4" Plastic Main</t>
  </si>
  <si>
    <t>6" Plastic Main</t>
  </si>
  <si>
    <t>8" Plastic Main</t>
  </si>
  <si>
    <t>376-G-Mains-Steel</t>
  </si>
  <si>
    <t>10" Steel Main</t>
  </si>
  <si>
    <t>12" Steel Main</t>
  </si>
  <si>
    <t>16" Steel Main</t>
  </si>
  <si>
    <t>2" and Below Steel Main</t>
  </si>
  <si>
    <t>4" Steel Main</t>
  </si>
  <si>
    <t>6" Steel Main</t>
  </si>
  <si>
    <t>AC Mitigation Device</t>
  </si>
  <si>
    <t>CNG-Mains - Valves 6" and Larger</t>
  </si>
  <si>
    <t>CP Power Supply</t>
  </si>
  <si>
    <t>Fence</t>
  </si>
  <si>
    <t>Groundbed</t>
  </si>
  <si>
    <t>Rectifier</t>
  </si>
  <si>
    <t>Remote Monitoring Unit</t>
  </si>
  <si>
    <t>Utility Account</t>
  </si>
  <si>
    <t>Retirement Unit</t>
  </si>
  <si>
    <t>SOURCE: "Mains_Services_AcctData.xlsx"</t>
  </si>
  <si>
    <t>TOTAL</t>
  </si>
  <si>
    <t>HP</t>
  </si>
  <si>
    <t>Plastic</t>
  </si>
  <si>
    <t>Steel</t>
  </si>
  <si>
    <t>Mains Plastic IP &gt;=6"</t>
  </si>
  <si>
    <t xml:space="preserve"> Direct</t>
  </si>
  <si>
    <t>Allocate Other/ Non-unitized</t>
  </si>
  <si>
    <t>380-G-Services-Plastic-CNGC</t>
  </si>
  <si>
    <t>1 1/4 In. and Below-Plastic Service</t>
  </si>
  <si>
    <t>2 In. Plastic Service</t>
  </si>
  <si>
    <t>4 In. Plastic Service</t>
  </si>
  <si>
    <t>6 In. and Up-Plastic Service</t>
  </si>
  <si>
    <t>380-G-Services-Steel-CNGC</t>
  </si>
  <si>
    <t>1 1/4 In. and Below-Steel Service</t>
  </si>
  <si>
    <t>2 In. Steel Service</t>
  </si>
  <si>
    <t>3 In. Steel Service</t>
  </si>
  <si>
    <t>4 In. Steel Service</t>
  </si>
  <si>
    <t>6 In. and Up-Steel Service</t>
  </si>
  <si>
    <t>Unit Cost</t>
  </si>
  <si>
    <t>Quantity (count)</t>
  </si>
  <si>
    <t>Services Count</t>
  </si>
  <si>
    <t>Average Cost per Service</t>
  </si>
  <si>
    <t>Average Unit Cost</t>
  </si>
  <si>
    <t>2,3,4</t>
  </si>
  <si>
    <t>Services Costs Allocation Basis</t>
  </si>
  <si>
    <t>Services Cost</t>
  </si>
  <si>
    <t>Intangible Plant</t>
  </si>
  <si>
    <t>Account 303 Detail at December 31, 2023</t>
  </si>
  <si>
    <t>Washington Total</t>
  </si>
  <si>
    <t>IVR Web - Self Serve</t>
  </si>
  <si>
    <t>GIS - Enhancements</t>
  </si>
  <si>
    <t>ThoughtSpot</t>
  </si>
  <si>
    <t>SCADA - ENHANCEMENT</t>
  </si>
  <si>
    <t>Other - Upgr AMR Collection Sw</t>
  </si>
  <si>
    <t>Thoughtspot</t>
  </si>
  <si>
    <t>GIS - Compliance Contract Cost</t>
  </si>
  <si>
    <t>GIS - ESRI UPGRADE</t>
  </si>
  <si>
    <t>GIS - Enhancements 2015</t>
  </si>
  <si>
    <t>IVR Web</t>
  </si>
  <si>
    <t>CIAC - Signal Agrmnt Moses Lake</t>
  </si>
  <si>
    <t>CIAC - Baker City Heater</t>
  </si>
  <si>
    <t>Other - Pervasive Sftw Spprt</t>
  </si>
  <si>
    <t>Other - Pipeline Toolbox Sftw</t>
  </si>
  <si>
    <t>Other - Software Ntwrk Integrat</t>
  </si>
  <si>
    <t>JDE - Implementation</t>
  </si>
  <si>
    <t>UI - Planner Implementation</t>
  </si>
  <si>
    <t>Other - LocusView for QC</t>
  </si>
  <si>
    <t>Other - JANA Spotlight</t>
  </si>
  <si>
    <t>Other - Risk Management</t>
  </si>
  <si>
    <t>Other - NICE</t>
  </si>
  <si>
    <t>Other - Docminder Safety/Comply</t>
  </si>
  <si>
    <t>PCAD - v6.5 upgrade</t>
  </si>
  <si>
    <t>Other - Gas Control System</t>
  </si>
  <si>
    <t>PowerPlan - License Uplift Fee</t>
  </si>
  <si>
    <t>SCADA - UG DR Sys</t>
  </si>
  <si>
    <t>GMS</t>
  </si>
  <si>
    <t>Landworks - Software</t>
  </si>
  <si>
    <t>GIS - Software</t>
  </si>
  <si>
    <t>CIAC - S Longview Gate Signal</t>
  </si>
  <si>
    <t>CIAC - OTHELLO GATE</t>
  </si>
  <si>
    <t>CIAC - Sunriver Gate Upgrade</t>
  </si>
  <si>
    <t>CIAC - Bellingham G Upg NWP</t>
  </si>
  <si>
    <t>CIAC - Signal Agree Kennewk</t>
  </si>
  <si>
    <t>CIAC - Signl Agr Terrac Hts Gate</t>
  </si>
  <si>
    <t>CC&amp;B - Software - 2010 Child</t>
  </si>
  <si>
    <t>Maximo - Gas Patrol Valves Trck</t>
  </si>
  <si>
    <t>Other - Autocad Civel 3d Sftw</t>
  </si>
  <si>
    <t>Other - Software Ntwrk int</t>
  </si>
  <si>
    <t>UI - Budgeting Impl</t>
  </si>
  <si>
    <t>PP - PowerPlan CPI</t>
  </si>
  <si>
    <t>Other - LV CUST WEB SITE</t>
  </si>
  <si>
    <t>Other - Records Managmnt Soft</t>
  </si>
  <si>
    <t>Other - Itron Fixed Network</t>
  </si>
  <si>
    <t>CC&amp;B - 2.6 UPGRADE</t>
  </si>
  <si>
    <t>CC&amp;B - Upgrade</t>
  </si>
  <si>
    <t>GIS - ENHANCEMENT</t>
  </si>
  <si>
    <t>IVR Web - UG</t>
  </si>
  <si>
    <t>GIS - Landbase</t>
  </si>
  <si>
    <t>GL ESS - GL Essentials 2017</t>
  </si>
  <si>
    <t>PowerPlan CPI</t>
  </si>
  <si>
    <t>Other - Powerspring (MDM) Impl.</t>
  </si>
  <si>
    <t>CIAC - OTHELLO LATERAL</t>
  </si>
  <si>
    <t>Other - Purchase 2 Ring Software</t>
  </si>
  <si>
    <t>GIS - Software - 2011 Child</t>
  </si>
  <si>
    <t>Maximo - UG Tracks 4 &amp; 5 CNG</t>
  </si>
  <si>
    <t>UI - Planner Implementation-Add</t>
  </si>
  <si>
    <t>PP - PowerPlan</t>
  </si>
  <si>
    <t>GIS - Enhancements 2016</t>
  </si>
  <si>
    <t>PP - UG Upgrade</t>
  </si>
  <si>
    <t>Other - RabMQ Software</t>
  </si>
  <si>
    <t>Other - Weblogic for JDE</t>
  </si>
  <si>
    <t>GIS - Compliance Internal</t>
  </si>
  <si>
    <t>CC&amp;B - Licensing Task Optimizer</t>
  </si>
  <si>
    <t>Other - UG Personal Info Security</t>
  </si>
  <si>
    <t>Taleo Phase 2 2015-Direct Cost</t>
  </si>
  <si>
    <t>PCAD - Mwm Software</t>
  </si>
  <si>
    <t>CIAC - Signal Agrmnt Shelton Gat</t>
  </si>
  <si>
    <t>CIAC - Sthrdg Gt Low Flow Meter</t>
  </si>
  <si>
    <t>CIAC - Mt Vernon Gate Upgr NWP</t>
  </si>
  <si>
    <t>CIAC - Yakima Gate NWP</t>
  </si>
  <si>
    <t>CIAC - Wallula Gate Station</t>
  </si>
  <si>
    <t>Other - Websphere MQ License</t>
  </si>
  <si>
    <t>Websphere MQ License</t>
  </si>
  <si>
    <t>PCAD - MWM Software 2011</t>
  </si>
  <si>
    <t>Maximo</t>
  </si>
  <si>
    <t>PP - Lease Module</t>
  </si>
  <si>
    <t>SCADA - Verve Soft SCADA</t>
  </si>
  <si>
    <t>CC&amp;B</t>
  </si>
  <si>
    <t>GIS - Enhancements 2017</t>
  </si>
  <si>
    <t>Other - Honeywell WEB Software</t>
  </si>
  <si>
    <t>Taleo Capital Management</t>
  </si>
  <si>
    <t>Other - Impl Autosol EFM</t>
  </si>
  <si>
    <t>CC&amp;B - Software - Parent</t>
  </si>
  <si>
    <t>CIAC - Stanfield Gate Upgrade</t>
  </si>
  <si>
    <t>PCAD - MWM Software 2012</t>
  </si>
  <si>
    <t>PCAD - UG Pragmafield</t>
  </si>
  <si>
    <t>Other - Software Costs Ntwrk</t>
  </si>
  <si>
    <t>PCAD - Upgrade to v7</t>
  </si>
  <si>
    <t>IVR WEB</t>
  </si>
  <si>
    <t>Other - Dev ARVR Trainng</t>
  </si>
  <si>
    <t>GIS - UG Enhancement</t>
  </si>
  <si>
    <t>GL ESS - PIM (GL ESS)</t>
  </si>
  <si>
    <t>Other - UG Meter Management</t>
  </si>
  <si>
    <t>GIS - ArcGIS 2012</t>
  </si>
  <si>
    <t>Other - Modeling SW - Synergee</t>
  </si>
  <si>
    <t>Other - Aligne Software</t>
  </si>
  <si>
    <t>PowerPlan Upgrade</t>
  </si>
  <si>
    <t>SCADA - Enhance 2015 Direct</t>
  </si>
  <si>
    <t>IVR Web - 2017</t>
  </si>
  <si>
    <t>PP Lease Module</t>
  </si>
  <si>
    <t>CIAC - Sunnyside Gate Upgr NWP</t>
  </si>
  <si>
    <t>Other - UG Auto Test CNG</t>
  </si>
  <si>
    <t>GMS - Software License Sungar</t>
  </si>
  <si>
    <t>UI - Budget &amp; Planning Sftw</t>
  </si>
  <si>
    <t>Other - Autocad 2009</t>
  </si>
  <si>
    <t>PP - PowerPlan Upgrade</t>
  </si>
  <si>
    <t>SCADA - Enhancements 2016</t>
  </si>
  <si>
    <t>Other - Autosol License</t>
  </si>
  <si>
    <t>Other - SW Ucas Phase 1</t>
  </si>
  <si>
    <t>PowerPlan</t>
  </si>
  <si>
    <t>Thoughtspot - Analytics</t>
  </si>
  <si>
    <t>GIS - Arcgis Mobile</t>
  </si>
  <si>
    <t>CIAC - SOUTH WALLA GATE</t>
  </si>
  <si>
    <t>CIAC - Sthrdg Gate Station-NWP</t>
  </si>
  <si>
    <t>Other - Irth Solutions</t>
  </si>
  <si>
    <t>CC&amp;B - Software - 2012 Child</t>
  </si>
  <si>
    <t>CC&amp;B - Software 2011 Child</t>
  </si>
  <si>
    <t>Maximo - UG</t>
  </si>
  <si>
    <t>Maximo - Equipment Calibration</t>
  </si>
  <si>
    <t>Other - Autocad Crssgrd Sftw</t>
  </si>
  <si>
    <t>GPS Leak - Survey System</t>
  </si>
  <si>
    <t>SCADA - Enhan 2017</t>
  </si>
  <si>
    <t>GL ESS - GI Essentials Software</t>
  </si>
  <si>
    <t>GIS - System 10.2 Upgrade</t>
  </si>
  <si>
    <t>PP - UG Patch Upgrade</t>
  </si>
  <si>
    <t>Other - JIRA Software</t>
  </si>
  <si>
    <t>IVR Web - 2021</t>
  </si>
  <si>
    <t>JDE - 9.2 upgrade</t>
  </si>
  <si>
    <t>CIAC - S Longview Gate Impr</t>
  </si>
  <si>
    <t>CIAC - Shelton Crossover 123-2</t>
  </si>
  <si>
    <t>CIAC - ARLINGTON GATE</t>
  </si>
  <si>
    <t>GIS - Software - 2012 Child</t>
  </si>
  <si>
    <t>SOURCE: "DR#18_FERC 303 Detail.xlsx"</t>
  </si>
  <si>
    <t>Asset ID</t>
  </si>
  <si>
    <t>Plant Related</t>
  </si>
  <si>
    <t>303 Categroy</t>
  </si>
  <si>
    <t>Customer Related</t>
  </si>
  <si>
    <t>Throughput Related</t>
  </si>
  <si>
    <t>Plant</t>
  </si>
  <si>
    <t>Categorized</t>
  </si>
  <si>
    <t>Customer</t>
  </si>
  <si>
    <t>Throughput</t>
  </si>
  <si>
    <t>Allocate Other</t>
  </si>
  <si>
    <t>Total Balance</t>
  </si>
  <si>
    <t>Other Related</t>
  </si>
  <si>
    <t>Large Customer Mains</t>
  </si>
  <si>
    <t>Peak</t>
  </si>
  <si>
    <t>Throguhput</t>
  </si>
  <si>
    <t>Number of Customers</t>
  </si>
  <si>
    <t>Design Day Peak</t>
  </si>
  <si>
    <t>Annual Thoughput</t>
  </si>
  <si>
    <t>Percent Total Throughput</t>
  </si>
  <si>
    <t>Thruput_ST&gt;6"</t>
  </si>
  <si>
    <t>Other Gas Supply</t>
  </si>
  <si>
    <t>Thruput</t>
  </si>
  <si>
    <t>3801 - Steel Service</t>
  </si>
  <si>
    <t>3762 - HP Distribution</t>
  </si>
  <si>
    <t>3761 - IP Stl Distribution</t>
  </si>
  <si>
    <t>3671 - Transmission</t>
  </si>
  <si>
    <t>Total less R.O.W.</t>
  </si>
  <si>
    <t>12</t>
  </si>
  <si>
    <t>No Service identified in FA ledgers</t>
  </si>
  <si>
    <t>19482</t>
  </si>
  <si>
    <t>918</t>
  </si>
  <si>
    <t>4</t>
  </si>
  <si>
    <t>452</t>
  </si>
  <si>
    <t>2 &amp; 4</t>
  </si>
  <si>
    <t>20757</t>
  </si>
  <si>
    <t>94</t>
  </si>
  <si>
    <t>20799</t>
  </si>
  <si>
    <t>502</t>
  </si>
  <si>
    <t>20</t>
  </si>
  <si>
    <t>26956</t>
  </si>
  <si>
    <t>12"</t>
  </si>
  <si>
    <t>40000</t>
  </si>
  <si>
    <t>0150020 (Reg)</t>
  </si>
  <si>
    <t>6</t>
  </si>
  <si>
    <t>41500</t>
  </si>
  <si>
    <t>N/A</t>
  </si>
  <si>
    <t>R.O.W.</t>
  </si>
  <si>
    <t>41505</t>
  </si>
  <si>
    <t>21073</t>
  </si>
  <si>
    <t>41501</t>
  </si>
  <si>
    <t>17173</t>
  </si>
  <si>
    <t>10</t>
  </si>
  <si>
    <t>41506</t>
  </si>
  <si>
    <t>8</t>
  </si>
  <si>
    <t>No services identified in FA ledgers</t>
  </si>
  <si>
    <t>41508</t>
  </si>
  <si>
    <t>2674</t>
  </si>
  <si>
    <t>16</t>
  </si>
  <si>
    <t>255</t>
  </si>
  <si>
    <t>1</t>
  </si>
  <si>
    <t>49629</t>
  </si>
  <si>
    <t>249</t>
  </si>
  <si>
    <t>49627</t>
  </si>
  <si>
    <t>3537</t>
  </si>
  <si>
    <t>49628</t>
  </si>
  <si>
    <t>455</t>
  </si>
  <si>
    <t>11098</t>
  </si>
  <si>
    <t>222</t>
  </si>
  <si>
    <t>11097</t>
  </si>
  <si>
    <t>2052</t>
  </si>
  <si>
    <t>2847</t>
  </si>
  <si>
    <t>27995</t>
  </si>
  <si>
    <t>225</t>
  </si>
  <si>
    <t>27994</t>
  </si>
  <si>
    <t>18</t>
  </si>
  <si>
    <t>15800</t>
  </si>
  <si>
    <t>1075</t>
  </si>
  <si>
    <t>15798</t>
  </si>
  <si>
    <t>3286</t>
  </si>
  <si>
    <t>18137</t>
  </si>
  <si>
    <t>1364</t>
  </si>
  <si>
    <t>740</t>
  </si>
  <si>
    <t>Equipment Information</t>
  </si>
  <si>
    <t>Length(feet)</t>
  </si>
  <si>
    <t>Material</t>
  </si>
  <si>
    <t>Size(inches)</t>
  </si>
  <si>
    <t>Company Name</t>
  </si>
  <si>
    <t>Customer ID</t>
  </si>
  <si>
    <t>Tariff Rate</t>
  </si>
  <si>
    <t>Comments</t>
  </si>
  <si>
    <t>Cost</t>
  </si>
  <si>
    <t>Current Plant Account</t>
  </si>
  <si>
    <t>Main/Service Installation Number</t>
  </si>
  <si>
    <t>Meter/Reg/</t>
  </si>
  <si>
    <t>Main Extension</t>
  </si>
  <si>
    <t>Service Line</t>
  </si>
  <si>
    <t>GIS Reference Number</t>
  </si>
  <si>
    <t>Service address</t>
  </si>
  <si>
    <t>*Blank line items have an unidentifiable class</t>
  </si>
  <si>
    <t>Total Identified</t>
  </si>
  <si>
    <t>regulator station</t>
  </si>
  <si>
    <t>663 and 504</t>
  </si>
  <si>
    <t>663 / 504</t>
  </si>
  <si>
    <t>505/663</t>
  </si>
  <si>
    <t>504/663</t>
  </si>
  <si>
    <t>504/505</t>
  </si>
  <si>
    <t>504, 505, 511</t>
  </si>
  <si>
    <t>504 / 505</t>
  </si>
  <si>
    <t>504 &amp; 505</t>
  </si>
  <si>
    <t>2-503 &amp; 2-504</t>
  </si>
  <si>
    <t>*</t>
  </si>
  <si>
    <t/>
  </si>
  <si>
    <t xml:space="preserve">                 -  </t>
  </si>
  <si>
    <t>Large M&amp;R Set</t>
  </si>
  <si>
    <t>9xx</t>
  </si>
  <si>
    <t>Class/ Identification</t>
  </si>
  <si>
    <t>Count</t>
  </si>
  <si>
    <t>GSC
504, 512</t>
  </si>
  <si>
    <t xml:space="preserve">Total </t>
  </si>
  <si>
    <t>No.</t>
  </si>
  <si>
    <t>Installed Cost</t>
  </si>
  <si>
    <t>Industrial M&amp;R Equipment</t>
  </si>
  <si>
    <t>Direct Assignment</t>
  </si>
  <si>
    <t>Direct Assignments</t>
  </si>
  <si>
    <t>Special Contracts Direct Assigment</t>
  </si>
  <si>
    <t>MAINS-DIRECT</t>
  </si>
  <si>
    <t>SERVICE-DIRECT</t>
  </si>
  <si>
    <t>Mains directly assigned to SC</t>
  </si>
  <si>
    <t>Services directly assigned to SC</t>
  </si>
  <si>
    <t>REVENUE</t>
  </si>
  <si>
    <t>2023 Pro Forma Rate Schedule Revenue</t>
  </si>
  <si>
    <t>DesignDay_xSPL</t>
  </si>
  <si>
    <t>Design Peak Day Excluding Special Contracts</t>
  </si>
  <si>
    <t>Design Peak Day Excluding SC</t>
  </si>
  <si>
    <t>Throughput Excluding Special Contracts</t>
  </si>
  <si>
    <t>Thruput_xSPL</t>
  </si>
  <si>
    <t>Transportation Non-Margin Revenue</t>
  </si>
  <si>
    <t>Sales Rate Schedule Margin</t>
  </si>
  <si>
    <t>Transportation Rate Schedule Margin</t>
  </si>
  <si>
    <t>TRANSPORT_Non-Margin</t>
  </si>
  <si>
    <t>SALES_Non-Margin</t>
  </si>
  <si>
    <t>TRANSPORT_MARGIN</t>
  </si>
  <si>
    <t>SALES_MARGIN</t>
  </si>
  <si>
    <t>Not Required</t>
  </si>
  <si>
    <t>Non-Core</t>
  </si>
  <si>
    <t>Core</t>
  </si>
  <si>
    <t>Control</t>
  </si>
  <si>
    <t>Supply</t>
  </si>
  <si>
    <t>Planning</t>
  </si>
  <si>
    <t>Time Spent on Customer Types</t>
  </si>
  <si>
    <t>Time Spent By Activity %</t>
  </si>
  <si>
    <t>CNG WA Labor Cost $</t>
  </si>
  <si>
    <t>WA Allocation</t>
  </si>
  <si>
    <t>CNG Labor Cost $</t>
  </si>
  <si>
    <t>CNG Allocation %</t>
  </si>
  <si>
    <t>Labor Cost</t>
  </si>
  <si>
    <t>Name</t>
  </si>
  <si>
    <t>Gas Supply Costs</t>
  </si>
  <si>
    <t>ACCT_871</t>
  </si>
  <si>
    <t>ACCT_813_Commodity</t>
  </si>
  <si>
    <t>ACCT_813_Demand</t>
  </si>
  <si>
    <t>ACCT_813_DEM</t>
  </si>
  <si>
    <t>ACCT_813_COMM</t>
  </si>
  <si>
    <t>Account-813_Demand (Planning)</t>
  </si>
  <si>
    <t>Account-813_Commodity (Supply)</t>
  </si>
  <si>
    <t>Account-871_Commodity (Control)</t>
  </si>
  <si>
    <t xml:space="preserve">                          </t>
  </si>
  <si>
    <t>Meters with install</t>
  </si>
  <si>
    <t>Direct Assigned</t>
  </si>
  <si>
    <t>Total 2023 Net Write-Offs by Rate Class</t>
  </si>
  <si>
    <t>Adjustment to tie to Acct 47WA.1442.300</t>
  </si>
  <si>
    <t>No Rate Schedule Data Found</t>
  </si>
  <si>
    <t>Schedule 505</t>
  </si>
  <si>
    <t>Schedule 504</t>
  </si>
  <si>
    <t>Schedule 503</t>
  </si>
  <si>
    <t>2023 Net Write-Offs by Rate Class</t>
  </si>
  <si>
    <t>Total 2023 Recoveries by Rate Class</t>
  </si>
  <si>
    <t>2023 Recoveries by Rate Class</t>
  </si>
  <si>
    <t>Total 2023 Write-Offs by Rate Class</t>
  </si>
  <si>
    <t>2023 Write-Offs by Rate Class</t>
  </si>
  <si>
    <t>Net Write-Offs</t>
  </si>
  <si>
    <t>2023 Recoveries</t>
  </si>
  <si>
    <t>2023 Write-Offs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</si>
  <si>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</si>
  <si>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</si>
  <si>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</si>
  <si>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</si>
  <si>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</si>
  <si>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</si>
  <si>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</si>
  <si>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</si>
  <si>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</si>
  <si>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</si>
  <si>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</si>
  <si>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</si>
  <si>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2023 Net Write-Offs</t>
  </si>
  <si>
    <t>2023 Write-offs</t>
  </si>
  <si>
    <t>DATA FROM CASCADE:</t>
  </si>
  <si>
    <t>SOURCE FILENAME: Atrium - Net Writeoffs by Rate Class.xlsx</t>
  </si>
  <si>
    <t>Acct303</t>
  </si>
  <si>
    <t>Spl Contract Direct</t>
  </si>
  <si>
    <t>RJA-4A Gas Supply</t>
  </si>
  <si>
    <t>Seasonal Vols</t>
  </si>
  <si>
    <t>Mains Allocators</t>
  </si>
  <si>
    <t>Large Cust Mains</t>
  </si>
  <si>
    <t>2023 Net Write Offs</t>
  </si>
  <si>
    <t>385Summary</t>
  </si>
  <si>
    <t>Special Contracts Direct Plant</t>
  </si>
  <si>
    <t>Peak &amp; Average for Customers Served from Steel Main Greater than 6-inch</t>
  </si>
  <si>
    <t>Peak &amp; Average Steel &gt; 6-inch</t>
  </si>
  <si>
    <t>Peak &amp; Average for Customers Served from Steel Main Between 4-inch and 6-inch</t>
  </si>
  <si>
    <t>Peak &amp; Average Steel 4 to 6-inch</t>
  </si>
  <si>
    <t>Peak &amp; Average for Customers Served from Steel Main Between 2-inch and 4-inch</t>
  </si>
  <si>
    <t>Peak &amp; Average Steel 2 to 4-inch</t>
  </si>
  <si>
    <t>Peak &amp; Average for Customers Served from 2-inch Steel Main and Less</t>
  </si>
  <si>
    <t>Peak &amp; Average Steel 2-inch and less</t>
  </si>
  <si>
    <t>Peak &amp; Average for Customers Served from 6-inch Plastic Main</t>
  </si>
  <si>
    <t>Peak &amp; Average 6-inch Plastic</t>
  </si>
  <si>
    <t>Peak &amp; Average for Customers Served from 4-inch Plastic Main</t>
  </si>
  <si>
    <t>Peak &amp; Average 4-inch Plastic</t>
  </si>
  <si>
    <t>Peak &amp; Average for Customers Served from 2-inch and Less Plastic Main</t>
  </si>
  <si>
    <t>Peak &amp; Average Plastic 2-inch and less</t>
  </si>
  <si>
    <t>Peak &amp; Average Excluding Special Contracts</t>
  </si>
  <si>
    <t>Peak &amp; Average Excluding SC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</si>
  <si>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</si>
  <si>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</si>
  <si>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</si>
  <si>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</si>
  <si>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</si>
  <si>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</si>
  <si>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</si>
  <si>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</si>
  <si>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Peak&amp;Average</t>
  </si>
  <si>
    <t>Schedule 2 - External Allocation Factors</t>
  </si>
  <si>
    <t>Cascade Natural Gas Corp.</t>
  </si>
  <si>
    <t>Washington Jurisdiction</t>
  </si>
  <si>
    <t>Twelve-Months ended December 31, 2023</t>
  </si>
  <si>
    <t>Name of Linked Workbook</t>
  </si>
  <si>
    <t>Data file_2023 Cascade Billed Volumes.xlsx</t>
  </si>
  <si>
    <t>Data file_Atirum-COS Transfer &amp; Other Info.xlsx</t>
  </si>
  <si>
    <t>Data_file_Meter Reading.xlsx</t>
  </si>
  <si>
    <t>Data file_MeterData_2024.xlsx</t>
  </si>
  <si>
    <t>THIS SHEET HAS CONFIDENTIAL INFORMATION REMOVED</t>
  </si>
  <si>
    <t>3-Day Peak and Large Customer Mains_workpaper.xlsx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</si>
</sst>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  <numFmt numFmtId="168" formatCode="General_)"/>
    <numFmt numFmtId="169" formatCode="&quot;$&quot;#,##0"/>
    <numFmt numFmtId="170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Courier"/>
      <family val="3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0" fillId="2" borderId="0"/>
    <xf numFmtId="0" fontId="8" fillId="2" borderId="0"/>
    <xf numFmtId="0" fontId="11" fillId="2" borderId="0">
      <alignment horizontal="left" wrapText="1"/>
    </xf>
    <xf numFmtId="0" fontId="8" fillId="0" borderId="0"/>
    <xf numFmtId="0" fontId="8" fillId="0" borderId="0" applyNumberFormat="0" applyBorder="0" applyAlignment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4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8" fillId="0" borderId="0"/>
    <xf numFmtId="0" fontId="8" fillId="0" borderId="0"/>
    <xf numFmtId="37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4" fillId="0" borderId="0"/>
    <xf numFmtId="44" fontId="8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4" fillId="0" borderId="0" xfId="3"/>
    <xf numFmtId="164" fontId="0" fillId="0" borderId="0" xfId="1" applyNumberFormat="1" applyFont="1"/>
    <xf numFmtId="164" fontId="6" fillId="0" borderId="0" xfId="1" applyNumberFormat="1" applyFont="1" applyFill="1"/>
    <xf numFmtId="164" fontId="9" fillId="0" borderId="0" xfId="1" applyNumberFormat="1" applyFont="1" applyFill="1"/>
    <xf numFmtId="0" fontId="9" fillId="0" borderId="0" xfId="0" applyFont="1"/>
    <xf numFmtId="0" fontId="9" fillId="0" borderId="0" xfId="9" applyFont="1"/>
    <xf numFmtId="164" fontId="9" fillId="0" borderId="2" xfId="1" applyNumberFormat="1" applyFont="1" applyFill="1" applyBorder="1"/>
    <xf numFmtId="164" fontId="9" fillId="0" borderId="5" xfId="1" applyNumberFormat="1" applyFont="1" applyFill="1" applyBorder="1"/>
    <xf numFmtId="10" fontId="9" fillId="0" borderId="0" xfId="11" applyNumberFormat="1" applyFont="1"/>
    <xf numFmtId="10" fontId="9" fillId="0" borderId="9" xfId="2" applyNumberFormat="1" applyFont="1" applyFill="1" applyBorder="1"/>
    <xf numFmtId="0" fontId="5" fillId="0" borderId="0" xfId="0" applyFont="1" applyAlignment="1">
      <alignment horizontal="center" wrapText="1"/>
    </xf>
    <xf numFmtId="9" fontId="9" fillId="0" borderId="0" xfId="2" applyFont="1" applyFill="1"/>
    <xf numFmtId="10" fontId="9" fillId="0" borderId="0" xfId="2" applyNumberFormat="1" applyFont="1" applyFill="1"/>
    <xf numFmtId="43" fontId="9" fillId="0" borderId="0" xfId="1" applyFont="1" applyFill="1"/>
    <xf numFmtId="165" fontId="9" fillId="0" borderId="0" xfId="4" applyNumberFormat="1" applyFont="1" applyFill="1"/>
    <xf numFmtId="166" fontId="9" fillId="0" borderId="0" xfId="2" applyNumberFormat="1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/>
    <xf numFmtId="10" fontId="9" fillId="0" borderId="3" xfId="2" applyNumberFormat="1" applyFont="1" applyFill="1" applyBorder="1"/>
    <xf numFmtId="0" fontId="5" fillId="0" borderId="0" xfId="0" applyFont="1" applyAlignment="1">
      <alignment wrapText="1"/>
    </xf>
    <xf numFmtId="9" fontId="9" fillId="0" borderId="3" xfId="2" applyFont="1" applyFill="1" applyBorder="1"/>
    <xf numFmtId="10" fontId="9" fillId="0" borderId="7" xfId="2" applyNumberFormat="1" applyFont="1" applyFill="1" applyBorder="1"/>
    <xf numFmtId="0" fontId="19" fillId="0" borderId="0" xfId="0" applyFont="1" applyAlignment="1">
      <alignment horizontal="center" wrapText="1"/>
    </xf>
    <xf numFmtId="164" fontId="9" fillId="0" borderId="0" xfId="1" applyNumberFormat="1" applyFont="1" applyFill="1" applyBorder="1"/>
    <xf numFmtId="164" fontId="9" fillId="0" borderId="11" xfId="1" applyNumberFormat="1" applyFont="1" applyFill="1" applyBorder="1"/>
    <xf numFmtId="165" fontId="19" fillId="0" borderId="0" xfId="4" applyNumberFormat="1" applyFont="1" applyFill="1"/>
    <xf numFmtId="164" fontId="9" fillId="0" borderId="12" xfId="1" applyNumberFormat="1" applyFont="1" applyFill="1" applyBorder="1"/>
    <xf numFmtId="49" fontId="9" fillId="0" borderId="0" xfId="30" applyNumberFormat="1" applyFont="1" applyFill="1" applyBorder="1" applyAlignment="1">
      <alignment horizontal="center"/>
    </xf>
    <xf numFmtId="0" fontId="9" fillId="0" borderId="0" xfId="30" applyFont="1" applyFill="1" applyBorder="1" applyAlignment="1">
      <alignment horizontal="center"/>
    </xf>
    <xf numFmtId="49" fontId="9" fillId="0" borderId="0" xfId="30" applyNumberFormat="1" applyFont="1" applyFill="1" applyBorder="1"/>
    <xf numFmtId="0" fontId="9" fillId="0" borderId="0" xfId="30" applyFont="1" applyFill="1" applyBorder="1"/>
    <xf numFmtId="49" fontId="9" fillId="0" borderId="13" xfId="30" applyNumberFormat="1" applyFont="1" applyFill="1" applyBorder="1" applyAlignment="1">
      <alignment horizontal="center"/>
    </xf>
    <xf numFmtId="0" fontId="9" fillId="0" borderId="13" xfId="30" applyFont="1" applyFill="1" applyBorder="1" applyAlignment="1">
      <alignment horizontal="center"/>
    </xf>
    <xf numFmtId="49" fontId="9" fillId="0" borderId="13" xfId="30" applyNumberFormat="1" applyFont="1" applyFill="1" applyBorder="1"/>
    <xf numFmtId="0" fontId="9" fillId="0" borderId="13" xfId="30" applyFont="1" applyFill="1" applyBorder="1"/>
    <xf numFmtId="43" fontId="9" fillId="0" borderId="0" xfId="1" applyFont="1" applyFill="1" applyAlignment="1">
      <alignment horizontal="center"/>
    </xf>
    <xf numFmtId="9" fontId="9" fillId="0" borderId="0" xfId="2" applyFont="1" applyFill="1" applyBorder="1"/>
    <xf numFmtId="10" fontId="9" fillId="0" borderId="0" xfId="2" applyNumberFormat="1" applyFont="1" applyFill="1" applyBorder="1"/>
    <xf numFmtId="9" fontId="6" fillId="0" borderId="0" xfId="2" applyFont="1" applyFill="1"/>
    <xf numFmtId="170" fontId="9" fillId="0" borderId="2" xfId="1" applyNumberFormat="1" applyFont="1" applyFill="1" applyBorder="1"/>
    <xf numFmtId="170" fontId="9" fillId="0" borderId="5" xfId="1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164" fontId="9" fillId="0" borderId="0" xfId="0" applyNumberFormat="1" applyFont="1"/>
    <xf numFmtId="164" fontId="9" fillId="0" borderId="1" xfId="1" applyNumberFormat="1" applyFont="1" applyFill="1" applyBorder="1"/>
    <xf numFmtId="164" fontId="9" fillId="0" borderId="9" xfId="1" applyNumberFormat="1" applyFont="1" applyFill="1" applyBorder="1"/>
    <xf numFmtId="0" fontId="19" fillId="0" borderId="0" xfId="0" applyFont="1" applyAlignment="1">
      <alignment wrapText="1"/>
    </xf>
    <xf numFmtId="38" fontId="9" fillId="0" borderId="0" xfId="0" applyNumberFormat="1" applyFont="1"/>
    <xf numFmtId="0" fontId="18" fillId="0" borderId="0" xfId="0" applyFont="1"/>
    <xf numFmtId="37" fontId="9" fillId="0" borderId="0" xfId="0" applyNumberFormat="1" applyFont="1"/>
    <xf numFmtId="0" fontId="9" fillId="0" borderId="0" xfId="23" applyFont="1"/>
    <xf numFmtId="0" fontId="26" fillId="0" borderId="0" xfId="0" applyFont="1"/>
    <xf numFmtId="0" fontId="26" fillId="0" borderId="0" xfId="0" applyFont="1" applyAlignment="1">
      <alignment horizontal="center"/>
    </xf>
    <xf numFmtId="166" fontId="18" fillId="0" borderId="0" xfId="2" applyNumberFormat="1" applyFont="1" applyFill="1"/>
    <xf numFmtId="164" fontId="9" fillId="0" borderId="0" xfId="1" applyNumberFormat="1" applyFont="1" applyFill="1" applyAlignment="1">
      <alignment horizontal="center"/>
    </xf>
    <xf numFmtId="165" fontId="9" fillId="0" borderId="12" xfId="4" applyNumberFormat="1" applyFont="1" applyFill="1" applyBorder="1"/>
    <xf numFmtId="165" fontId="9" fillId="0" borderId="0" xfId="4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165" fontId="9" fillId="0" borderId="12" xfId="4" applyNumberFormat="1" applyFont="1" applyFill="1" applyBorder="1" applyAlignment="1">
      <alignment horizontal="center"/>
    </xf>
    <xf numFmtId="10" fontId="9" fillId="0" borderId="12" xfId="2" applyNumberFormat="1" applyFont="1" applyFill="1" applyBorder="1"/>
    <xf numFmtId="164" fontId="18" fillId="0" borderId="12" xfId="1" applyNumberFormat="1" applyFont="1" applyFill="1" applyBorder="1"/>
    <xf numFmtId="164" fontId="18" fillId="0" borderId="0" xfId="1" applyNumberFormat="1" applyFont="1" applyFill="1"/>
    <xf numFmtId="43" fontId="9" fillId="0" borderId="0" xfId="36" applyFont="1" applyFill="1" applyBorder="1"/>
    <xf numFmtId="43" fontId="14" fillId="0" borderId="2" xfId="36" applyFont="1" applyFill="1" applyBorder="1"/>
    <xf numFmtId="43" fontId="14" fillId="0" borderId="0" xfId="36" applyFont="1" applyFill="1" applyBorder="1"/>
    <xf numFmtId="10" fontId="14" fillId="0" borderId="3" xfId="35" applyNumberFormat="1" applyFont="1" applyFill="1" applyBorder="1"/>
    <xf numFmtId="10" fontId="11" fillId="0" borderId="3" xfId="2" applyNumberFormat="1" applyFont="1" applyFill="1" applyBorder="1"/>
    <xf numFmtId="10" fontId="11" fillId="0" borderId="7" xfId="2" applyNumberFormat="1" applyFont="1" applyFill="1" applyBorder="1"/>
    <xf numFmtId="164" fontId="8" fillId="0" borderId="0" xfId="1" applyNumberFormat="1" applyFont="1" applyFill="1" applyBorder="1"/>
    <xf numFmtId="164" fontId="8" fillId="0" borderId="11" xfId="1" applyNumberFormat="1" applyFont="1" applyFill="1" applyBorder="1"/>
    <xf numFmtId="164" fontId="11" fillId="0" borderId="2" xfId="1" applyNumberFormat="1" applyFont="1" applyFill="1" applyBorder="1"/>
    <xf numFmtId="164" fontId="11" fillId="0" borderId="5" xfId="1" applyNumberFormat="1" applyFont="1" applyFill="1" applyBorder="1"/>
    <xf numFmtId="164" fontId="11" fillId="0" borderId="0" xfId="1" applyNumberFormat="1" applyFont="1" applyFill="1" applyBorder="1"/>
    <xf numFmtId="0" fontId="14" fillId="0" borderId="0" xfId="0" applyFont="1"/>
    <xf numFmtId="0" fontId="14" fillId="0" borderId="8" xfId="0" applyFont="1" applyBorder="1"/>
    <xf numFmtId="0" fontId="9" fillId="0" borderId="1" xfId="0" applyFont="1" applyBorder="1"/>
    <xf numFmtId="0" fontId="9" fillId="0" borderId="9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10" xfId="0" applyFont="1" applyBorder="1"/>
    <xf numFmtId="0" fontId="15" fillId="0" borderId="0" xfId="0" applyFont="1"/>
    <xf numFmtId="0" fontId="14" fillId="0" borderId="4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1" xfId="0" applyFont="1" applyBorder="1" applyAlignment="1">
      <alignment wrapText="1"/>
    </xf>
    <xf numFmtId="43" fontId="9" fillId="0" borderId="0" xfId="0" applyNumberFormat="1" applyFont="1"/>
    <xf numFmtId="165" fontId="1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9" fillId="0" borderId="26" xfId="31" applyNumberFormat="1" applyFont="1" applyFill="1" applyBorder="1" applyAlignment="1">
      <alignment vertical="center" wrapText="1"/>
    </xf>
    <xf numFmtId="0" fontId="9" fillId="0" borderId="23" xfId="31" applyNumberFormat="1" applyFont="1" applyFill="1" applyBorder="1" applyAlignment="1">
      <alignment vertical="center" wrapText="1"/>
    </xf>
    <xf numFmtId="49" fontId="9" fillId="0" borderId="23" xfId="31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8" xfId="0" applyNumberFormat="1" applyFont="1" applyBorder="1"/>
    <xf numFmtId="49" fontId="9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3" fontId="14" fillId="0" borderId="0" xfId="1" applyFont="1" applyFill="1"/>
    <xf numFmtId="0" fontId="9" fillId="0" borderId="27" xfId="0" applyFont="1" applyBorder="1"/>
    <xf numFmtId="49" fontId="9" fillId="0" borderId="27" xfId="0" applyNumberFormat="1" applyFont="1" applyBorder="1"/>
    <xf numFmtId="49" fontId="9" fillId="0" borderId="27" xfId="0" applyNumberFormat="1" applyFont="1" applyBorder="1" applyAlignment="1">
      <alignment horizontal="center"/>
    </xf>
    <xf numFmtId="0" fontId="9" fillId="0" borderId="28" xfId="31" applyNumberFormat="1" applyFont="1" applyFill="1" applyBorder="1" applyAlignment="1">
      <alignment vertical="center" wrapText="1"/>
    </xf>
    <xf numFmtId="0" fontId="9" fillId="0" borderId="29" xfId="31" applyNumberFormat="1" applyFont="1" applyFill="1" applyBorder="1" applyAlignment="1">
      <alignment vertical="center" wrapText="1"/>
    </xf>
    <xf numFmtId="49" fontId="9" fillId="0" borderId="29" xfId="31" applyNumberFormat="1" applyFont="1" applyFill="1" applyBorder="1" applyAlignment="1">
      <alignment horizontal="center" vertical="center" wrapText="1"/>
    </xf>
    <xf numFmtId="168" fontId="25" fillId="0" borderId="0" xfId="37" applyFont="1" applyAlignment="1">
      <alignment horizontal="left"/>
    </xf>
    <xf numFmtId="10" fontId="9" fillId="0" borderId="11" xfId="2" applyNumberFormat="1" applyFont="1" applyFill="1" applyBorder="1"/>
    <xf numFmtId="9" fontId="9" fillId="0" borderId="10" xfId="2" applyFont="1" applyFill="1" applyBorder="1"/>
    <xf numFmtId="9" fontId="9" fillId="0" borderId="11" xfId="2" applyFont="1" applyFill="1" applyBorder="1"/>
    <xf numFmtId="9" fontId="9" fillId="0" borderId="6" xfId="2" applyFont="1" applyFill="1" applyBorder="1"/>
    <xf numFmtId="9" fontId="9" fillId="0" borderId="7" xfId="2" applyFont="1" applyFill="1" applyBorder="1"/>
    <xf numFmtId="0" fontId="14" fillId="0" borderId="0" xfId="0" applyFont="1" applyAlignment="1">
      <alignment horizontal="centerContinuous"/>
    </xf>
    <xf numFmtId="168" fontId="9" fillId="0" borderId="0" xfId="37" applyFont="1" applyAlignment="1">
      <alignment horizontal="centerContinuous"/>
    </xf>
    <xf numFmtId="168" fontId="9" fillId="0" borderId="0" xfId="37" applyFont="1"/>
    <xf numFmtId="168" fontId="9" fillId="0" borderId="0" xfId="37" applyFont="1" applyAlignment="1">
      <alignment horizontal="left"/>
    </xf>
    <xf numFmtId="168" fontId="14" fillId="0" borderId="0" xfId="37" applyFont="1" applyAlignment="1">
      <alignment horizontal="centerContinuous"/>
    </xf>
    <xf numFmtId="37" fontId="14" fillId="0" borderId="0" xfId="0" applyNumberFormat="1" applyFont="1" applyAlignment="1">
      <alignment horizontal="centerContinuous"/>
    </xf>
    <xf numFmtId="168" fontId="14" fillId="0" borderId="0" xfId="37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0" xfId="32" applyFont="1"/>
    <xf numFmtId="0" fontId="9" fillId="0" borderId="11" xfId="0" applyFont="1" applyBorder="1"/>
    <xf numFmtId="6" fontId="9" fillId="0" borderId="11" xfId="0" applyNumberFormat="1" applyFont="1" applyBorder="1"/>
    <xf numFmtId="6" fontId="9" fillId="0" borderId="10" xfId="0" applyNumberFormat="1" applyFont="1" applyBorder="1"/>
    <xf numFmtId="8" fontId="9" fillId="0" borderId="0" xfId="0" applyNumberFormat="1" applyFont="1"/>
    <xf numFmtId="169" fontId="9" fillId="0" borderId="10" xfId="0" applyNumberFormat="1" applyFont="1" applyBorder="1"/>
    <xf numFmtId="0" fontId="9" fillId="0" borderId="7" xfId="0" applyFont="1" applyBorder="1"/>
    <xf numFmtId="6" fontId="9" fillId="0" borderId="7" xfId="0" applyNumberFormat="1" applyFont="1" applyBorder="1"/>
    <xf numFmtId="6" fontId="9" fillId="0" borderId="6" xfId="0" applyNumberFormat="1" applyFont="1" applyBorder="1"/>
    <xf numFmtId="6" fontId="9" fillId="0" borderId="3" xfId="0" applyNumberFormat="1" applyFont="1" applyBorder="1"/>
    <xf numFmtId="0" fontId="28" fillId="0" borderId="0" xfId="0" applyFont="1"/>
    <xf numFmtId="0" fontId="19" fillId="0" borderId="0" xfId="0" applyFont="1" applyAlignment="1">
      <alignment horizontal="centerContinuous"/>
    </xf>
    <xf numFmtId="166" fontId="9" fillId="0" borderId="0" xfId="2" applyNumberFormat="1" applyFont="1" applyFill="1" applyAlignment="1">
      <alignment horizontal="center"/>
    </xf>
    <xf numFmtId="0" fontId="9" fillId="0" borderId="0" xfId="0" applyFont="1" applyAlignment="1">
      <alignment horizontal="center" wrapText="1"/>
    </xf>
    <xf numFmtId="44" fontId="9" fillId="0" borderId="0" xfId="4" applyFont="1" applyFill="1"/>
    <xf numFmtId="44" fontId="9" fillId="0" borderId="0" xfId="0" applyNumberFormat="1" applyFont="1"/>
    <xf numFmtId="2" fontId="9" fillId="0" borderId="0" xfId="1" applyNumberFormat="1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8" fillId="0" borderId="0" xfId="0" applyNumberFormat="1" applyFont="1"/>
    <xf numFmtId="6" fontId="8" fillId="0" borderId="3" xfId="0" applyNumberFormat="1" applyFont="1" applyBorder="1"/>
    <xf numFmtId="0" fontId="8" fillId="0" borderId="0" xfId="0" applyFont="1"/>
    <xf numFmtId="0" fontId="9" fillId="0" borderId="3" xfId="0" applyFont="1" applyBorder="1" applyAlignment="1">
      <alignment horizontal="center"/>
    </xf>
    <xf numFmtId="43" fontId="9" fillId="0" borderId="3" xfId="1" applyFont="1" applyFill="1" applyBorder="1"/>
    <xf numFmtId="44" fontId="14" fillId="0" borderId="0" xfId="4" applyFont="1" applyFill="1"/>
    <xf numFmtId="43" fontId="14" fillId="0" borderId="0" xfId="1" applyFont="1" applyFill="1" applyBorder="1"/>
    <xf numFmtId="43" fontId="14" fillId="0" borderId="0" xfId="0" applyNumberFormat="1" applyFont="1"/>
    <xf numFmtId="43" fontId="14" fillId="0" borderId="3" xfId="0" applyNumberFormat="1" applyFont="1" applyBorder="1"/>
    <xf numFmtId="44" fontId="14" fillId="0" borderId="0" xfId="0" applyNumberFormat="1" applyFont="1"/>
    <xf numFmtId="0" fontId="19" fillId="0" borderId="12" xfId="0" applyFont="1" applyBorder="1" applyAlignment="1">
      <alignment horizontal="center" wrapText="1"/>
    </xf>
    <xf numFmtId="167" fontId="9" fillId="0" borderId="0" xfId="0" applyNumberFormat="1" applyFont="1" applyAlignment="1">
      <alignment horizontal="center"/>
    </xf>
    <xf numFmtId="0" fontId="9" fillId="0" borderId="12" xfId="0" applyFont="1" applyBorder="1"/>
    <xf numFmtId="0" fontId="18" fillId="0" borderId="0" xfId="0" applyFont="1" applyAlignment="1">
      <alignment horizontal="center"/>
    </xf>
    <xf numFmtId="0" fontId="8" fillId="0" borderId="0" xfId="32" applyAlignment="1">
      <alignment horizontal="centerContinuous"/>
    </xf>
    <xf numFmtId="0" fontId="8" fillId="0" borderId="0" xfId="32"/>
    <xf numFmtId="0" fontId="8" fillId="0" borderId="8" xfId="32" applyBorder="1"/>
    <xf numFmtId="0" fontId="8" fillId="0" borderId="1" xfId="32" applyBorder="1"/>
    <xf numFmtId="0" fontId="11" fillId="0" borderId="11" xfId="32" applyFont="1" applyBorder="1" applyAlignment="1">
      <alignment horizontal="center" wrapText="1"/>
    </xf>
    <xf numFmtId="0" fontId="11" fillId="0" borderId="8" xfId="32" applyFont="1" applyBorder="1" applyAlignment="1">
      <alignment horizontal="center" wrapText="1"/>
    </xf>
    <xf numFmtId="0" fontId="11" fillId="0" borderId="1" xfId="32" applyFont="1" applyBorder="1" applyAlignment="1">
      <alignment horizontal="center" wrapText="1"/>
    </xf>
    <xf numFmtId="37" fontId="27" fillId="0" borderId="1" xfId="34" applyFont="1" applyBorder="1" applyAlignment="1">
      <alignment horizontal="center" vertical="center" wrapText="1"/>
    </xf>
    <xf numFmtId="37" fontId="27" fillId="0" borderId="9" xfId="34" applyFont="1" applyBorder="1" applyAlignment="1">
      <alignment horizontal="center" vertical="center" wrapText="1"/>
    </xf>
    <xf numFmtId="0" fontId="11" fillId="0" borderId="0" xfId="32" applyFont="1"/>
    <xf numFmtId="0" fontId="11" fillId="0" borderId="10" xfId="32" applyFont="1" applyBorder="1" applyAlignment="1">
      <alignment horizontal="center"/>
    </xf>
    <xf numFmtId="0" fontId="8" fillId="0" borderId="11" xfId="32" applyBorder="1"/>
    <xf numFmtId="0" fontId="8" fillId="0" borderId="10" xfId="32" applyBorder="1" applyAlignment="1">
      <alignment horizontal="center"/>
    </xf>
    <xf numFmtId="43" fontId="8" fillId="0" borderId="0" xfId="32" applyNumberFormat="1"/>
    <xf numFmtId="43" fontId="8" fillId="0" borderId="11" xfId="32" applyNumberFormat="1" applyBorder="1"/>
    <xf numFmtId="0" fontId="11" fillId="0" borderId="4" xfId="32" applyFont="1" applyBorder="1" applyAlignment="1">
      <alignment horizontal="center"/>
    </xf>
    <xf numFmtId="0" fontId="11" fillId="0" borderId="2" xfId="32" applyFont="1" applyBorder="1"/>
    <xf numFmtId="43" fontId="11" fillId="0" borderId="2" xfId="32" applyNumberFormat="1" applyFont="1" applyBorder="1"/>
    <xf numFmtId="43" fontId="11" fillId="0" borderId="5" xfId="32" applyNumberFormat="1" applyFont="1" applyBorder="1"/>
    <xf numFmtId="0" fontId="11" fillId="0" borderId="11" xfId="32" applyFont="1" applyBorder="1"/>
    <xf numFmtId="0" fontId="11" fillId="0" borderId="6" xfId="32" applyFont="1" applyBorder="1"/>
    <xf numFmtId="0" fontId="11" fillId="0" borderId="3" xfId="32" applyFont="1" applyBorder="1"/>
    <xf numFmtId="0" fontId="22" fillId="0" borderId="0" xfId="0" applyFont="1" applyAlignment="1">
      <alignment horizontal="left"/>
    </xf>
    <xf numFmtId="0" fontId="11" fillId="0" borderId="8" xfId="33" applyFont="1" applyBorder="1" applyAlignment="1">
      <alignment horizontal="center" wrapText="1"/>
    </xf>
    <xf numFmtId="0" fontId="8" fillId="0" borderId="1" xfId="32" applyBorder="1" applyAlignment="1">
      <alignment wrapText="1"/>
    </xf>
    <xf numFmtId="0" fontId="11" fillId="0" borderId="4" xfId="33" applyFont="1" applyBorder="1" applyAlignment="1">
      <alignment horizontal="center"/>
    </xf>
    <xf numFmtId="0" fontId="8" fillId="0" borderId="2" xfId="32" applyBorder="1"/>
    <xf numFmtId="0" fontId="8" fillId="0" borderId="5" xfId="32" applyBorder="1"/>
    <xf numFmtId="0" fontId="8" fillId="0" borderId="10" xfId="33" applyBorder="1" applyAlignment="1">
      <alignment horizontal="center"/>
    </xf>
    <xf numFmtId="0" fontId="8" fillId="0" borderId="10" xfId="33" applyBorder="1"/>
    <xf numFmtId="0" fontId="11" fillId="0" borderId="10" xfId="33" applyFont="1" applyBorder="1" applyAlignment="1">
      <alignment horizontal="center"/>
    </xf>
    <xf numFmtId="164" fontId="11" fillId="0" borderId="0" xfId="32" applyNumberFormat="1" applyFont="1"/>
    <xf numFmtId="164" fontId="11" fillId="0" borderId="11" xfId="32" applyNumberFormat="1" applyFont="1" applyBorder="1"/>
    <xf numFmtId="0" fontId="9" fillId="0" borderId="26" xfId="31" applyFont="1" applyFill="1" applyBorder="1" applyAlignment="1">
      <alignment vertical="center" wrapText="1"/>
    </xf>
    <xf numFmtId="0" fontId="9" fillId="0" borderId="28" xfId="31" applyFont="1" applyFill="1" applyBorder="1" applyAlignment="1">
      <alignment vertical="center" wrapText="1"/>
    </xf>
    <xf numFmtId="49" fontId="9" fillId="0" borderId="26" xfId="31" applyNumberFormat="1" applyFont="1" applyFill="1" applyBorder="1" applyAlignment="1">
      <alignment vertical="center" wrapText="1"/>
    </xf>
    <xf numFmtId="49" fontId="9" fillId="0" borderId="28" xfId="31" applyNumberFormat="1" applyFont="1" applyFill="1" applyBorder="1" applyAlignment="1">
      <alignment vertical="center" wrapText="1"/>
    </xf>
    <xf numFmtId="49" fontId="9" fillId="0" borderId="16" xfId="31" applyNumberFormat="1" applyFont="1" applyFill="1" applyBorder="1" applyAlignment="1">
      <alignment horizontal="center" vertical="center" wrapText="1"/>
    </xf>
    <xf numFmtId="49" fontId="9" fillId="0" borderId="15" xfId="31" applyNumberFormat="1" applyFont="1" applyFill="1" applyBorder="1" applyAlignment="1">
      <alignment horizontal="center" vertical="center" wrapText="1"/>
    </xf>
    <xf numFmtId="49" fontId="9" fillId="0" borderId="14" xfId="31" applyNumberFormat="1" applyFont="1" applyFill="1" applyBorder="1" applyAlignment="1">
      <alignment horizontal="center" vertical="center" wrapText="1"/>
    </xf>
    <xf numFmtId="43" fontId="9" fillId="0" borderId="26" xfId="1" applyFont="1" applyFill="1" applyBorder="1" applyAlignment="1">
      <alignment horizontal="center" vertical="center" wrapText="1"/>
    </xf>
    <xf numFmtId="43" fontId="9" fillId="0" borderId="28" xfId="1" applyFont="1" applyFill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9" fillId="0" borderId="26" xfId="31" applyNumberFormat="1" applyFont="1" applyFill="1" applyBorder="1" applyAlignment="1">
      <alignment horizontal="center" vertical="center" wrapText="1"/>
    </xf>
    <xf numFmtId="49" fontId="9" fillId="0" borderId="28" xfId="3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</cellXfs>
  <cellStyles count="39">
    <cellStyle name="Accent3" xfId="31" builtinId="37"/>
    <cellStyle name="Bad" xfId="30" builtinId="27"/>
    <cellStyle name="Comma" xfId="1" builtinId="3"/>
    <cellStyle name="Comma 10 10" xfId="36" xr:uid="{4FB4E066-A047-41AC-8177-B5A5088B165E}"/>
    <cellStyle name="Comma 2" xfId="12" xr:uid="{918CFC2E-91DC-4647-A7F5-ECB3526C0330}"/>
    <cellStyle name="Comma 2 2" xfId="16" xr:uid="{1A0A839A-6081-4938-86DF-B05602523DD4}"/>
    <cellStyle name="Comma 2 3" xfId="18" xr:uid="{4340527A-E4A5-4C80-A1F0-4A8E9172B496}"/>
    <cellStyle name="Comma 2 4" xfId="28" xr:uid="{488AF37D-8FC4-47BB-8528-4CC228C0B49D}"/>
    <cellStyle name="Comma 3" xfId="13" xr:uid="{C412E805-999B-4526-9AAB-3E23DEAC32A2}"/>
    <cellStyle name="Comma 3 2" xfId="25" xr:uid="{B9E035AC-BA9C-4402-81F5-7EC545459F71}"/>
    <cellStyle name="Comma 5" xfId="20" xr:uid="{AF5F8483-FF58-49A9-875A-1D583B5F206A}"/>
    <cellStyle name="Currency" xfId="4" builtinId="4"/>
    <cellStyle name="Currency 16" xfId="38" xr:uid="{22428E28-162C-4BF2-9732-CF7C22784692}"/>
    <cellStyle name="Currency 2" xfId="15" xr:uid="{BDCE7A2C-D46E-4E55-A70E-8228F79B1C76}"/>
    <cellStyle name="Currency 2 2" xfId="26" xr:uid="{4D6C4CEB-00BD-4F07-982E-FE882EFBE61A}"/>
    <cellStyle name="Currency 3" xfId="17" xr:uid="{62C43535-4E3C-4F00-8A8D-17665925002F}"/>
    <cellStyle name="Hyperlink" xfId="3" builtinId="8"/>
    <cellStyle name="Hyperlink 2" xfId="24" xr:uid="{36106A9E-3B89-412D-9855-644C658A9933}"/>
    <cellStyle name="Normal" xfId="0" builtinId="0"/>
    <cellStyle name="Normal 10 2 7" xfId="32" xr:uid="{C8EC21E0-B312-44B1-8CAA-2108DB49A58D}"/>
    <cellStyle name="Normal 104" xfId="33" xr:uid="{E7AA776D-0CE0-4C0C-A456-08AD24CE99D7}"/>
    <cellStyle name="Normal 15" xfId="23" xr:uid="{2E9BA304-0678-47CE-91D8-50ED6AB75E2C}"/>
    <cellStyle name="Normal 15 2" xfId="37" xr:uid="{EF70EA90-B5C6-42E2-92BE-82455E1E9609}"/>
    <cellStyle name="Normal 2" xfId="5" xr:uid="{69FE4CDF-D132-438C-84C3-CBB135658DA9}"/>
    <cellStyle name="Normal 2 2" xfId="9" xr:uid="{4EFB3451-4249-40AB-87C8-F9FC0CABDA8E}"/>
    <cellStyle name="Normal 2 3" xfId="7" xr:uid="{9989E14A-D45B-4E55-8CA2-A09332B31C4F}"/>
    <cellStyle name="Normal 2 4" xfId="27" xr:uid="{C77BE10A-F6C2-4D42-BBE0-B9E8ABCEEA5E}"/>
    <cellStyle name="Normal 2 5" xfId="19" xr:uid="{58985355-D655-4738-92C5-E966CF4A5662}"/>
    <cellStyle name="Normal 3" xfId="6" xr:uid="{F749A9CA-F7A3-43A7-A185-2EB7E05F1803}"/>
    <cellStyle name="Normal 3 2" xfId="21" xr:uid="{7AF64F5B-8A4B-438F-80FE-BED9AF096530}"/>
    <cellStyle name="Normal 4" xfId="22" xr:uid="{F943043A-7288-4175-AECB-14E2DE0C1BBF}"/>
    <cellStyle name="Normal 5" xfId="29" xr:uid="{0EA64065-383D-48AD-873E-0DC4F955AE63}"/>
    <cellStyle name="Normal 7" xfId="14" xr:uid="{223FFAFA-5E69-4BFE-B3E3-63A13622AE13}"/>
    <cellStyle name="Normal_Empire Data" xfId="34" xr:uid="{78033526-2C57-424A-91E2-E7866808C056}"/>
    <cellStyle name="Percent" xfId="2" builtinId="5"/>
    <cellStyle name="Percent 10" xfId="35" xr:uid="{8DEBD4C8-5B56-42A3-A4E6-029C2FE633E9}"/>
    <cellStyle name="Percent 2" xfId="11" xr:uid="{8B633D63-305A-4B8F-9C8C-9D7DF8B1A924}"/>
    <cellStyle name="Test" xfId="10" xr:uid="{B5535121-7199-4390-82FC-1D5CAB4DF937}"/>
    <cellStyle name="Title: Minor" xfId="8" xr:uid="{7D0A8024-9E13-49B0-9155-D5919DFD3D48}"/>
  </cellStyles>
  <dxfs count="0"/>
  <tableStyles count="0" defaultTableStyle="TableStyleMedium2" defaultPivotStyle="PivotStyleLight16"/>
  <colors>
    <mruColors>
      <color rgb="FFFFFFCC"/>
      <color rgb="FF006600"/>
      <color rgb="FF336600"/>
      <color rgb="FF6600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Data%20file_Atirum-COS%20Transfer%20&amp;%20Other%20Info.xlsx" TargetMode="External"/><Relationship Id="rId1" Type="http://schemas.openxmlformats.org/officeDocument/2006/relationships/externalLinkPath" Target="Data%20file_Atirum-COS%20Transfer%20&amp;%20Other%20Inf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3-Day%20Peak%20and%20Large%20Customer%20Mains_workpaper.xlsx" TargetMode="External"/><Relationship Id="rId1" Type="http://schemas.openxmlformats.org/officeDocument/2006/relationships/externalLinkPath" Target="3-Day%20Peak%20and%20Large%20Customer%20Mains_workpap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Data%20file_MeterData_2024.xlsx" TargetMode="External"/><Relationship Id="rId1" Type="http://schemas.openxmlformats.org/officeDocument/2006/relationships/externalLinkPath" Target="Data%20file_MeterDat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Data%20file_Meter%20Reading.xlsx" TargetMode="External"/><Relationship Id="rId1" Type="http://schemas.openxmlformats.org/officeDocument/2006/relationships/externalLinkPath" Target="Data%20file_Meter%20Readin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Second%20Level%20Workpapers/Data%20file_2023%20Cascade%20Billed%20Volumes.xlsx" TargetMode="External"/><Relationship Id="rId1" Type="http://schemas.openxmlformats.org/officeDocument/2006/relationships/externalLinkPath" Target="Data%20file_2023%20Cascade%20Billed%20Volu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 Transfer File"/>
      <sheetName val="Exh JAD-1, Proof of Revenue"/>
      <sheetName val="Index To External Links"/>
    </sheetNames>
    <sheetDataSet>
      <sheetData sheetId="0" refreshError="1"/>
      <sheetData sheetId="1">
        <row r="9">
          <cell r="C9">
            <v>2438793</v>
          </cell>
          <cell r="W9">
            <v>2454192</v>
          </cell>
          <cell r="X9">
            <v>12270960</v>
          </cell>
        </row>
        <row r="10">
          <cell r="W10">
            <v>129913446.15533167</v>
          </cell>
          <cell r="X10">
            <v>46405082.966684461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9067556.4700000007</v>
          </cell>
        </row>
        <row r="22">
          <cell r="X22">
            <v>-1075.6800000000003</v>
          </cell>
        </row>
        <row r="23">
          <cell r="X23">
            <v>30647.74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67773171.496684447</v>
          </cell>
        </row>
        <row r="31">
          <cell r="C31">
            <v>330083</v>
          </cell>
          <cell r="W31">
            <v>331872</v>
          </cell>
          <cell r="X31">
            <v>4314336</v>
          </cell>
        </row>
        <row r="32">
          <cell r="W32">
            <v>91926474.127817988</v>
          </cell>
          <cell r="X32">
            <v>27144049.280462097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7181758.9399999995</v>
          </cell>
        </row>
        <row r="44">
          <cell r="X44">
            <v>-5688.3</v>
          </cell>
        </row>
        <row r="45">
          <cell r="X45">
            <v>55626.009999999995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38690081.9304621</v>
          </cell>
        </row>
        <row r="53">
          <cell r="C53">
            <v>5901</v>
          </cell>
          <cell r="W53">
            <v>5940</v>
          </cell>
          <cell r="X53">
            <v>356400</v>
          </cell>
        </row>
        <row r="54">
          <cell r="W54">
            <v>1786592.8920551969</v>
          </cell>
          <cell r="X54">
            <v>408129.28026108921</v>
          </cell>
        </row>
        <row r="55">
          <cell r="W55">
            <v>5648913.6805633102</v>
          </cell>
          <cell r="X55">
            <v>1068379.044404939</v>
          </cell>
        </row>
        <row r="56">
          <cell r="W56">
            <v>4738642.2882011691</v>
          </cell>
          <cell r="X56">
            <v>868071.88077557215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593578.71</v>
          </cell>
        </row>
        <row r="68">
          <cell r="X68">
            <v>0</v>
          </cell>
        </row>
        <row r="69">
          <cell r="X69">
            <v>23860.539999999997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3318419.4554416006</v>
          </cell>
        </row>
        <row r="77">
          <cell r="C77">
            <v>1192</v>
          </cell>
          <cell r="W77">
            <v>1188</v>
          </cell>
          <cell r="X77">
            <v>148500</v>
          </cell>
        </row>
        <row r="78">
          <cell r="W78">
            <v>9861038.8412244879</v>
          </cell>
          <cell r="X78">
            <v>1771535.6278259791</v>
          </cell>
        </row>
        <row r="79">
          <cell r="W79">
            <v>5346794.8493877547</v>
          </cell>
          <cell r="X79">
            <v>753470.33017572237</v>
          </cell>
        </row>
        <row r="80">
          <cell r="W80">
            <v>1480843.7495918367</v>
          </cell>
          <cell r="X80">
            <v>66800.861544087747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613500.08000000007</v>
          </cell>
        </row>
        <row r="92">
          <cell r="X92">
            <v>-2778.92</v>
          </cell>
        </row>
        <row r="93">
          <cell r="X93">
            <v>6384.01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3357411.9895457891</v>
          </cell>
        </row>
        <row r="102">
          <cell r="C102">
            <v>84</v>
          </cell>
          <cell r="W102">
            <v>84</v>
          </cell>
          <cell r="X102">
            <v>13692</v>
          </cell>
        </row>
        <row r="103">
          <cell r="W103">
            <v>1086598</v>
          </cell>
          <cell r="X103">
            <v>113560.35698</v>
          </cell>
        </row>
        <row r="104">
          <cell r="W104">
            <v>1011000</v>
          </cell>
          <cell r="X104">
            <v>39570.54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21144.820000000003</v>
          </cell>
        </row>
        <row r="116">
          <cell r="X116">
            <v>0</v>
          </cell>
        </row>
        <row r="117">
          <cell r="X117">
            <v>58.68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188026.39697999999</v>
          </cell>
        </row>
        <row r="126">
          <cell r="C126">
            <v>2325</v>
          </cell>
          <cell r="W126">
            <v>2316</v>
          </cell>
          <cell r="X126">
            <v>1447500</v>
          </cell>
        </row>
        <row r="127">
          <cell r="X127">
            <v>8473392</v>
          </cell>
        </row>
        <row r="128">
          <cell r="X128">
            <v>341976.42808445054</v>
          </cell>
        </row>
        <row r="129">
          <cell r="W129">
            <v>100667737.22113912</v>
          </cell>
          <cell r="X129">
            <v>6646084.0113396049</v>
          </cell>
        </row>
        <row r="130">
          <cell r="W130">
            <v>72067729.44475241</v>
          </cell>
          <cell r="X130">
            <v>1932135.8264138123</v>
          </cell>
        </row>
        <row r="131">
          <cell r="W131">
            <v>37181911.28548535</v>
          </cell>
          <cell r="X131">
            <v>668530.76491302648</v>
          </cell>
        </row>
        <row r="132">
          <cell r="W132">
            <v>645023692.25974941</v>
          </cell>
          <cell r="X132">
            <v>6966255.8764052941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22500</v>
          </cell>
        </row>
        <row r="140">
          <cell r="X140">
            <v>508630.55</v>
          </cell>
        </row>
        <row r="141">
          <cell r="X141">
            <v>-5833.54</v>
          </cell>
        </row>
        <row r="142">
          <cell r="X142">
            <v>11594.809999999998</v>
          </cell>
        </row>
        <row r="143">
          <cell r="X143">
            <v>1131463.4100000001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28144230.137156188</v>
          </cell>
        </row>
        <row r="150">
          <cell r="C150">
            <v>84</v>
          </cell>
          <cell r="W150">
            <v>84</v>
          </cell>
          <cell r="X150">
            <v>52500</v>
          </cell>
        </row>
        <row r="151">
          <cell r="X151">
            <v>60000</v>
          </cell>
        </row>
        <row r="152">
          <cell r="X152">
            <v>189764.52</v>
          </cell>
        </row>
        <row r="153">
          <cell r="X153">
            <v>43112.800000000003</v>
          </cell>
        </row>
        <row r="154">
          <cell r="X154">
            <v>179100</v>
          </cell>
        </row>
        <row r="155">
          <cell r="X155">
            <v>70257.900000000009</v>
          </cell>
        </row>
        <row r="156">
          <cell r="W156">
            <v>182556284</v>
          </cell>
          <cell r="X156">
            <v>2553267.1299999994</v>
          </cell>
        </row>
        <row r="159">
          <cell r="X159">
            <v>139236.11000000002</v>
          </cell>
        </row>
        <row r="160">
          <cell r="X160">
            <v>109452.62</v>
          </cell>
        </row>
        <row r="161">
          <cell r="X161">
            <v>3396691.0799999996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-Day Peak"/>
      <sheetName val="Large Customer Mains Summary"/>
      <sheetName val="Large Customer Plant"/>
      <sheetName val="Therms Data"/>
      <sheetName val="Index to External Links"/>
    </sheetNames>
    <sheetDataSet>
      <sheetData sheetId="0">
        <row r="7">
          <cell r="C7">
            <v>9982.3333333333339</v>
          </cell>
        </row>
        <row r="8">
          <cell r="C8">
            <v>2202267.544270834</v>
          </cell>
        </row>
        <row r="9">
          <cell r="C9">
            <v>595211.29947916674</v>
          </cell>
        </row>
      </sheetData>
      <sheetData sheetId="1">
        <row r="9">
          <cell r="D9">
            <v>7</v>
          </cell>
          <cell r="E9">
            <v>9982.3333333333339</v>
          </cell>
          <cell r="F9">
            <v>2097598</v>
          </cell>
          <cell r="G9">
            <v>200</v>
          </cell>
          <cell r="H9">
            <v>2202267.5442708335</v>
          </cell>
          <cell r="I9">
            <v>857558277</v>
          </cell>
        </row>
        <row r="10">
          <cell r="D10">
            <v>7</v>
          </cell>
          <cell r="E10">
            <v>9982.3333333333339</v>
          </cell>
          <cell r="F10">
            <v>2097598</v>
          </cell>
          <cell r="G10">
            <v>191</v>
          </cell>
          <cell r="H10">
            <v>707532.33333333326</v>
          </cell>
          <cell r="I10">
            <v>354662704</v>
          </cell>
        </row>
        <row r="11">
          <cell r="D11">
            <v>7</v>
          </cell>
          <cell r="E11">
            <v>9982.3333333333339</v>
          </cell>
          <cell r="F11">
            <v>2097598</v>
          </cell>
          <cell r="G11">
            <v>167</v>
          </cell>
          <cell r="H11">
            <v>537386.99999999988</v>
          </cell>
          <cell r="I11">
            <v>310929930</v>
          </cell>
        </row>
        <row r="12">
          <cell r="D12">
            <v>3</v>
          </cell>
          <cell r="E12">
            <v>1696.3333333333335</v>
          </cell>
          <cell r="F12">
            <v>352918</v>
          </cell>
          <cell r="G12">
            <v>66</v>
          </cell>
          <cell r="H12">
            <v>245658.66666666666</v>
          </cell>
          <cell r="I12">
            <v>227876907</v>
          </cell>
        </row>
        <row r="13">
          <cell r="D13">
            <v>4</v>
          </cell>
          <cell r="E13">
            <v>8554</v>
          </cell>
          <cell r="F13">
            <v>1833843</v>
          </cell>
          <cell r="G13">
            <v>72</v>
          </cell>
          <cell r="H13">
            <v>393565.33333333337</v>
          </cell>
          <cell r="I13">
            <v>132864247</v>
          </cell>
        </row>
        <row r="14">
          <cell r="D14">
            <v>4</v>
          </cell>
          <cell r="E14">
            <v>8554</v>
          </cell>
          <cell r="F14">
            <v>1833843</v>
          </cell>
          <cell r="G14">
            <v>56</v>
          </cell>
          <cell r="H14">
            <v>138404.33333333334</v>
          </cell>
          <cell r="I14">
            <v>41696065</v>
          </cell>
        </row>
        <row r="15">
          <cell r="D15">
            <v>1</v>
          </cell>
          <cell r="E15">
            <v>479</v>
          </cell>
          <cell r="F15">
            <v>137863</v>
          </cell>
          <cell r="G15">
            <v>31</v>
          </cell>
          <cell r="H15">
            <v>59660</v>
          </cell>
          <cell r="I15">
            <v>17056617</v>
          </cell>
        </row>
      </sheetData>
      <sheetData sheetId="2">
        <row r="8">
          <cell r="C8" t="str">
            <v>Customer ID</v>
          </cell>
        </row>
        <row r="31">
          <cell r="T31">
            <v>298204.27466059296</v>
          </cell>
        </row>
        <row r="32">
          <cell r="T32">
            <v>7869.6455208385751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r"/>
    </sheetNames>
    <sheetDataSet>
      <sheetData sheetId="0">
        <row r="35">
          <cell r="C35">
            <v>125.17</v>
          </cell>
          <cell r="D35">
            <v>259.58</v>
          </cell>
          <cell r="E35">
            <v>1386.21</v>
          </cell>
          <cell r="F35">
            <v>2634.64</v>
          </cell>
          <cell r="G35">
            <v>4217.33</v>
          </cell>
          <cell r="H35">
            <v>7376</v>
          </cell>
          <cell r="I35">
            <v>8100</v>
          </cell>
        </row>
        <row r="36">
          <cell r="C36">
            <v>70.67</v>
          </cell>
          <cell r="D36">
            <v>70.67</v>
          </cell>
          <cell r="E36">
            <v>85.06</v>
          </cell>
          <cell r="F36">
            <v>122.07</v>
          </cell>
          <cell r="G36">
            <v>122.07</v>
          </cell>
        </row>
        <row r="37">
          <cell r="C37">
            <v>91.94</v>
          </cell>
          <cell r="D37">
            <v>124.87</v>
          </cell>
          <cell r="E37">
            <v>203.5</v>
          </cell>
          <cell r="F37">
            <v>1783.1</v>
          </cell>
          <cell r="G37">
            <v>1827.87</v>
          </cell>
          <cell r="H37">
            <v>17472.09</v>
          </cell>
          <cell r="I37">
            <v>31537.48</v>
          </cell>
        </row>
        <row r="38">
          <cell r="H38">
            <v>6314</v>
          </cell>
          <cell r="I38">
            <v>6314</v>
          </cell>
        </row>
        <row r="39">
          <cell r="C39">
            <v>136.24</v>
          </cell>
          <cell r="D39">
            <v>137.25</v>
          </cell>
          <cell r="E39">
            <v>138.36000000000001</v>
          </cell>
          <cell r="F39">
            <v>969.39</v>
          </cell>
          <cell r="G39">
            <v>1108.8800000000001</v>
          </cell>
          <cell r="H39">
            <v>4342.5200000000004</v>
          </cell>
          <cell r="I39">
            <v>4342.5200000000004</v>
          </cell>
        </row>
        <row r="42">
          <cell r="C42">
            <v>33.32</v>
          </cell>
          <cell r="D42">
            <v>105.57</v>
          </cell>
          <cell r="E42">
            <v>266.67</v>
          </cell>
          <cell r="F42">
            <v>2034.65</v>
          </cell>
          <cell r="G42">
            <v>2034.65</v>
          </cell>
          <cell r="H42">
            <v>5622</v>
          </cell>
          <cell r="I42">
            <v>16281</v>
          </cell>
        </row>
        <row r="51">
          <cell r="C51">
            <v>201707</v>
          </cell>
          <cell r="D51">
            <v>3592</v>
          </cell>
          <cell r="E51">
            <v>463</v>
          </cell>
          <cell r="F51">
            <v>7</v>
          </cell>
          <cell r="G51">
            <v>2</v>
          </cell>
          <cell r="H51">
            <v>0</v>
          </cell>
          <cell r="I51">
            <v>0</v>
          </cell>
        </row>
        <row r="52">
          <cell r="C52">
            <v>16902</v>
          </cell>
          <cell r="D52">
            <v>3995</v>
          </cell>
          <cell r="E52">
            <v>5033</v>
          </cell>
          <cell r="F52">
            <v>900</v>
          </cell>
          <cell r="G52">
            <v>919</v>
          </cell>
          <cell r="H52">
            <v>30</v>
          </cell>
          <cell r="I52">
            <v>0</v>
          </cell>
        </row>
        <row r="53">
          <cell r="C53">
            <v>56</v>
          </cell>
          <cell r="D53">
            <v>39</v>
          </cell>
          <cell r="E53">
            <v>133</v>
          </cell>
          <cell r="F53">
            <v>73</v>
          </cell>
          <cell r="G53">
            <v>157</v>
          </cell>
          <cell r="H53">
            <v>39</v>
          </cell>
          <cell r="I53">
            <v>0</v>
          </cell>
        </row>
        <row r="54">
          <cell r="C54">
            <v>0</v>
          </cell>
          <cell r="D54">
            <v>0</v>
          </cell>
          <cell r="E54">
            <v>2</v>
          </cell>
          <cell r="F54">
            <v>2</v>
          </cell>
          <cell r="G54">
            <v>47</v>
          </cell>
          <cell r="H54">
            <v>50</v>
          </cell>
          <cell r="I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</v>
          </cell>
          <cell r="H55">
            <v>6</v>
          </cell>
          <cell r="I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43</v>
          </cell>
          <cell r="H56">
            <v>142</v>
          </cell>
          <cell r="I56">
            <v>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</v>
          </cell>
          <cell r="I57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</sheetNames>
    <sheetDataSet>
      <sheetData sheetId="0">
        <row r="11">
          <cell r="G11">
            <v>2</v>
          </cell>
          <cell r="H11">
            <v>36.78</v>
          </cell>
          <cell r="I11">
            <v>17.930250000000001</v>
          </cell>
          <cell r="M11">
            <v>1</v>
          </cell>
        </row>
        <row r="12">
          <cell r="G12">
            <v>14</v>
          </cell>
          <cell r="H12">
            <v>44.18</v>
          </cell>
          <cell r="I12">
            <v>21.537749999999999</v>
          </cell>
          <cell r="M12">
            <v>0.03</v>
          </cell>
        </row>
        <row r="13">
          <cell r="G13">
            <v>71</v>
          </cell>
          <cell r="H13">
            <v>42.65</v>
          </cell>
          <cell r="I13">
            <v>20.791874999999997</v>
          </cell>
          <cell r="M13" t="str">
            <v>Back-up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Billed Volumes"/>
    </sheetNames>
    <sheetDataSet>
      <sheetData sheetId="0">
        <row r="2">
          <cell r="B2" t="str">
            <v>January 23</v>
          </cell>
          <cell r="C2" t="str">
            <v>February 23</v>
          </cell>
          <cell r="D2" t="str">
            <v>March 23</v>
          </cell>
          <cell r="E2" t="str">
            <v>April 23</v>
          </cell>
          <cell r="F2" t="str">
            <v>May 23</v>
          </cell>
          <cell r="G2" t="str">
            <v>June 23</v>
          </cell>
          <cell r="H2" t="str">
            <v>July 23</v>
          </cell>
          <cell r="I2" t="str">
            <v>August 23</v>
          </cell>
          <cell r="J2" t="str">
            <v>September 23</v>
          </cell>
          <cell r="K2" t="str">
            <v>October 23</v>
          </cell>
          <cell r="L2" t="str">
            <v>November 23</v>
          </cell>
          <cell r="M2" t="str">
            <v>December 23</v>
          </cell>
        </row>
        <row r="3">
          <cell r="A3">
            <v>503</v>
          </cell>
          <cell r="B3">
            <v>24314851</v>
          </cell>
          <cell r="C3">
            <v>18035854</v>
          </cell>
          <cell r="D3">
            <v>21145013</v>
          </cell>
          <cell r="E3">
            <v>13346079</v>
          </cell>
          <cell r="F3">
            <v>9011479</v>
          </cell>
          <cell r="G3">
            <v>4177396</v>
          </cell>
          <cell r="H3">
            <v>3115264</v>
          </cell>
          <cell r="I3">
            <v>2764197</v>
          </cell>
          <cell r="J3">
            <v>2669617</v>
          </cell>
          <cell r="K3">
            <v>4488335</v>
          </cell>
          <cell r="L3">
            <v>9481292</v>
          </cell>
          <cell r="M3">
            <v>17129779</v>
          </cell>
        </row>
        <row r="4">
          <cell r="A4">
            <v>504</v>
          </cell>
          <cell r="B4">
            <v>17497366</v>
          </cell>
          <cell r="C4">
            <v>12889131</v>
          </cell>
          <cell r="D4">
            <v>14820590</v>
          </cell>
          <cell r="E4">
            <v>9539511</v>
          </cell>
          <cell r="F4">
            <v>6739982</v>
          </cell>
          <cell r="G4">
            <v>3568933</v>
          </cell>
          <cell r="H4">
            <v>2800805</v>
          </cell>
          <cell r="I4">
            <v>2712547</v>
          </cell>
          <cell r="J4">
            <v>2578576</v>
          </cell>
          <cell r="K4">
            <v>3743540</v>
          </cell>
          <cell r="L4">
            <v>6631639</v>
          </cell>
          <cell r="M4">
            <v>11998424</v>
          </cell>
        </row>
        <row r="5">
          <cell r="A5">
            <v>505</v>
          </cell>
          <cell r="B5">
            <v>1847894</v>
          </cell>
          <cell r="C5">
            <v>1334925</v>
          </cell>
          <cell r="D5">
            <v>1649201</v>
          </cell>
          <cell r="E5">
            <v>1137710</v>
          </cell>
          <cell r="F5">
            <v>887724</v>
          </cell>
          <cell r="G5">
            <v>539445</v>
          </cell>
          <cell r="H5">
            <v>439676</v>
          </cell>
          <cell r="I5">
            <v>485379</v>
          </cell>
          <cell r="J5">
            <v>534789</v>
          </cell>
          <cell r="K5">
            <v>919554</v>
          </cell>
          <cell r="L5">
            <v>989405</v>
          </cell>
          <cell r="M5">
            <v>1357607</v>
          </cell>
        </row>
        <row r="6">
          <cell r="A6">
            <v>511</v>
          </cell>
          <cell r="B6">
            <v>2373171</v>
          </cell>
          <cell r="C6">
            <v>2051740</v>
          </cell>
          <cell r="D6">
            <v>1995561</v>
          </cell>
          <cell r="E6">
            <v>1342364</v>
          </cell>
          <cell r="F6">
            <v>1152898</v>
          </cell>
          <cell r="G6">
            <v>728842</v>
          </cell>
          <cell r="H6">
            <v>961638</v>
          </cell>
          <cell r="I6">
            <v>970279</v>
          </cell>
          <cell r="J6">
            <v>511089</v>
          </cell>
          <cell r="K6">
            <v>833864</v>
          </cell>
          <cell r="L6">
            <v>1133746</v>
          </cell>
          <cell r="M6">
            <v>1672060</v>
          </cell>
        </row>
        <row r="7">
          <cell r="A7">
            <v>570</v>
          </cell>
          <cell r="B7">
            <v>254735</v>
          </cell>
          <cell r="C7">
            <v>233311</v>
          </cell>
          <cell r="D7">
            <v>244613</v>
          </cell>
          <cell r="E7">
            <v>207895</v>
          </cell>
          <cell r="F7">
            <v>123718</v>
          </cell>
          <cell r="G7">
            <v>98688</v>
          </cell>
          <cell r="H7">
            <v>86202</v>
          </cell>
          <cell r="I7">
            <v>85131</v>
          </cell>
          <cell r="J7">
            <v>107273</v>
          </cell>
          <cell r="K7">
            <v>169608</v>
          </cell>
          <cell r="L7">
            <v>236897</v>
          </cell>
          <cell r="M7">
            <v>249527</v>
          </cell>
        </row>
        <row r="8">
          <cell r="A8">
            <v>663</v>
          </cell>
          <cell r="B8">
            <v>73487045</v>
          </cell>
          <cell r="C8">
            <v>61785704</v>
          </cell>
          <cell r="D8">
            <v>79892808</v>
          </cell>
          <cell r="E8">
            <v>71305689</v>
          </cell>
          <cell r="F8">
            <v>37542909</v>
          </cell>
          <cell r="G8">
            <v>40867560</v>
          </cell>
          <cell r="H8">
            <v>71703139</v>
          </cell>
          <cell r="I8">
            <v>81641857</v>
          </cell>
          <cell r="J8">
            <v>85129383</v>
          </cell>
          <cell r="K8">
            <v>83947162</v>
          </cell>
          <cell r="L8">
            <v>83904330</v>
          </cell>
          <cell r="M8">
            <v>86542553</v>
          </cell>
        </row>
        <row r="9">
          <cell r="A9" t="str">
            <v>Special Contracts</v>
          </cell>
          <cell r="B9">
            <v>8337359</v>
          </cell>
          <cell r="C9">
            <v>8547050</v>
          </cell>
          <cell r="D9">
            <v>18010725</v>
          </cell>
          <cell r="E9">
            <v>16295559</v>
          </cell>
          <cell r="F9">
            <v>3770605</v>
          </cell>
          <cell r="G9">
            <v>14979732</v>
          </cell>
          <cell r="H9">
            <v>23718414</v>
          </cell>
          <cell r="I9">
            <v>20768653</v>
          </cell>
          <cell r="J9">
            <v>22272302</v>
          </cell>
          <cell r="K9">
            <v>7349918</v>
          </cell>
          <cell r="L9">
            <v>18017945</v>
          </cell>
          <cell r="M9">
            <v>20488022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552E-9886-4E8E-BBAE-54E78596B0D1}">
  <sheetPr codeName="Sheet1"/>
  <dimension ref="A1:I23"/>
  <sheetViews>
    <sheetView workbookViewId="0">
      <selection activeCell="D23" sqref="D23"/>
    </sheetView>
  </sheetViews>
  <sheetFormatPr defaultRowHeight="14.6" x14ac:dyDescent="0.4"/>
  <cols>
    <col min="1" max="1" width="5.53515625" customWidth="1"/>
    <col min="2" max="2" width="22.23046875" bestFit="1" customWidth="1"/>
    <col min="3" max="3" width="46.23046875" bestFit="1" customWidth="1"/>
    <col min="4" max="4" width="26.53515625" bestFit="1" customWidth="1"/>
  </cols>
  <sheetData>
    <row r="1" spans="1:9" x14ac:dyDescent="0.4">
      <c r="A1" s="3" t="s">
        <v>632</v>
      </c>
    </row>
    <row r="2" spans="1:9" x14ac:dyDescent="0.4">
      <c r="A2" s="3" t="s">
        <v>633</v>
      </c>
    </row>
    <row r="3" spans="1:9" x14ac:dyDescent="0.4">
      <c r="A3" s="3" t="s">
        <v>634</v>
      </c>
    </row>
    <row r="4" spans="1:9" x14ac:dyDescent="0.4">
      <c r="A4" s="3" t="s">
        <v>52</v>
      </c>
    </row>
    <row r="6" spans="1:9" s="2" customFormat="1" ht="17.149999999999999" x14ac:dyDescent="0.7">
      <c r="A6" s="2" t="s">
        <v>0</v>
      </c>
      <c r="B6" s="2" t="s">
        <v>1</v>
      </c>
      <c r="C6" s="2" t="s">
        <v>2</v>
      </c>
      <c r="I6"/>
    </row>
    <row r="7" spans="1:9" x14ac:dyDescent="0.4">
      <c r="A7" s="1">
        <v>1</v>
      </c>
      <c r="B7" t="s">
        <v>3</v>
      </c>
      <c r="C7" t="str">
        <f>EXTERNAL!A4</f>
        <v>Schedule 2 - External Allocation Factors</v>
      </c>
      <c r="D7" s="4" t="str">
        <f t="shared" ref="D7:D23" si="0">HYPERLINK("#'"&amp;B7&amp;"'!A1","Link to "&amp;B7)</f>
        <v>Link to EXTERNAL</v>
      </c>
    </row>
    <row r="8" spans="1:9" x14ac:dyDescent="0.4">
      <c r="A8" s="1">
        <f t="shared" ref="A8:A23" si="1">A7+1</f>
        <v>2</v>
      </c>
      <c r="B8" t="s">
        <v>185</v>
      </c>
      <c r="C8" t="str" cm="1">
        <f t="array" aca="1" ref="C8" ca="1">INDIRECT("'"&amp;B8&amp;"'!A2")</f>
        <v>Mains Workpaper</v>
      </c>
      <c r="D8" s="4" t="str">
        <f t="shared" si="0"/>
        <v>Link to Mains Workpaper</v>
      </c>
    </row>
    <row r="9" spans="1:9" x14ac:dyDescent="0.4">
      <c r="A9" s="1">
        <f t="shared" si="1"/>
        <v>3</v>
      </c>
      <c r="B9" t="s">
        <v>597</v>
      </c>
      <c r="C9" t="str" cm="1">
        <f t="array" aca="1" ref="C9" ca="1">INDIRECT("'"&amp;B9&amp;"'!A2")</f>
        <v>Intangible Plant</v>
      </c>
      <c r="D9" s="4" t="str">
        <f t="shared" si="0"/>
        <v>Link to Acct303</v>
      </c>
    </row>
    <row r="10" spans="1:9" x14ac:dyDescent="0.4">
      <c r="A10" s="1">
        <f t="shared" si="1"/>
        <v>4</v>
      </c>
      <c r="B10" t="s">
        <v>598</v>
      </c>
      <c r="C10" t="str" cm="1">
        <f t="array" aca="1" ref="C10" ca="1">INDIRECT("'"&amp;B10&amp;"'!A2")</f>
        <v>Special Contracts Direct Plant</v>
      </c>
      <c r="D10" s="4" t="str">
        <f t="shared" si="0"/>
        <v>Link to Spl Contract Direct</v>
      </c>
    </row>
    <row r="11" spans="1:9" x14ac:dyDescent="0.4">
      <c r="A11" s="1">
        <f t="shared" si="1"/>
        <v>5</v>
      </c>
      <c r="B11" t="s">
        <v>48</v>
      </c>
      <c r="C11" t="str" cm="1">
        <f t="array" aca="1" ref="C11" ca="1">INDIRECT("'"&amp;B11&amp;"'!A2")</f>
        <v>Customer Counts</v>
      </c>
      <c r="D11" s="4" t="str">
        <f t="shared" si="0"/>
        <v>Link to Customers</v>
      </c>
    </row>
    <row r="12" spans="1:9" x14ac:dyDescent="0.4">
      <c r="A12" s="1">
        <f t="shared" si="1"/>
        <v>6</v>
      </c>
      <c r="B12" t="s">
        <v>5</v>
      </c>
      <c r="C12" t="str" cm="1">
        <f t="array" aca="1" ref="C12" ca="1">INDIRECT("'"&amp;B12&amp;"'!A2")</f>
        <v>Test Year Volumes</v>
      </c>
      <c r="D12" s="4" t="str">
        <f t="shared" si="0"/>
        <v>Link to Volumes</v>
      </c>
    </row>
    <row r="13" spans="1:9" x14ac:dyDescent="0.4">
      <c r="A13" s="1">
        <f t="shared" si="1"/>
        <v>7</v>
      </c>
      <c r="B13" t="s">
        <v>599</v>
      </c>
      <c r="C13" t="str" cm="1">
        <f t="array" aca="1" ref="C13" ca="1">INDIRECT("'"&amp;B13&amp;"'!A2")</f>
        <v>Gas Supply Costs</v>
      </c>
      <c r="D13" s="4" t="str">
        <f t="shared" si="0"/>
        <v>Link to RJA-4A Gas Supply</v>
      </c>
    </row>
    <row r="14" spans="1:9" x14ac:dyDescent="0.4">
      <c r="A14" s="1">
        <f t="shared" si="1"/>
        <v>8</v>
      </c>
      <c r="B14" t="s">
        <v>6</v>
      </c>
      <c r="C14" t="str" cm="1">
        <f t="array" aca="1" ref="C14" ca="1">INDIRECT("'"&amp;B14&amp;"'!A2")</f>
        <v>Revenues</v>
      </c>
      <c r="D14" s="4" t="str">
        <f t="shared" si="0"/>
        <v>Link to Revenue</v>
      </c>
    </row>
    <row r="15" spans="1:9" x14ac:dyDescent="0.4">
      <c r="A15" s="1">
        <f t="shared" si="1"/>
        <v>9</v>
      </c>
      <c r="B15" t="s">
        <v>7</v>
      </c>
      <c r="C15" t="str" cm="1">
        <f t="array" aca="1" ref="C15" ca="1">INDIRECT("'"&amp;B15&amp;"'!A2")</f>
        <v>Demand Allocation Factors</v>
      </c>
      <c r="D15" s="4" t="str">
        <f t="shared" si="0"/>
        <v>Link to Design Day</v>
      </c>
    </row>
    <row r="16" spans="1:9" x14ac:dyDescent="0.4">
      <c r="A16" s="1">
        <f t="shared" si="1"/>
        <v>10</v>
      </c>
      <c r="B16" t="s">
        <v>600</v>
      </c>
      <c r="C16" t="str" cm="1">
        <f t="array" aca="1" ref="C16" ca="1">INDIRECT("'"&amp;B16&amp;"'!A2")</f>
        <v>Winter Season Allocation Factors</v>
      </c>
      <c r="D16" s="4" t="str">
        <f t="shared" si="0"/>
        <v>Link to Seasonal Vols</v>
      </c>
    </row>
    <row r="17" spans="1:4" x14ac:dyDescent="0.4">
      <c r="A17" s="1">
        <f t="shared" si="1"/>
        <v>11</v>
      </c>
      <c r="B17" t="s">
        <v>601</v>
      </c>
      <c r="C17" t="str" cm="1">
        <f t="array" aca="1" ref="C17" ca="1">INDIRECT("'"&amp;B17&amp;"'!A2")</f>
        <v>Mains Workpaper</v>
      </c>
      <c r="D17" s="4" t="str">
        <f t="shared" si="0"/>
        <v>Link to Mains Allocators</v>
      </c>
    </row>
    <row r="18" spans="1:4" x14ac:dyDescent="0.4">
      <c r="A18" s="1">
        <f t="shared" si="1"/>
        <v>12</v>
      </c>
      <c r="B18" t="s">
        <v>602</v>
      </c>
      <c r="C18" t="str" cm="1">
        <f t="array" aca="1" ref="C18" ca="1">INDIRECT("'"&amp;B18&amp;"'!A2")</f>
        <v>Large Customer Mains</v>
      </c>
      <c r="D18" s="4" t="str">
        <f t="shared" si="0"/>
        <v>Link to Large Cust Mains</v>
      </c>
    </row>
    <row r="19" spans="1:4" x14ac:dyDescent="0.4">
      <c r="A19" s="1">
        <f t="shared" si="1"/>
        <v>13</v>
      </c>
      <c r="B19" t="s">
        <v>8</v>
      </c>
      <c r="C19" t="str" cm="1">
        <f t="array" aca="1" ref="C19" ca="1">INDIRECT("'"&amp;B19&amp;"'!A2")</f>
        <v>Allocation of Meters (Acct. 381)</v>
      </c>
      <c r="D19" s="4" t="str">
        <f t="shared" si="0"/>
        <v>Link to Meter Costs</v>
      </c>
    </row>
    <row r="20" spans="1:4" x14ac:dyDescent="0.4">
      <c r="A20" s="1">
        <f t="shared" si="1"/>
        <v>14</v>
      </c>
      <c r="B20" t="s">
        <v>9</v>
      </c>
      <c r="C20" t="str" cm="1">
        <f t="array" aca="1" ref="C20" ca="1">INDIRECT("'"&amp;B20&amp;"'!A2")</f>
        <v>Allocation of Services (Acct. 380)</v>
      </c>
      <c r="D20" s="4" t="str">
        <f t="shared" si="0"/>
        <v>Link to Service Costs</v>
      </c>
    </row>
    <row r="21" spans="1:4" x14ac:dyDescent="0.4">
      <c r="A21" s="1">
        <f t="shared" si="1"/>
        <v>15</v>
      </c>
      <c r="B21" t="s">
        <v>603</v>
      </c>
      <c r="C21" t="str" cm="1">
        <f t="array" aca="1" ref="C21" ca="1">INDIRECT("'"&amp;B21&amp;"'!A2")</f>
        <v>2023 Net Write-Offs</v>
      </c>
      <c r="D21" s="4" t="str">
        <f t="shared" si="0"/>
        <v>Link to 2023 Net Write Offs</v>
      </c>
    </row>
    <row r="22" spans="1:4" x14ac:dyDescent="0.4">
      <c r="A22" s="1">
        <f t="shared" si="1"/>
        <v>16</v>
      </c>
      <c r="B22" t="s">
        <v>10</v>
      </c>
      <c r="C22" t="str" cm="1">
        <f t="array" aca="1" ref="C22" ca="1">INDIRECT("'"&amp;B22&amp;"'!A2")</f>
        <v>Meter Reading Allocation Study</v>
      </c>
      <c r="D22" s="4" t="str">
        <f t="shared" si="0"/>
        <v>Link to Meter Reading</v>
      </c>
    </row>
    <row r="23" spans="1:4" x14ac:dyDescent="0.4">
      <c r="A23" s="1">
        <f t="shared" si="1"/>
        <v>17</v>
      </c>
      <c r="B23" t="s">
        <v>604</v>
      </c>
      <c r="C23" t="str" cm="1">
        <f t="array" aca="1" ref="C23" ca="1">INDIRECT("'"&amp;B23&amp;"'!A2")</f>
        <v>Industrial M&amp;R Equipment</v>
      </c>
      <c r="D23" s="4" t="str">
        <f t="shared" si="0"/>
        <v>Link to 385Summary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8369-FC5B-474A-B88F-3BA05FF34EF5}">
  <sheetPr codeName="Sheet2"/>
  <dimension ref="A1:K216"/>
  <sheetViews>
    <sheetView tabSelected="1" zoomScaleNormal="100" workbookViewId="0">
      <selection activeCell="O32" sqref="O32"/>
    </sheetView>
  </sheetViews>
  <sheetFormatPr defaultColWidth="9.15234375" defaultRowHeight="14.6" x14ac:dyDescent="0.4"/>
  <cols>
    <col min="1" max="1" width="4.69140625" style="8" customWidth="1"/>
    <col min="2" max="2" width="22.15234375" style="8" customWidth="1"/>
    <col min="3" max="3" width="39.69140625" style="8" bestFit="1" customWidth="1"/>
    <col min="4" max="4" width="15.15234375" style="8" bestFit="1" customWidth="1"/>
    <col min="5" max="11" width="13.69140625" style="8" customWidth="1"/>
    <col min="12" max="16384" width="9.15234375" style="8"/>
  </cols>
  <sheetData>
    <row r="1" spans="1:11" x14ac:dyDescent="0.4">
      <c r="A1" s="77" t="str">
        <f>Contents!A1</f>
        <v>Cascade Natural Gas Corp.</v>
      </c>
    </row>
    <row r="2" spans="1:11" x14ac:dyDescent="0.4">
      <c r="A2" s="77" t="str">
        <f>Contents!A2</f>
        <v>Washington Jurisdiction</v>
      </c>
    </row>
    <row r="3" spans="1:11" x14ac:dyDescent="0.4">
      <c r="A3" s="77" t="str">
        <f>Contents!A3</f>
        <v>Twelve-Months ended December 31, 2023</v>
      </c>
    </row>
    <row r="4" spans="1:11" x14ac:dyDescent="0.4">
      <c r="A4" s="77" t="s">
        <v>631</v>
      </c>
    </row>
    <row r="5" spans="1:11" ht="34.299999999999997" x14ac:dyDescent="0.7">
      <c r="A5" s="45" t="s">
        <v>0</v>
      </c>
      <c r="B5" s="46" t="s">
        <v>11</v>
      </c>
      <c r="C5" s="46" t="s">
        <v>2</v>
      </c>
      <c r="D5" s="45" t="s">
        <v>12</v>
      </c>
      <c r="E5" s="26" t="s">
        <v>113</v>
      </c>
      <c r="F5" s="26" t="s">
        <v>114</v>
      </c>
      <c r="G5" s="26" t="s">
        <v>53</v>
      </c>
      <c r="H5" s="26" t="s">
        <v>54</v>
      </c>
      <c r="I5" s="26" t="s">
        <v>115</v>
      </c>
      <c r="J5" s="26" t="s">
        <v>55</v>
      </c>
      <c r="K5" s="26" t="s">
        <v>56</v>
      </c>
    </row>
    <row r="6" spans="1:11" x14ac:dyDescent="0.4">
      <c r="E6" s="20"/>
      <c r="F6" s="20"/>
      <c r="G6" s="20"/>
      <c r="H6" s="20"/>
      <c r="I6" s="20"/>
      <c r="J6" s="20"/>
      <c r="K6" s="20"/>
    </row>
    <row r="7" spans="1:11" x14ac:dyDescent="0.4">
      <c r="A7" s="20">
        <f>IF(AND(ISBLANK(B7),ISBLANK(C7)),"",MAX(A6:$A$6)+1)</f>
        <v>1</v>
      </c>
      <c r="B7" s="77" t="s">
        <v>13</v>
      </c>
    </row>
    <row r="8" spans="1:11" x14ac:dyDescent="0.4">
      <c r="A8" s="20" t="str">
        <f>IF(AND(ISBLANK(B8),ISBLANK(C8)),"",MAX(A$6:$A7)+1)</f>
        <v/>
      </c>
    </row>
    <row r="9" spans="1:11" x14ac:dyDescent="0.4">
      <c r="A9" s="20">
        <f>IF(AND(ISBLANK(B9),ISBLANK(C9)),"",MAX(A$6:$A8)+1)</f>
        <v>2</v>
      </c>
      <c r="B9" s="78" t="s">
        <v>7</v>
      </c>
      <c r="C9" s="79"/>
      <c r="D9" s="79"/>
      <c r="E9" s="79"/>
      <c r="F9" s="79"/>
      <c r="G9" s="79"/>
      <c r="H9" s="79"/>
      <c r="I9" s="79"/>
      <c r="J9" s="79"/>
      <c r="K9" s="80"/>
    </row>
    <row r="10" spans="1:11" x14ac:dyDescent="0.4">
      <c r="A10" s="20">
        <f>IF(AND(ISBLANK(B10),ISBLANK(C10)),"",MAX(A$6:$A9)+1)</f>
        <v>3</v>
      </c>
      <c r="B10" s="81"/>
      <c r="C10" s="82" t="s">
        <v>14</v>
      </c>
      <c r="D10" s="10">
        <f>SUM(E10:K10)</f>
        <v>5532364.1770833349</v>
      </c>
      <c r="E10" s="10">
        <f>'Design Day'!E8</f>
        <v>1492164</v>
      </c>
      <c r="F10" s="10">
        <f>'Design Day'!F8</f>
        <v>1011683</v>
      </c>
      <c r="G10" s="10">
        <f>'Design Day'!G8</f>
        <v>100565</v>
      </c>
      <c r="H10" s="10">
        <f>'Design Day'!H8</f>
        <v>120491</v>
      </c>
      <c r="I10" s="10">
        <f>'Design Day'!I8</f>
        <v>9982.3333333333339</v>
      </c>
      <c r="J10" s="10">
        <f>'Design Day'!J8</f>
        <v>2202267.544270834</v>
      </c>
      <c r="K10" s="11">
        <f>'Design Day'!K8</f>
        <v>595211.29947916674</v>
      </c>
    </row>
    <row r="11" spans="1:11" x14ac:dyDescent="0.4">
      <c r="A11" s="20">
        <f>IF(AND(ISBLANK(B11),ISBLANK(C11)),"",MAX(A$6:$A10)+1)</f>
        <v>4</v>
      </c>
      <c r="B11" s="83" t="s">
        <v>15</v>
      </c>
      <c r="C11" s="84" t="str">
        <f>C10&amp;" Percent"</f>
        <v>Design Peak Day Percent</v>
      </c>
      <c r="D11" s="24">
        <f>SUM(E11:K11)</f>
        <v>0.99999999999999978</v>
      </c>
      <c r="E11" s="22">
        <f>E10/$D10</f>
        <v>0.26971543308392065</v>
      </c>
      <c r="F11" s="22">
        <f t="shared" ref="F11:K11" si="0">F10/$D10</f>
        <v>0.18286630590782255</v>
      </c>
      <c r="G11" s="22">
        <f t="shared" si="0"/>
        <v>1.8177581370468984E-2</v>
      </c>
      <c r="H11" s="22">
        <f t="shared" si="0"/>
        <v>2.1779296543620329E-2</v>
      </c>
      <c r="I11" s="22">
        <f t="shared" si="0"/>
        <v>1.8043521745518974E-3</v>
      </c>
      <c r="J11" s="22">
        <f t="shared" si="0"/>
        <v>0.39806988003307303</v>
      </c>
      <c r="K11" s="25">
        <f t="shared" si="0"/>
        <v>0.1075871508865424</v>
      </c>
    </row>
    <row r="12" spans="1:11" x14ac:dyDescent="0.4">
      <c r="A12" s="20" t="str">
        <f>IF(AND(ISBLANK(B12),ISBLANK(C12)),"",MAX(A$6:$A11)+1)</f>
        <v/>
      </c>
    </row>
    <row r="13" spans="1:11" x14ac:dyDescent="0.4">
      <c r="A13" s="20">
        <f>IF(AND(ISBLANK(B13),ISBLANK(C13)),"",MAX(A$6:$A12)+1)</f>
        <v>5</v>
      </c>
      <c r="B13" s="78" t="s">
        <v>64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1:11" x14ac:dyDescent="0.4">
      <c r="A14" s="20">
        <f>IF(AND(ISBLANK(B14),ISBLANK(C14)),"",MAX(A$6:$A13)+1)</f>
        <v>6</v>
      </c>
      <c r="B14" s="81"/>
      <c r="C14" s="82" t="s">
        <v>65</v>
      </c>
      <c r="D14" s="10">
        <f>SUM(E14:K14)</f>
        <v>4937152.877604167</v>
      </c>
      <c r="E14" s="10">
        <f>'Mains Allocators'!D21</f>
        <v>1492164</v>
      </c>
      <c r="F14" s="10">
        <f>'Mains Allocators'!E21</f>
        <v>1011683</v>
      </c>
      <c r="G14" s="10">
        <f>'Mains Allocators'!F21</f>
        <v>100565</v>
      </c>
      <c r="H14" s="10">
        <f>'Mains Allocators'!G21</f>
        <v>120491</v>
      </c>
      <c r="I14" s="10">
        <f>'Mains Allocators'!H21</f>
        <v>9982.3333333333339</v>
      </c>
      <c r="J14" s="10">
        <f>'Mains Allocators'!I21</f>
        <v>2202267.5442708335</v>
      </c>
      <c r="K14" s="11">
        <f>'Mains Allocators'!J21</f>
        <v>0</v>
      </c>
    </row>
    <row r="15" spans="1:11" x14ac:dyDescent="0.4">
      <c r="A15" s="20">
        <f>IF(AND(ISBLANK(B15),ISBLANK(C15)),"",MAX(A$6:$A14)+1)</f>
        <v>7</v>
      </c>
      <c r="B15" s="83" t="s">
        <v>57</v>
      </c>
      <c r="C15" s="84" t="str">
        <f>C14&amp;" %"</f>
        <v>Design Peak Day Steel &gt; 6-inch %</v>
      </c>
      <c r="D15" s="24">
        <f>SUM(E15:K15)</f>
        <v>1</v>
      </c>
      <c r="E15" s="22">
        <f>E14/$D14</f>
        <v>0.30223167825503849</v>
      </c>
      <c r="F15" s="22">
        <f t="shared" ref="F15:K15" si="1">F14/$D14</f>
        <v>0.2049122287845653</v>
      </c>
      <c r="G15" s="22">
        <f t="shared" si="1"/>
        <v>2.0369026945910734E-2</v>
      </c>
      <c r="H15" s="22">
        <f t="shared" si="1"/>
        <v>2.4404956254559046E-2</v>
      </c>
      <c r="I15" s="22">
        <f t="shared" si="1"/>
        <v>2.0218805414381705E-3</v>
      </c>
      <c r="J15" s="22">
        <f t="shared" si="1"/>
        <v>0.44606022921848826</v>
      </c>
      <c r="K15" s="25">
        <f t="shared" si="1"/>
        <v>0</v>
      </c>
    </row>
    <row r="16" spans="1:11" x14ac:dyDescent="0.4">
      <c r="A16" s="20" t="str">
        <f>IF(AND(ISBLANK(B16),ISBLANK(C16)),"",MAX(A$6:$A15)+1)</f>
        <v/>
      </c>
    </row>
    <row r="17" spans="1:11" x14ac:dyDescent="0.4">
      <c r="A17" s="20">
        <f>IF(AND(ISBLANK(B17),ISBLANK(C17)),"",MAX(A$6:$A16)+1)</f>
        <v>8</v>
      </c>
      <c r="B17" s="78" t="s">
        <v>66</v>
      </c>
      <c r="C17" s="79"/>
      <c r="D17" s="79"/>
      <c r="E17" s="79"/>
      <c r="F17" s="79"/>
      <c r="G17" s="79"/>
      <c r="H17" s="79"/>
      <c r="I17" s="79"/>
      <c r="J17" s="79"/>
      <c r="K17" s="80"/>
    </row>
    <row r="18" spans="1:11" x14ac:dyDescent="0.4">
      <c r="A18" s="20">
        <f>IF(AND(ISBLANK(B18),ISBLANK(C18)),"",MAX(A$6:$A17)+1)</f>
        <v>9</v>
      </c>
      <c r="B18" s="81"/>
      <c r="C18" s="82" t="s">
        <v>67</v>
      </c>
      <c r="D18" s="10">
        <f>SUM(E18:K18)</f>
        <v>3442417.666666667</v>
      </c>
      <c r="E18" s="10">
        <f>'Mains Allocators'!D22</f>
        <v>1492164</v>
      </c>
      <c r="F18" s="10">
        <f>'Mains Allocators'!E22</f>
        <v>1011683</v>
      </c>
      <c r="G18" s="10">
        <f>'Mains Allocators'!F22</f>
        <v>100565</v>
      </c>
      <c r="H18" s="10">
        <f>'Mains Allocators'!G22</f>
        <v>120491</v>
      </c>
      <c r="I18" s="10">
        <f>'Mains Allocators'!H22</f>
        <v>9982.3333333333339</v>
      </c>
      <c r="J18" s="10">
        <f>'Mains Allocators'!I22</f>
        <v>707532.33333333326</v>
      </c>
      <c r="K18" s="11">
        <f>'Mains Allocators'!J22</f>
        <v>0</v>
      </c>
    </row>
    <row r="19" spans="1:11" x14ac:dyDescent="0.4">
      <c r="A19" s="20">
        <f>IF(AND(ISBLANK(B19),ISBLANK(C19)),"",MAX(A$6:$A18)+1)</f>
        <v>10</v>
      </c>
      <c r="B19" s="83" t="s">
        <v>58</v>
      </c>
      <c r="C19" s="84" t="str">
        <f>C18&amp;" %"</f>
        <v>Design Peak Day Steel 4 to 6-inch %</v>
      </c>
      <c r="D19" s="24">
        <f>SUM(E19:K19)</f>
        <v>0.99999999999999989</v>
      </c>
      <c r="E19" s="22">
        <f>E18/$D18</f>
        <v>0.43346396181056079</v>
      </c>
      <c r="F19" s="22">
        <f t="shared" ref="F19:K19" si="2">F18/$D18</f>
        <v>0.29388734835875518</v>
      </c>
      <c r="G19" s="22">
        <f t="shared" si="2"/>
        <v>2.9213480099693497E-2</v>
      </c>
      <c r="H19" s="22">
        <f t="shared" si="2"/>
        <v>3.5001853832766563E-2</v>
      </c>
      <c r="I19" s="22">
        <f t="shared" si="2"/>
        <v>2.8998030744477742E-3</v>
      </c>
      <c r="J19" s="22">
        <f t="shared" si="2"/>
        <v>0.20553355282377603</v>
      </c>
      <c r="K19" s="25">
        <f t="shared" si="2"/>
        <v>0</v>
      </c>
    </row>
    <row r="20" spans="1:11" x14ac:dyDescent="0.4">
      <c r="A20" s="20" t="str">
        <f>IF(AND(ISBLANK(B20),ISBLANK(C20)),"",MAX(A$6:$A19)+1)</f>
        <v/>
      </c>
    </row>
    <row r="21" spans="1:11" x14ac:dyDescent="0.4">
      <c r="A21" s="20">
        <f>IF(AND(ISBLANK(B21),ISBLANK(C21)),"",MAX(A$6:$A20)+1)</f>
        <v>11</v>
      </c>
      <c r="B21" s="78" t="s">
        <v>68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1:11" x14ac:dyDescent="0.4">
      <c r="A22" s="20">
        <f>IF(AND(ISBLANK(B22),ISBLANK(C22)),"",MAX(A$6:$A21)+1)</f>
        <v>12</v>
      </c>
      <c r="B22" s="81"/>
      <c r="C22" s="82" t="s">
        <v>69</v>
      </c>
      <c r="D22" s="10">
        <f>SUM(E22:K22)</f>
        <v>3272272.3333333335</v>
      </c>
      <c r="E22" s="10">
        <f>'Mains Allocators'!D23</f>
        <v>1492164</v>
      </c>
      <c r="F22" s="10">
        <f>'Mains Allocators'!E23</f>
        <v>1011683</v>
      </c>
      <c r="G22" s="10">
        <f>'Mains Allocators'!F23</f>
        <v>100565</v>
      </c>
      <c r="H22" s="10">
        <f>'Mains Allocators'!G23</f>
        <v>120491</v>
      </c>
      <c r="I22" s="10">
        <f>'Mains Allocators'!H23</f>
        <v>9982.3333333333339</v>
      </c>
      <c r="J22" s="10">
        <f>'Mains Allocators'!I23</f>
        <v>537386.99999999988</v>
      </c>
      <c r="K22" s="11">
        <f>'Mains Allocators'!J23</f>
        <v>0</v>
      </c>
    </row>
    <row r="23" spans="1:11" x14ac:dyDescent="0.4">
      <c r="A23" s="20">
        <f>IF(AND(ISBLANK(B23),ISBLANK(C23)),"",MAX(A$6:$A22)+1)</f>
        <v>13</v>
      </c>
      <c r="B23" s="83" t="s">
        <v>59</v>
      </c>
      <c r="C23" s="84" t="str">
        <f>C22&amp;" %"</f>
        <v>Design Peak Day Steel 2 to 4-inch %</v>
      </c>
      <c r="D23" s="24">
        <f>SUM(E23:K23)</f>
        <v>1</v>
      </c>
      <c r="E23" s="22">
        <f>E22/$D22</f>
        <v>0.45600238855425335</v>
      </c>
      <c r="F23" s="22">
        <f t="shared" ref="F23:K23" si="3">F22/$D22</f>
        <v>0.30916833837281471</v>
      </c>
      <c r="G23" s="22">
        <f t="shared" si="3"/>
        <v>3.0732466541853635E-2</v>
      </c>
      <c r="H23" s="22">
        <f t="shared" si="3"/>
        <v>3.6821813017396572E-2</v>
      </c>
      <c r="I23" s="22">
        <f t="shared" si="3"/>
        <v>3.0505814664773725E-3</v>
      </c>
      <c r="J23" s="22">
        <f t="shared" si="3"/>
        <v>0.16422441204720425</v>
      </c>
      <c r="K23" s="25">
        <f t="shared" si="3"/>
        <v>0</v>
      </c>
    </row>
    <row r="24" spans="1:11" x14ac:dyDescent="0.4">
      <c r="A24" s="20" t="str">
        <f>IF(AND(ISBLANK(B24),ISBLANK(C24)),"",MAX(A$6:$A23)+1)</f>
        <v/>
      </c>
    </row>
    <row r="25" spans="1:11" x14ac:dyDescent="0.4">
      <c r="A25" s="20">
        <f>IF(AND(ISBLANK(B25),ISBLANK(C25)),"",MAX(A$6:$A24)+1)</f>
        <v>14</v>
      </c>
      <c r="B25" s="78" t="s">
        <v>71</v>
      </c>
      <c r="C25" s="79"/>
      <c r="D25" s="79"/>
      <c r="E25" s="79"/>
      <c r="F25" s="79"/>
      <c r="G25" s="79"/>
      <c r="H25" s="79"/>
      <c r="I25" s="79"/>
      <c r="J25" s="79"/>
      <c r="K25" s="80"/>
    </row>
    <row r="26" spans="1:11" x14ac:dyDescent="0.4">
      <c r="A26" s="20">
        <f>IF(AND(ISBLANK(B26),ISBLANK(C26)),"",MAX(A$6:$A25)+1)</f>
        <v>15</v>
      </c>
      <c r="B26" s="81"/>
      <c r="C26" s="82" t="s">
        <v>70</v>
      </c>
      <c r="D26" s="10">
        <f>SUM(E26:K26)</f>
        <v>2972258</v>
      </c>
      <c r="E26" s="10">
        <f>'Mains Allocators'!D24</f>
        <v>1492164</v>
      </c>
      <c r="F26" s="10">
        <f>'Mains Allocators'!E24</f>
        <v>1011683</v>
      </c>
      <c r="G26" s="10">
        <f>'Mains Allocators'!F24</f>
        <v>100565</v>
      </c>
      <c r="H26" s="10">
        <f>'Mains Allocators'!G24</f>
        <v>120491</v>
      </c>
      <c r="I26" s="10">
        <f>'Mains Allocators'!H24</f>
        <v>1696.3333333333335</v>
      </c>
      <c r="J26" s="10">
        <f>'Mains Allocators'!I24</f>
        <v>245658.66666666666</v>
      </c>
      <c r="K26" s="11">
        <f>'Mains Allocators'!J24</f>
        <v>0</v>
      </c>
    </row>
    <row r="27" spans="1:11" x14ac:dyDescent="0.4">
      <c r="A27" s="20">
        <f>IF(AND(ISBLANK(B27),ISBLANK(C27)),"",MAX(A$6:$A26)+1)</f>
        <v>16</v>
      </c>
      <c r="B27" s="83" t="s">
        <v>60</v>
      </c>
      <c r="C27" s="84" t="str">
        <f>C26&amp;" %"</f>
        <v>Design Peak Day Steel 2-inch and less %</v>
      </c>
      <c r="D27" s="24">
        <f>SUM(E27:K27)</f>
        <v>0.99999999999999989</v>
      </c>
      <c r="E27" s="22">
        <f>E26/$D26</f>
        <v>0.50203044284850107</v>
      </c>
      <c r="F27" s="22">
        <f t="shared" ref="F27:K27" si="4">F26/$D26</f>
        <v>0.34037522987573759</v>
      </c>
      <c r="G27" s="22">
        <f t="shared" si="4"/>
        <v>3.3834545991633297E-2</v>
      </c>
      <c r="H27" s="22">
        <f t="shared" si="4"/>
        <v>4.0538540059443025E-2</v>
      </c>
      <c r="I27" s="22">
        <f t="shared" si="4"/>
        <v>5.7072210196198764E-4</v>
      </c>
      <c r="J27" s="22">
        <f t="shared" si="4"/>
        <v>8.2650519122723073E-2</v>
      </c>
      <c r="K27" s="25">
        <f t="shared" si="4"/>
        <v>0</v>
      </c>
    </row>
    <row r="28" spans="1:11" x14ac:dyDescent="0.4">
      <c r="A28" s="20" t="str">
        <f>IF(AND(ISBLANK(B28),ISBLANK(C28)),"",MAX(A$6:$A27)+1)</f>
        <v/>
      </c>
    </row>
    <row r="29" spans="1:11" x14ac:dyDescent="0.4">
      <c r="A29" s="20">
        <f>IF(AND(ISBLANK(B29),ISBLANK(C29)),"",MAX(A$6:$A28)+1)</f>
        <v>17</v>
      </c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80"/>
    </row>
    <row r="30" spans="1:11" x14ac:dyDescent="0.4">
      <c r="A30" s="20">
        <f>IF(AND(ISBLANK(B30),ISBLANK(C30)),"",MAX(A$6:$A29)+1)</f>
        <v>18</v>
      </c>
      <c r="B30" s="81"/>
      <c r="C30" s="82" t="s">
        <v>73</v>
      </c>
      <c r="D30" s="10">
        <f>SUM(E30:K30)</f>
        <v>3127022.3333333335</v>
      </c>
      <c r="E30" s="10">
        <f>'Mains Allocators'!D25</f>
        <v>1492164</v>
      </c>
      <c r="F30" s="10">
        <f>'Mains Allocators'!E25</f>
        <v>1011683</v>
      </c>
      <c r="G30" s="10">
        <f>'Mains Allocators'!F25</f>
        <v>100565</v>
      </c>
      <c r="H30" s="10">
        <f>'Mains Allocators'!G25</f>
        <v>120491</v>
      </c>
      <c r="I30" s="10">
        <f>'Mains Allocators'!H25</f>
        <v>8554</v>
      </c>
      <c r="J30" s="10">
        <f>'Mains Allocators'!I25</f>
        <v>393565.33333333337</v>
      </c>
      <c r="K30" s="11">
        <f>'Mains Allocators'!J25</f>
        <v>0</v>
      </c>
    </row>
    <row r="31" spans="1:11" x14ac:dyDescent="0.4">
      <c r="A31" s="20">
        <f>IF(AND(ISBLANK(B31),ISBLANK(C31)),"",MAX(A$6:$A30)+1)</f>
        <v>19</v>
      </c>
      <c r="B31" s="83" t="s">
        <v>61</v>
      </c>
      <c r="C31" s="84" t="str">
        <f>C30&amp;" %"</f>
        <v>Design Peak Day 6-inch Plastic %</v>
      </c>
      <c r="D31" s="24">
        <f>SUM(E31:K31)</f>
        <v>0.99999999999999989</v>
      </c>
      <c r="E31" s="22">
        <f>E30/$D30</f>
        <v>0.47718367217716279</v>
      </c>
      <c r="F31" s="22">
        <f t="shared" ref="F31:K31" si="5">F30/$D30</f>
        <v>0.32352918916366336</v>
      </c>
      <c r="G31" s="22">
        <f t="shared" si="5"/>
        <v>3.2159987771113882E-2</v>
      </c>
      <c r="H31" s="22">
        <f t="shared" si="5"/>
        <v>3.8532184025548477E-2</v>
      </c>
      <c r="I31" s="22">
        <f t="shared" si="5"/>
        <v>2.7355097240004786E-3</v>
      </c>
      <c r="J31" s="22">
        <f t="shared" si="5"/>
        <v>0.12585945713851102</v>
      </c>
      <c r="K31" s="25">
        <f t="shared" si="5"/>
        <v>0</v>
      </c>
    </row>
    <row r="32" spans="1:11" x14ac:dyDescent="0.4">
      <c r="A32" s="20" t="str">
        <f>IF(AND(ISBLANK(B32),ISBLANK(C32)),"",MAX(A$6:$A31)+1)</f>
        <v/>
      </c>
    </row>
    <row r="33" spans="1:11" x14ac:dyDescent="0.4">
      <c r="A33" s="20">
        <f>IF(AND(ISBLANK(B33),ISBLANK(C33)),"",MAX(A$6:$A32)+1)</f>
        <v>20</v>
      </c>
      <c r="B33" s="78" t="s">
        <v>74</v>
      </c>
      <c r="C33" s="79"/>
      <c r="D33" s="79"/>
      <c r="E33" s="79"/>
      <c r="F33" s="79"/>
      <c r="G33" s="79"/>
      <c r="H33" s="79"/>
      <c r="I33" s="79"/>
      <c r="J33" s="79"/>
      <c r="K33" s="80"/>
    </row>
    <row r="34" spans="1:11" x14ac:dyDescent="0.4">
      <c r="A34" s="20">
        <f>IF(AND(ISBLANK(B34),ISBLANK(C34)),"",MAX(A$6:$A33)+1)</f>
        <v>21</v>
      </c>
      <c r="B34" s="81"/>
      <c r="C34" s="82" t="s">
        <v>75</v>
      </c>
      <c r="D34" s="10">
        <f>SUM(E34:K34)</f>
        <v>2871861.3333333335</v>
      </c>
      <c r="E34" s="10">
        <f>'Mains Allocators'!D26</f>
        <v>1492164</v>
      </c>
      <c r="F34" s="10">
        <f>'Mains Allocators'!E26</f>
        <v>1011683</v>
      </c>
      <c r="G34" s="10">
        <f>'Mains Allocators'!F26</f>
        <v>100565</v>
      </c>
      <c r="H34" s="10">
        <f>'Mains Allocators'!G26</f>
        <v>120491</v>
      </c>
      <c r="I34" s="10">
        <f>'Mains Allocators'!H26</f>
        <v>8554</v>
      </c>
      <c r="J34" s="10">
        <f>'Mains Allocators'!I26</f>
        <v>138404.33333333334</v>
      </c>
      <c r="K34" s="11">
        <f>'Mains Allocators'!J26</f>
        <v>0</v>
      </c>
    </row>
    <row r="35" spans="1:11" x14ac:dyDescent="0.4">
      <c r="A35" s="20">
        <f>IF(AND(ISBLANK(B35),ISBLANK(C35)),"",MAX(A$6:$A34)+1)</f>
        <v>22</v>
      </c>
      <c r="B35" s="83" t="s">
        <v>62</v>
      </c>
      <c r="C35" s="84" t="str">
        <f>C34&amp;" %"</f>
        <v>Design Peak Day 4-inch Plastic %</v>
      </c>
      <c r="D35" s="24">
        <f>SUM(E35:K35)</f>
        <v>0.99999999999999989</v>
      </c>
      <c r="E35" s="22">
        <f>E34/$D34</f>
        <v>0.51958079684441583</v>
      </c>
      <c r="F35" s="22">
        <f t="shared" ref="F35:K35" si="6">F34/$D34</f>
        <v>0.3522743205800094</v>
      </c>
      <c r="G35" s="22">
        <f t="shared" si="6"/>
        <v>3.5017359241114702E-2</v>
      </c>
      <c r="H35" s="22">
        <f t="shared" si="6"/>
        <v>4.1955716524846136E-2</v>
      </c>
      <c r="I35" s="22">
        <f t="shared" si="6"/>
        <v>2.9785560677024329E-3</v>
      </c>
      <c r="J35" s="22">
        <f t="shared" si="6"/>
        <v>4.81932507419114E-2</v>
      </c>
      <c r="K35" s="25">
        <f t="shared" si="6"/>
        <v>0</v>
      </c>
    </row>
    <row r="36" spans="1:11" x14ac:dyDescent="0.4">
      <c r="A36" s="20" t="str">
        <f>IF(AND(ISBLANK(B36),ISBLANK(C36)),"",MAX(A$6:$A35)+1)</f>
        <v/>
      </c>
    </row>
    <row r="37" spans="1:11" x14ac:dyDescent="0.4">
      <c r="A37" s="20">
        <f>IF(AND(ISBLANK(B37),ISBLANK(C37)),"",MAX(A$6:$A36)+1)</f>
        <v>23</v>
      </c>
      <c r="B37" s="78" t="s">
        <v>76</v>
      </c>
      <c r="C37" s="79"/>
      <c r="D37" s="79"/>
      <c r="E37" s="79"/>
      <c r="F37" s="79"/>
      <c r="G37" s="79"/>
      <c r="H37" s="79"/>
      <c r="I37" s="79"/>
      <c r="J37" s="79"/>
      <c r="K37" s="80"/>
    </row>
    <row r="38" spans="1:11" x14ac:dyDescent="0.4">
      <c r="A38" s="20">
        <f>IF(AND(ISBLANK(B38),ISBLANK(C38)),"",MAX(A$6:$A37)+1)</f>
        <v>24</v>
      </c>
      <c r="B38" s="81"/>
      <c r="C38" s="82" t="s">
        <v>77</v>
      </c>
      <c r="D38" s="10">
        <f>SUM(E38:K38)</f>
        <v>2785042</v>
      </c>
      <c r="E38" s="10">
        <f>'Mains Allocators'!D27</f>
        <v>1492164</v>
      </c>
      <c r="F38" s="10">
        <f>'Mains Allocators'!E27</f>
        <v>1011683</v>
      </c>
      <c r="G38" s="10">
        <f>'Mains Allocators'!F27</f>
        <v>100565</v>
      </c>
      <c r="H38" s="10">
        <f>'Mains Allocators'!G27</f>
        <v>120491</v>
      </c>
      <c r="I38" s="10">
        <f>'Mains Allocators'!H27</f>
        <v>479</v>
      </c>
      <c r="J38" s="10">
        <f>'Mains Allocators'!I27</f>
        <v>59660</v>
      </c>
      <c r="K38" s="11">
        <f>'Mains Allocators'!J27</f>
        <v>0</v>
      </c>
    </row>
    <row r="39" spans="1:11" x14ac:dyDescent="0.4">
      <c r="A39" s="20">
        <f>IF(AND(ISBLANK(B39),ISBLANK(C39)),"",MAX(A$6:$A38)+1)</f>
        <v>25</v>
      </c>
      <c r="B39" s="83" t="s">
        <v>63</v>
      </c>
      <c r="C39" s="84" t="str">
        <f>C38&amp;" %"</f>
        <v>Design Peak Day Plastic 2-inch and less %</v>
      </c>
      <c r="D39" s="24">
        <f>SUM(E39:K39)</f>
        <v>0.99999999999999989</v>
      </c>
      <c r="E39" s="22">
        <f>E38/$D38</f>
        <v>0.53577791645511985</v>
      </c>
      <c r="F39" s="22">
        <f t="shared" ref="F39:K39" si="7">F38/$D38</f>
        <v>0.36325592217280744</v>
      </c>
      <c r="G39" s="22">
        <f t="shared" si="7"/>
        <v>3.6108970708520732E-2</v>
      </c>
      <c r="H39" s="22">
        <f t="shared" si="7"/>
        <v>4.3263620440912559E-2</v>
      </c>
      <c r="I39" s="22">
        <f t="shared" si="7"/>
        <v>1.7199022492299937E-4</v>
      </c>
      <c r="J39" s="22">
        <f t="shared" si="7"/>
        <v>2.1421579997716371E-2</v>
      </c>
      <c r="K39" s="25">
        <f t="shared" si="7"/>
        <v>0</v>
      </c>
    </row>
    <row r="40" spans="1:11" x14ac:dyDescent="0.4">
      <c r="A40" s="20" t="str">
        <f>IF(AND(ISBLANK(B40),ISBLANK(C40)),"",MAX(A$6:$A39)+1)</f>
        <v/>
      </c>
    </row>
    <row r="41" spans="1:11" x14ac:dyDescent="0.4">
      <c r="A41" s="20">
        <f>IF(AND(ISBLANK(B41),ISBLANK(C41)),"",MAX(A$6:$A40)+1)</f>
        <v>26</v>
      </c>
      <c r="B41" s="78" t="s">
        <v>530</v>
      </c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4">
      <c r="A42" s="20">
        <f>IF(AND(ISBLANK(B42),ISBLANK(C42)),"",MAX(A$6:$A41)+1)</f>
        <v>27</v>
      </c>
      <c r="B42" s="81"/>
      <c r="C42" s="82" t="s">
        <v>531</v>
      </c>
      <c r="D42" s="10">
        <f>SUM(E42:K42)</f>
        <v>4937152.8776041679</v>
      </c>
      <c r="E42" s="10">
        <f>E10</f>
        <v>1492164</v>
      </c>
      <c r="F42" s="10">
        <f t="shared" ref="F42:J42" si="8">F10</f>
        <v>1011683</v>
      </c>
      <c r="G42" s="10">
        <f t="shared" si="8"/>
        <v>100565</v>
      </c>
      <c r="H42" s="10">
        <f t="shared" si="8"/>
        <v>120491</v>
      </c>
      <c r="I42" s="10">
        <f t="shared" si="8"/>
        <v>9982.3333333333339</v>
      </c>
      <c r="J42" s="10">
        <f t="shared" si="8"/>
        <v>2202267.544270834</v>
      </c>
      <c r="K42" s="11">
        <v>0</v>
      </c>
    </row>
    <row r="43" spans="1:11" x14ac:dyDescent="0.4">
      <c r="A43" s="20">
        <f>IF(AND(ISBLANK(B43),ISBLANK(C43)),"",MAX(A$6:$A42)+1)</f>
        <v>28</v>
      </c>
      <c r="B43" s="83" t="s">
        <v>529</v>
      </c>
      <c r="C43" s="84" t="str">
        <f>C42&amp;" %"</f>
        <v>Design Peak Day Excluding SC %</v>
      </c>
      <c r="D43" s="24">
        <f>SUM(E43:K43)</f>
        <v>1</v>
      </c>
      <c r="E43" s="22">
        <f>E42/$D42</f>
        <v>0.30223167825503844</v>
      </c>
      <c r="F43" s="22">
        <f t="shared" ref="F43:K43" si="9">F42/$D42</f>
        <v>0.20491222878456528</v>
      </c>
      <c r="G43" s="22">
        <f t="shared" si="9"/>
        <v>2.036902694591073E-2</v>
      </c>
      <c r="H43" s="22">
        <f t="shared" si="9"/>
        <v>2.4404956254559039E-2</v>
      </c>
      <c r="I43" s="22">
        <f t="shared" si="9"/>
        <v>2.0218805414381701E-3</v>
      </c>
      <c r="J43" s="22">
        <f t="shared" si="9"/>
        <v>0.44606022921848826</v>
      </c>
      <c r="K43" s="25">
        <f t="shared" si="9"/>
        <v>0</v>
      </c>
    </row>
    <row r="44" spans="1:11" x14ac:dyDescent="0.4">
      <c r="A44" s="20" t="str">
        <f>IF(AND(ISBLANK(B44),ISBLANK(C44)),"",MAX(A$6:$A43)+1)</f>
        <v/>
      </c>
    </row>
    <row r="45" spans="1:11" x14ac:dyDescent="0.4">
      <c r="A45" s="20">
        <f>IF(AND(ISBLANK(B45),ISBLANK(C45)),"",MAX(A$6:$A44)+1)</f>
        <v>29</v>
      </c>
      <c r="B45" s="78" t="s">
        <v>16</v>
      </c>
      <c r="C45" s="79"/>
      <c r="D45" s="79"/>
      <c r="E45" s="79"/>
      <c r="F45" s="79"/>
      <c r="G45" s="79"/>
      <c r="H45" s="79"/>
      <c r="I45" s="79"/>
      <c r="J45" s="79"/>
      <c r="K45" s="80"/>
    </row>
    <row r="46" spans="1:11" x14ac:dyDescent="0.4">
      <c r="A46" s="20">
        <f>IF(AND(ISBLANK(B46),ISBLANK(C46)),"",MAX(A$6:$A45)+1)</f>
        <v>30</v>
      </c>
      <c r="B46" s="81"/>
      <c r="C46" s="82" t="s">
        <v>17</v>
      </c>
      <c r="D46" s="10">
        <f>SUM(E46:K46)</f>
        <v>0.99999999999999978</v>
      </c>
      <c r="E46" s="43">
        <f t="shared" ref="E46:K46" si="10">$D$212*E11+$D$211*E135</f>
        <v>0.18520014770208204</v>
      </c>
      <c r="F46" s="43">
        <f t="shared" si="10"/>
        <v>0.12705534859668663</v>
      </c>
      <c r="G46" s="43">
        <f t="shared" si="10"/>
        <v>1.3806364339820638E-2</v>
      </c>
      <c r="H46" s="43">
        <f t="shared" si="10"/>
        <v>1.7356635485608049E-2</v>
      </c>
      <c r="I46" s="43">
        <f t="shared" si="10"/>
        <v>1.7150109865237909E-3</v>
      </c>
      <c r="J46" s="43">
        <f t="shared" si="10"/>
        <v>0.5303309932488065</v>
      </c>
      <c r="K46" s="44">
        <f t="shared" si="10"/>
        <v>0.12453549964047222</v>
      </c>
    </row>
    <row r="47" spans="1:11" x14ac:dyDescent="0.4">
      <c r="A47" s="20">
        <f>IF(AND(ISBLANK(B47),ISBLANK(C47)),"",MAX(A$6:$A46)+1)</f>
        <v>31</v>
      </c>
      <c r="B47" s="83" t="s">
        <v>630</v>
      </c>
      <c r="C47" s="84" t="str">
        <f>C46&amp;" %"</f>
        <v>Peak &amp; Average (Load Factor Weighted) %</v>
      </c>
      <c r="D47" s="24">
        <f>SUM(E47:K47)</f>
        <v>1</v>
      </c>
      <c r="E47" s="22">
        <f>E46/$D46</f>
        <v>0.18520014770208207</v>
      </c>
      <c r="F47" s="22">
        <f t="shared" ref="F47:K47" si="11">F46/$D46</f>
        <v>0.12705534859668666</v>
      </c>
      <c r="G47" s="22">
        <f t="shared" si="11"/>
        <v>1.3806364339820642E-2</v>
      </c>
      <c r="H47" s="22">
        <f t="shared" si="11"/>
        <v>1.7356635485608052E-2</v>
      </c>
      <c r="I47" s="22">
        <f t="shared" si="11"/>
        <v>1.7150109865237914E-3</v>
      </c>
      <c r="J47" s="22">
        <f>J46/$D46</f>
        <v>0.53033099324880661</v>
      </c>
      <c r="K47" s="25">
        <f t="shared" si="11"/>
        <v>0.12453549964047225</v>
      </c>
    </row>
    <row r="48" spans="1:11" x14ac:dyDescent="0.4">
      <c r="A48" s="20" t="str">
        <f>IF(AND(ISBLANK(B48),ISBLANK(C48)),"",MAX(A$6:$A47)+1)</f>
        <v/>
      </c>
    </row>
    <row r="49" spans="1:11" x14ac:dyDescent="0.4">
      <c r="A49" s="20">
        <f>IF(AND(ISBLANK(B49),ISBLANK(C49)),"",MAX(A$6:$A48)+1)</f>
        <v>32</v>
      </c>
      <c r="B49" s="78" t="s">
        <v>606</v>
      </c>
      <c r="C49" s="79"/>
      <c r="D49" s="79"/>
      <c r="E49" s="79"/>
      <c r="F49" s="79"/>
      <c r="G49" s="79"/>
      <c r="H49" s="79"/>
      <c r="I49" s="79"/>
      <c r="J49" s="79"/>
      <c r="K49" s="80"/>
    </row>
    <row r="50" spans="1:11" x14ac:dyDescent="0.4">
      <c r="A50" s="20">
        <f>IF(AND(ISBLANK(B50),ISBLANK(C50)),"",MAX(A$6:$A49)+1)</f>
        <v>33</v>
      </c>
      <c r="B50" s="81"/>
      <c r="C50" s="82" t="s">
        <v>607</v>
      </c>
      <c r="D50" s="10">
        <f>SUM(E50:K50)</f>
        <v>1</v>
      </c>
      <c r="E50" s="43">
        <f t="shared" ref="E50:K50" si="12">$D$212*E15+$D$211*E139</f>
        <v>0.20975472561319716</v>
      </c>
      <c r="F50" s="43">
        <f t="shared" si="12"/>
        <v>0.14394886391849096</v>
      </c>
      <c r="G50" s="43">
        <f t="shared" si="12"/>
        <v>1.5679545390250498E-2</v>
      </c>
      <c r="H50" s="43">
        <f t="shared" si="12"/>
        <v>1.9735227746146118E-2</v>
      </c>
      <c r="I50" s="43">
        <f t="shared" si="12"/>
        <v>1.9577307274014403E-3</v>
      </c>
      <c r="J50" s="43">
        <f t="shared" si="12"/>
        <v>0.60892390660451379</v>
      </c>
      <c r="K50" s="44">
        <f t="shared" si="12"/>
        <v>0</v>
      </c>
    </row>
    <row r="51" spans="1:11" x14ac:dyDescent="0.4">
      <c r="A51" s="20">
        <f>IF(AND(ISBLANK(B51),ISBLANK(C51)),"",MAX(A$6:$A50)+1)</f>
        <v>34</v>
      </c>
      <c r="B51" s="83" t="s">
        <v>622</v>
      </c>
      <c r="C51" s="84" t="str">
        <f>C50&amp;" %"</f>
        <v>Peak &amp; Average Steel &gt; 6-inch %</v>
      </c>
      <c r="D51" s="24">
        <f>SUM(E51:K51)</f>
        <v>1</v>
      </c>
      <c r="E51" s="22">
        <f>E50/$D50</f>
        <v>0.20975472561319716</v>
      </c>
      <c r="F51" s="22">
        <f t="shared" ref="F51:K51" si="13">F50/$D50</f>
        <v>0.14394886391849096</v>
      </c>
      <c r="G51" s="22">
        <f t="shared" si="13"/>
        <v>1.5679545390250498E-2</v>
      </c>
      <c r="H51" s="22">
        <f t="shared" si="13"/>
        <v>1.9735227746146118E-2</v>
      </c>
      <c r="I51" s="22">
        <f t="shared" si="13"/>
        <v>1.9577307274014403E-3</v>
      </c>
      <c r="J51" s="22">
        <f t="shared" si="13"/>
        <v>0.60892390660451379</v>
      </c>
      <c r="K51" s="25">
        <f t="shared" si="13"/>
        <v>0</v>
      </c>
    </row>
    <row r="52" spans="1:11" x14ac:dyDescent="0.4">
      <c r="A52" s="20" t="str">
        <f>IF(AND(ISBLANK(B52),ISBLANK(C52)),"",MAX(A$6:$A51)+1)</f>
        <v/>
      </c>
    </row>
    <row r="53" spans="1:11" x14ac:dyDescent="0.4">
      <c r="A53" s="20">
        <f>IF(AND(ISBLANK(B53),ISBLANK(C53)),"",MAX(A$6:$A52)+1)</f>
        <v>35</v>
      </c>
      <c r="B53" s="78" t="s">
        <v>608</v>
      </c>
      <c r="C53" s="79"/>
      <c r="D53" s="79"/>
      <c r="E53" s="79"/>
      <c r="F53" s="79"/>
      <c r="G53" s="79"/>
      <c r="H53" s="79"/>
      <c r="I53" s="79"/>
      <c r="J53" s="79"/>
      <c r="K53" s="80"/>
    </row>
    <row r="54" spans="1:11" x14ac:dyDescent="0.4">
      <c r="A54" s="20">
        <f>IF(AND(ISBLANK(B54),ISBLANK(C54)),"",MAX(A$6:$A53)+1)</f>
        <v>36</v>
      </c>
      <c r="B54" s="81"/>
      <c r="C54" s="82" t="s">
        <v>609</v>
      </c>
      <c r="D54" s="10">
        <f>SUM(E54:K54)</f>
        <v>1</v>
      </c>
      <c r="E54" s="43">
        <f t="shared" ref="E54:K54" si="14">$D$212*E19+$D$211*E143</f>
        <v>0.32385400697694167</v>
      </c>
      <c r="F54" s="43">
        <f t="shared" si="14"/>
        <v>0.22274298864311662</v>
      </c>
      <c r="G54" s="43">
        <f t="shared" si="14"/>
        <v>2.4645111983339553E-2</v>
      </c>
      <c r="H54" s="43">
        <f t="shared" si="14"/>
        <v>3.1261819208575917E-2</v>
      </c>
      <c r="I54" s="43">
        <f t="shared" si="14"/>
        <v>3.1795065495888279E-3</v>
      </c>
      <c r="J54" s="43">
        <f t="shared" si="14"/>
        <v>0.39431656663843734</v>
      </c>
      <c r="K54" s="44">
        <f t="shared" si="14"/>
        <v>0</v>
      </c>
    </row>
    <row r="55" spans="1:11" x14ac:dyDescent="0.4">
      <c r="A55" s="20">
        <f>IF(AND(ISBLANK(B55),ISBLANK(C55)),"",MAX(A$6:$A54)+1)</f>
        <v>37</v>
      </c>
      <c r="B55" s="83" t="s">
        <v>623</v>
      </c>
      <c r="C55" s="84" t="str">
        <f>C54&amp;" %"</f>
        <v>Peak &amp; Average Steel 4 to 6-inch %</v>
      </c>
      <c r="D55" s="24">
        <f>SUM(E55:K55)</f>
        <v>1</v>
      </c>
      <c r="E55" s="22">
        <f>E54/$D54</f>
        <v>0.32385400697694167</v>
      </c>
      <c r="F55" s="22">
        <f t="shared" ref="F55:K55" si="15">F54/$D54</f>
        <v>0.22274298864311662</v>
      </c>
      <c r="G55" s="22">
        <f t="shared" si="15"/>
        <v>2.4645111983339553E-2</v>
      </c>
      <c r="H55" s="22">
        <f t="shared" si="15"/>
        <v>3.1261819208575917E-2</v>
      </c>
      <c r="I55" s="22">
        <f t="shared" si="15"/>
        <v>3.1795065495888279E-3</v>
      </c>
      <c r="J55" s="22">
        <f t="shared" si="15"/>
        <v>0.39431656663843734</v>
      </c>
      <c r="K55" s="25">
        <f t="shared" si="15"/>
        <v>0</v>
      </c>
    </row>
    <row r="56" spans="1:11" x14ac:dyDescent="0.4">
      <c r="A56" s="20" t="str">
        <f>IF(AND(ISBLANK(B56),ISBLANK(C56)),"",MAX(A$6:$A55)+1)</f>
        <v/>
      </c>
    </row>
    <row r="57" spans="1:11" x14ac:dyDescent="0.4">
      <c r="A57" s="20">
        <f>IF(AND(ISBLANK(B57),ISBLANK(C57)),"",MAX(A$6:$A56)+1)</f>
        <v>38</v>
      </c>
      <c r="B57" s="78" t="s">
        <v>610</v>
      </c>
      <c r="C57" s="79"/>
      <c r="D57" s="79"/>
      <c r="E57" s="79"/>
      <c r="F57" s="79"/>
      <c r="G57" s="79"/>
      <c r="H57" s="79"/>
      <c r="I57" s="79"/>
      <c r="J57" s="79"/>
      <c r="K57" s="80"/>
    </row>
    <row r="58" spans="1:11" x14ac:dyDescent="0.4">
      <c r="A58" s="20">
        <f>IF(AND(ISBLANK(B58),ISBLANK(C58)),"",MAX(A$6:$A57)+1)</f>
        <v>39</v>
      </c>
      <c r="B58" s="81"/>
      <c r="C58" s="82" t="s">
        <v>611</v>
      </c>
      <c r="D58" s="10">
        <f>SUM(E58:K58)</f>
        <v>1</v>
      </c>
      <c r="E58" s="43">
        <f t="shared" ref="E58:K58" si="16">$D$212*E23+$D$211*E147</f>
        <v>0.34342208446055128</v>
      </c>
      <c r="F58" s="43">
        <f t="shared" si="16"/>
        <v>0.23625574198550098</v>
      </c>
      <c r="G58" s="43">
        <f t="shared" si="16"/>
        <v>2.6182289193739113E-2</v>
      </c>
      <c r="H58" s="43">
        <f t="shared" si="16"/>
        <v>3.3237870638564357E-2</v>
      </c>
      <c r="I58" s="43">
        <f t="shared" si="16"/>
        <v>3.3888901955876028E-3</v>
      </c>
      <c r="J58" s="43">
        <f t="shared" si="16"/>
        <v>0.35751312352605663</v>
      </c>
      <c r="K58" s="44">
        <f t="shared" si="16"/>
        <v>0</v>
      </c>
    </row>
    <row r="59" spans="1:11" x14ac:dyDescent="0.4">
      <c r="A59" s="20">
        <f>IF(AND(ISBLANK(B59),ISBLANK(C59)),"",MAX(A$6:$A58)+1)</f>
        <v>40</v>
      </c>
      <c r="B59" s="83" t="s">
        <v>624</v>
      </c>
      <c r="C59" s="84" t="str">
        <f>C58&amp;" %"</f>
        <v>Peak &amp; Average Steel 2 to 4-inch %</v>
      </c>
      <c r="D59" s="24">
        <f>SUM(E59:K59)</f>
        <v>1</v>
      </c>
      <c r="E59" s="22">
        <f>E58/$D58</f>
        <v>0.34342208446055128</v>
      </c>
      <c r="F59" s="22">
        <f t="shared" ref="F59:K59" si="17">F58/$D58</f>
        <v>0.23625574198550098</v>
      </c>
      <c r="G59" s="22">
        <f t="shared" si="17"/>
        <v>2.6182289193739113E-2</v>
      </c>
      <c r="H59" s="22">
        <f t="shared" si="17"/>
        <v>3.3237870638564357E-2</v>
      </c>
      <c r="I59" s="22">
        <f t="shared" si="17"/>
        <v>3.3888901955876028E-3</v>
      </c>
      <c r="J59" s="22">
        <f t="shared" si="17"/>
        <v>0.35751312352605663</v>
      </c>
      <c r="K59" s="25">
        <f t="shared" si="17"/>
        <v>0</v>
      </c>
    </row>
    <row r="60" spans="1:11" x14ac:dyDescent="0.4">
      <c r="A60" s="20" t="str">
        <f>IF(AND(ISBLANK(B60),ISBLANK(C60)),"",MAX(A$6:$A59)+1)</f>
        <v/>
      </c>
    </row>
    <row r="61" spans="1:11" x14ac:dyDescent="0.4">
      <c r="A61" s="20">
        <f>IF(AND(ISBLANK(B61),ISBLANK(C61)),"",MAX(A$6:$A60)+1)</f>
        <v>41</v>
      </c>
      <c r="B61" s="78" t="s">
        <v>612</v>
      </c>
      <c r="C61" s="79"/>
      <c r="D61" s="79"/>
      <c r="E61" s="79"/>
      <c r="F61" s="79"/>
      <c r="G61" s="79"/>
      <c r="H61" s="79"/>
      <c r="I61" s="79"/>
      <c r="J61" s="79"/>
      <c r="K61" s="80"/>
    </row>
    <row r="62" spans="1:11" x14ac:dyDescent="0.4">
      <c r="A62" s="20">
        <f>IF(AND(ISBLANK(B62),ISBLANK(C62)),"",MAX(A$6:$A61)+1)</f>
        <v>42</v>
      </c>
      <c r="B62" s="81"/>
      <c r="C62" s="82" t="s">
        <v>613</v>
      </c>
      <c r="D62" s="10">
        <f>SUM(E62:K62)</f>
        <v>1</v>
      </c>
      <c r="E62" s="43">
        <f t="shared" ref="E62:K62" si="18">$D$212*E27+$D$211*E151</f>
        <v>0.38684057261505478</v>
      </c>
      <c r="F62" s="43">
        <f t="shared" si="18"/>
        <v>0.26629734031005525</v>
      </c>
      <c r="G62" s="43">
        <f t="shared" si="18"/>
        <v>2.9645424649132633E-2</v>
      </c>
      <c r="H62" s="43">
        <f t="shared" si="18"/>
        <v>3.7717390615449986E-2</v>
      </c>
      <c r="I62" s="43">
        <f t="shared" si="18"/>
        <v>6.5433911068269921E-4</v>
      </c>
      <c r="J62" s="43">
        <f t="shared" si="18"/>
        <v>0.27884493269962474</v>
      </c>
      <c r="K62" s="44">
        <f t="shared" si="18"/>
        <v>0</v>
      </c>
    </row>
    <row r="63" spans="1:11" x14ac:dyDescent="0.4">
      <c r="A63" s="20">
        <f>IF(AND(ISBLANK(B63),ISBLANK(C63)),"",MAX(A$6:$A62)+1)</f>
        <v>43</v>
      </c>
      <c r="B63" s="83" t="s">
        <v>625</v>
      </c>
      <c r="C63" s="84" t="str">
        <f>C62&amp;" %"</f>
        <v>Peak &amp; Average Steel 2-inch and less %</v>
      </c>
      <c r="D63" s="24">
        <f>SUM(E63:K63)</f>
        <v>1</v>
      </c>
      <c r="E63" s="22">
        <f>E62/$D62</f>
        <v>0.38684057261505478</v>
      </c>
      <c r="F63" s="22">
        <f t="shared" ref="F63:K63" si="19">F62/$D62</f>
        <v>0.26629734031005525</v>
      </c>
      <c r="G63" s="22">
        <f t="shared" si="19"/>
        <v>2.9645424649132633E-2</v>
      </c>
      <c r="H63" s="22">
        <f t="shared" si="19"/>
        <v>3.7717390615449986E-2</v>
      </c>
      <c r="I63" s="22">
        <f t="shared" si="19"/>
        <v>6.5433911068269921E-4</v>
      </c>
      <c r="J63" s="22">
        <f t="shared" si="19"/>
        <v>0.27884493269962474</v>
      </c>
      <c r="K63" s="25">
        <f t="shared" si="19"/>
        <v>0</v>
      </c>
    </row>
    <row r="64" spans="1:11" x14ac:dyDescent="0.4">
      <c r="A64" s="20" t="str">
        <f>IF(AND(ISBLANK(B64),ISBLANK(C64)),"",MAX(A$6:$A63)+1)</f>
        <v/>
      </c>
    </row>
    <row r="65" spans="1:11" x14ac:dyDescent="0.4">
      <c r="A65" s="20">
        <f>IF(AND(ISBLANK(B65),ISBLANK(C65)),"",MAX(A$6:$A64)+1)</f>
        <v>44</v>
      </c>
      <c r="B65" s="78" t="s">
        <v>614</v>
      </c>
      <c r="C65" s="79"/>
      <c r="D65" s="79"/>
      <c r="E65" s="79"/>
      <c r="F65" s="79"/>
      <c r="G65" s="79"/>
      <c r="H65" s="79"/>
      <c r="I65" s="79"/>
      <c r="J65" s="79"/>
      <c r="K65" s="80"/>
    </row>
    <row r="66" spans="1:11" x14ac:dyDescent="0.4">
      <c r="A66" s="20">
        <f>IF(AND(ISBLANK(B66),ISBLANK(C66)),"",MAX(A$6:$A65)+1)</f>
        <v>45</v>
      </c>
      <c r="B66" s="81"/>
      <c r="C66" s="82" t="s">
        <v>615</v>
      </c>
      <c r="D66" s="10">
        <f>SUM(E66:K66)</f>
        <v>0.99999999999999989</v>
      </c>
      <c r="E66" s="43">
        <f t="shared" ref="E66:K66" si="20">$D$212*E31+$D$211*E155</f>
        <v>0.40731263759564706</v>
      </c>
      <c r="F66" s="43">
        <f t="shared" si="20"/>
        <v>0.28115106960474412</v>
      </c>
      <c r="G66" s="43">
        <f t="shared" si="20"/>
        <v>3.1890768014417412E-2</v>
      </c>
      <c r="H66" s="43">
        <f t="shared" si="20"/>
        <v>4.0939961170532391E-2</v>
      </c>
      <c r="I66" s="43">
        <f t="shared" si="20"/>
        <v>3.7493979478758713E-3</v>
      </c>
      <c r="J66" s="43">
        <f t="shared" si="20"/>
        <v>0.23495616566678312</v>
      </c>
      <c r="K66" s="44">
        <f t="shared" si="20"/>
        <v>0</v>
      </c>
    </row>
    <row r="67" spans="1:11" x14ac:dyDescent="0.4">
      <c r="A67" s="20">
        <f>IF(AND(ISBLANK(B67),ISBLANK(C67)),"",MAX(A$6:$A66)+1)</f>
        <v>46</v>
      </c>
      <c r="B67" s="83" t="s">
        <v>626</v>
      </c>
      <c r="C67" s="84" t="str">
        <f>C66&amp;" %"</f>
        <v>Peak &amp; Average 6-inch Plastic %</v>
      </c>
      <c r="D67" s="24">
        <f>SUM(E67:K67)</f>
        <v>1.0000000000000002</v>
      </c>
      <c r="E67" s="22">
        <f>E66/$D66</f>
        <v>0.40731263759564712</v>
      </c>
      <c r="F67" s="22">
        <f t="shared" ref="F67:K67" si="21">F66/$D66</f>
        <v>0.28115106960474417</v>
      </c>
      <c r="G67" s="22">
        <f t="shared" si="21"/>
        <v>3.1890768014417419E-2</v>
      </c>
      <c r="H67" s="22">
        <f t="shared" si="21"/>
        <v>4.0939961170532398E-2</v>
      </c>
      <c r="I67" s="22">
        <f t="shared" si="21"/>
        <v>3.7493979478758718E-3</v>
      </c>
      <c r="J67" s="22">
        <f t="shared" si="21"/>
        <v>0.23495616566678315</v>
      </c>
      <c r="K67" s="25">
        <f t="shared" si="21"/>
        <v>0</v>
      </c>
    </row>
    <row r="68" spans="1:11" x14ac:dyDescent="0.4">
      <c r="A68" s="20" t="str">
        <f>IF(AND(ISBLANK(B68),ISBLANK(C68)),"",MAX(A$6:$A67)+1)</f>
        <v/>
      </c>
    </row>
    <row r="69" spans="1:11" x14ac:dyDescent="0.4">
      <c r="A69" s="20">
        <f>IF(AND(ISBLANK(B69),ISBLANK(C69)),"",MAX(A$6:$A68)+1)</f>
        <v>47</v>
      </c>
      <c r="B69" s="78" t="s">
        <v>616</v>
      </c>
      <c r="C69" s="79"/>
      <c r="D69" s="79"/>
      <c r="E69" s="79"/>
      <c r="F69" s="79"/>
      <c r="G69" s="79"/>
      <c r="H69" s="79"/>
      <c r="I69" s="79"/>
      <c r="J69" s="79"/>
      <c r="K69" s="80"/>
    </row>
    <row r="70" spans="1:11" x14ac:dyDescent="0.4">
      <c r="A70" s="20">
        <f>IF(AND(ISBLANK(B70),ISBLANK(C70)),"",MAX(A$6:$A69)+1)</f>
        <v>48</v>
      </c>
      <c r="B70" s="81"/>
      <c r="C70" s="82" t="s">
        <v>617</v>
      </c>
      <c r="D70" s="10">
        <f>SUM(E70:K70)</f>
        <v>1</v>
      </c>
      <c r="E70" s="43">
        <f t="shared" ref="E70:K70" si="22">$D$212*E35+$D$211*E159</f>
        <v>0.48065245270868995</v>
      </c>
      <c r="F70" s="43">
        <f t="shared" si="22"/>
        <v>0.33241867325139252</v>
      </c>
      <c r="G70" s="43">
        <f t="shared" si="22"/>
        <v>3.8205594421625605E-2</v>
      </c>
      <c r="H70" s="43">
        <f t="shared" si="22"/>
        <v>4.9349791205845109E-2</v>
      </c>
      <c r="I70" s="43">
        <f t="shared" si="22"/>
        <v>4.6069409410041317E-3</v>
      </c>
      <c r="J70" s="43">
        <f t="shared" si="22"/>
        <v>9.4766547471442697E-2</v>
      </c>
      <c r="K70" s="44">
        <f t="shared" si="22"/>
        <v>0</v>
      </c>
    </row>
    <row r="71" spans="1:11" x14ac:dyDescent="0.4">
      <c r="A71" s="20">
        <f>IF(AND(ISBLANK(B71),ISBLANK(C71)),"",MAX(A$6:$A70)+1)</f>
        <v>49</v>
      </c>
      <c r="B71" s="83" t="s">
        <v>627</v>
      </c>
      <c r="C71" s="84" t="str">
        <f>C70&amp;" %"</f>
        <v>Peak &amp; Average 4-inch Plastic %</v>
      </c>
      <c r="D71" s="24">
        <f>SUM(E71:K71)</f>
        <v>1</v>
      </c>
      <c r="E71" s="22">
        <f>E70/$D70</f>
        <v>0.48065245270868995</v>
      </c>
      <c r="F71" s="22">
        <f t="shared" ref="F71:K71" si="23">F70/$D70</f>
        <v>0.33241867325139252</v>
      </c>
      <c r="G71" s="22">
        <f t="shared" si="23"/>
        <v>3.8205594421625605E-2</v>
      </c>
      <c r="H71" s="22">
        <f t="shared" si="23"/>
        <v>4.9349791205845109E-2</v>
      </c>
      <c r="I71" s="22">
        <f t="shared" si="23"/>
        <v>4.6069409410041317E-3</v>
      </c>
      <c r="J71" s="22">
        <f t="shared" si="23"/>
        <v>9.4766547471442697E-2</v>
      </c>
      <c r="K71" s="25">
        <f t="shared" si="23"/>
        <v>0</v>
      </c>
    </row>
    <row r="72" spans="1:11" x14ac:dyDescent="0.4">
      <c r="A72" s="20" t="str">
        <f>IF(AND(ISBLANK(B72),ISBLANK(C72)),"",MAX(A$6:$A71)+1)</f>
        <v/>
      </c>
    </row>
    <row r="73" spans="1:11" x14ac:dyDescent="0.4">
      <c r="A73" s="20">
        <f>IF(AND(ISBLANK(B73),ISBLANK(C73)),"",MAX(A$6:$A72)+1)</f>
        <v>50</v>
      </c>
      <c r="B73" s="78" t="s">
        <v>618</v>
      </c>
      <c r="C73" s="79"/>
      <c r="D73" s="79"/>
      <c r="E73" s="79"/>
      <c r="F73" s="79"/>
      <c r="G73" s="79"/>
      <c r="H73" s="79"/>
      <c r="I73" s="79"/>
      <c r="J73" s="79"/>
      <c r="K73" s="80"/>
    </row>
    <row r="74" spans="1:11" x14ac:dyDescent="0.4">
      <c r="A74" s="20">
        <f>IF(AND(ISBLANK(B74),ISBLANK(C74)),"",MAX(A$6:$A73)+1)</f>
        <v>51</v>
      </c>
      <c r="B74" s="81"/>
      <c r="C74" s="82" t="s">
        <v>619</v>
      </c>
      <c r="D74" s="10">
        <f>SUM(E74:K74)</f>
        <v>0.99999999999999989</v>
      </c>
      <c r="E74" s="43">
        <f t="shared" ref="E74:K74" si="24">$D$212*E39+$D$211*E163</f>
        <v>0.51040489694777924</v>
      </c>
      <c r="F74" s="43">
        <f t="shared" si="24"/>
        <v>0.3532317159409416</v>
      </c>
      <c r="G74" s="43">
        <f t="shared" si="24"/>
        <v>4.0780578968706488E-2</v>
      </c>
      <c r="H74" s="43">
        <f t="shared" si="24"/>
        <v>5.2785400516035849E-2</v>
      </c>
      <c r="I74" s="43">
        <f t="shared" si="24"/>
        <v>3.4335088162345466E-4</v>
      </c>
      <c r="J74" s="43">
        <f t="shared" si="24"/>
        <v>4.2454056744913315E-2</v>
      </c>
      <c r="K74" s="44">
        <f t="shared" si="24"/>
        <v>0</v>
      </c>
    </row>
    <row r="75" spans="1:11" x14ac:dyDescent="0.4">
      <c r="A75" s="20">
        <f>IF(AND(ISBLANK(B75),ISBLANK(C75)),"",MAX(A$6:$A74)+1)</f>
        <v>52</v>
      </c>
      <c r="B75" s="83" t="s">
        <v>628</v>
      </c>
      <c r="C75" s="84" t="str">
        <f>C74&amp;" %"</f>
        <v>Peak &amp; Average Plastic 2-inch and less %</v>
      </c>
      <c r="D75" s="24">
        <f>SUM(E75:K75)</f>
        <v>1</v>
      </c>
      <c r="E75" s="22">
        <f>E74/$D74</f>
        <v>0.51040489694777935</v>
      </c>
      <c r="F75" s="22">
        <f t="shared" ref="F75:K75" si="25">F74/$D74</f>
        <v>0.35323171594094166</v>
      </c>
      <c r="G75" s="22">
        <f t="shared" si="25"/>
        <v>4.0780578968706495E-2</v>
      </c>
      <c r="H75" s="22">
        <f t="shared" si="25"/>
        <v>5.2785400516035856E-2</v>
      </c>
      <c r="I75" s="22">
        <f t="shared" si="25"/>
        <v>3.4335088162345471E-4</v>
      </c>
      <c r="J75" s="22">
        <f t="shared" si="25"/>
        <v>4.2454056744913322E-2</v>
      </c>
      <c r="K75" s="25">
        <f t="shared" si="25"/>
        <v>0</v>
      </c>
    </row>
    <row r="76" spans="1:11" x14ac:dyDescent="0.4">
      <c r="A76" s="20" t="str">
        <f>IF(AND(ISBLANK(B76),ISBLANK(C76)),"",MAX(A$6:$A75)+1)</f>
        <v/>
      </c>
    </row>
    <row r="77" spans="1:11" x14ac:dyDescent="0.4">
      <c r="A77" s="20">
        <f>IF(AND(ISBLANK(B77),ISBLANK(C77)),"",MAX(A$6:$A76)+1)</f>
        <v>53</v>
      </c>
      <c r="B77" s="78" t="s">
        <v>620</v>
      </c>
      <c r="C77" s="79"/>
      <c r="D77" s="79"/>
      <c r="E77" s="79"/>
      <c r="F77" s="79"/>
      <c r="G77" s="79"/>
      <c r="H77" s="79"/>
      <c r="I77" s="79"/>
      <c r="J77" s="79"/>
      <c r="K77" s="80"/>
    </row>
    <row r="78" spans="1:11" x14ac:dyDescent="0.4">
      <c r="A78" s="20">
        <f>IF(AND(ISBLANK(B78),ISBLANK(C78)),"",MAX(A$6:$A77)+1)</f>
        <v>54</v>
      </c>
      <c r="B78" s="81"/>
      <c r="C78" s="82" t="s">
        <v>621</v>
      </c>
      <c r="D78" s="10">
        <f>SUM(E78:K78)</f>
        <v>1</v>
      </c>
      <c r="E78" s="43">
        <f t="shared" ref="E78:K78" si="26">$D$212*E43+$D$211*E167</f>
        <v>0.20975472561319713</v>
      </c>
      <c r="F78" s="43">
        <f t="shared" si="26"/>
        <v>0.14394886391849093</v>
      </c>
      <c r="G78" s="43">
        <f t="shared" si="26"/>
        <v>1.5679545390250495E-2</v>
      </c>
      <c r="H78" s="43">
        <f t="shared" si="26"/>
        <v>1.9735227746146118E-2</v>
      </c>
      <c r="I78" s="43">
        <f t="shared" si="26"/>
        <v>1.9577307274014403E-3</v>
      </c>
      <c r="J78" s="43">
        <f t="shared" si="26"/>
        <v>0.60892390660451379</v>
      </c>
      <c r="K78" s="44">
        <f t="shared" si="26"/>
        <v>0</v>
      </c>
    </row>
    <row r="79" spans="1:11" x14ac:dyDescent="0.4">
      <c r="A79" s="20">
        <f>IF(AND(ISBLANK(B79),ISBLANK(C79)),"",MAX(A$6:$A78)+1)</f>
        <v>55</v>
      </c>
      <c r="B79" s="83" t="s">
        <v>629</v>
      </c>
      <c r="C79" s="84" t="str">
        <f>C78&amp;" %"</f>
        <v>Peak &amp; Average Excluding SC %</v>
      </c>
      <c r="D79" s="24">
        <f>SUM(E79:K79)</f>
        <v>1</v>
      </c>
      <c r="E79" s="22">
        <f>E78/$D78</f>
        <v>0.20975472561319713</v>
      </c>
      <c r="F79" s="22">
        <f t="shared" ref="F79:K79" si="27">F78/$D78</f>
        <v>0.14394886391849093</v>
      </c>
      <c r="G79" s="22">
        <f t="shared" si="27"/>
        <v>1.5679545390250495E-2</v>
      </c>
      <c r="H79" s="22">
        <f t="shared" si="27"/>
        <v>1.9735227746146118E-2</v>
      </c>
      <c r="I79" s="22">
        <f t="shared" si="27"/>
        <v>1.9577307274014403E-3</v>
      </c>
      <c r="J79" s="22">
        <f t="shared" si="27"/>
        <v>0.60892390660451379</v>
      </c>
      <c r="K79" s="25">
        <f t="shared" si="27"/>
        <v>0</v>
      </c>
    </row>
    <row r="80" spans="1:11" x14ac:dyDescent="0.4">
      <c r="A80" s="20" t="str">
        <f>IF(AND(ISBLANK(B80),ISBLANK(C80)),"",MAX(A$6:$A79)+1)</f>
        <v/>
      </c>
    </row>
    <row r="81" spans="1:11" x14ac:dyDescent="0.4">
      <c r="A81" s="20" t="str">
        <f>IF(AND(ISBLANK(B81),ISBLANK(C81)),"",MAX(A$6:$A80)+1)</f>
        <v/>
      </c>
    </row>
    <row r="82" spans="1:11" x14ac:dyDescent="0.4">
      <c r="A82" s="20">
        <f>IF(AND(ISBLANK(B82),ISBLANK(C82)),"",MAX(A$6:$A81)+1)</f>
        <v>56</v>
      </c>
      <c r="B82" s="77" t="s">
        <v>18</v>
      </c>
    </row>
    <row r="83" spans="1:11" x14ac:dyDescent="0.4">
      <c r="A83" s="20" t="str">
        <f>IF(AND(ISBLANK(B83),ISBLANK(C83)),"",MAX(A$6:$A82)+1)</f>
        <v/>
      </c>
    </row>
    <row r="84" spans="1:11" x14ac:dyDescent="0.4">
      <c r="A84" s="20">
        <f>IF(AND(ISBLANK(B84),ISBLANK(C84)),"",MAX(A$6:$A83)+1)</f>
        <v>57</v>
      </c>
      <c r="B84" s="78" t="s">
        <v>4</v>
      </c>
      <c r="C84" s="79"/>
      <c r="D84" s="79"/>
      <c r="E84" s="79"/>
      <c r="F84" s="79"/>
      <c r="G84" s="79"/>
      <c r="H84" s="79"/>
      <c r="I84" s="79"/>
      <c r="J84" s="79"/>
      <c r="K84" s="80"/>
    </row>
    <row r="85" spans="1:11" x14ac:dyDescent="0.4">
      <c r="A85" s="20">
        <f>IF(AND(ISBLANK(B85),ISBLANK(C85)),"",MAX(A$6:$A84)+1)</f>
        <v>58</v>
      </c>
      <c r="B85" s="81"/>
      <c r="C85" s="82" t="s">
        <v>101</v>
      </c>
      <c r="D85" s="10">
        <f>SUM(E85:K85)</f>
        <v>231538.5</v>
      </c>
      <c r="E85" s="48">
        <f>Customers!E10</f>
        <v>203232.75</v>
      </c>
      <c r="F85" s="48">
        <f>Customers!F10</f>
        <v>27506.916666666668</v>
      </c>
      <c r="G85" s="48">
        <f>Customers!G10</f>
        <v>491.75</v>
      </c>
      <c r="H85" s="48">
        <f>Customers!H10</f>
        <v>99.333333333333329</v>
      </c>
      <c r="I85" s="48">
        <f>Customers!I10</f>
        <v>7</v>
      </c>
      <c r="J85" s="48">
        <f>Customers!J10</f>
        <v>193.75</v>
      </c>
      <c r="K85" s="49">
        <f>Customers!K10</f>
        <v>7</v>
      </c>
    </row>
    <row r="86" spans="1:11" x14ac:dyDescent="0.4">
      <c r="A86" s="20">
        <f>IF(AND(ISBLANK(B86),ISBLANK(C86)),"",MAX(A$6:$A85)+1)</f>
        <v>59</v>
      </c>
      <c r="B86" s="81"/>
      <c r="C86" s="82" t="s">
        <v>100</v>
      </c>
      <c r="D86" s="10">
        <f>SUM(E86:K86)</f>
        <v>232973</v>
      </c>
      <c r="E86" s="10">
        <f>Customers!E14</f>
        <v>204516</v>
      </c>
      <c r="F86" s="10">
        <f>Customers!F14</f>
        <v>27656</v>
      </c>
      <c r="G86" s="10">
        <f>Customers!G14</f>
        <v>495</v>
      </c>
      <c r="H86" s="10">
        <f>Customers!H14</f>
        <v>99</v>
      </c>
      <c r="I86" s="10">
        <f>Customers!I14</f>
        <v>7</v>
      </c>
      <c r="J86" s="10">
        <f>Customers!J14</f>
        <v>193</v>
      </c>
      <c r="K86" s="11">
        <f>Customers!K14</f>
        <v>7</v>
      </c>
    </row>
    <row r="87" spans="1:11" x14ac:dyDescent="0.4">
      <c r="A87" s="20">
        <f>IF(AND(ISBLANK(B87),ISBLANK(C87)),"",MAX(A$6:$A86)+1)</f>
        <v>60</v>
      </c>
      <c r="B87" s="83" t="s">
        <v>19</v>
      </c>
      <c r="C87" s="84" t="str">
        <f>C86&amp;" Percent"</f>
        <v>2023 Pro Forma Customer Count Percent</v>
      </c>
      <c r="D87" s="24">
        <f>SUM(E87:K87)</f>
        <v>1</v>
      </c>
      <c r="E87" s="22">
        <f>E86/$D86</f>
        <v>0.87785279839294683</v>
      </c>
      <c r="F87" s="22">
        <f t="shared" ref="F87" si="28">F86/$D86</f>
        <v>0.11870903495254814</v>
      </c>
      <c r="G87" s="22">
        <f t="shared" ref="G87" si="29">G86/$D86</f>
        <v>2.1247097303120962E-3</v>
      </c>
      <c r="H87" s="22">
        <f t="shared" ref="H87:J87" si="30">H86/$D86</f>
        <v>4.2494194606241924E-4</v>
      </c>
      <c r="I87" s="22">
        <f t="shared" si="30"/>
        <v>3.0046400226635704E-5</v>
      </c>
      <c r="J87" s="22">
        <f t="shared" si="30"/>
        <v>8.2842217767724162E-4</v>
      </c>
      <c r="K87" s="25">
        <f t="shared" ref="K87" si="31">K86/$D86</f>
        <v>3.0046400226635704E-5</v>
      </c>
    </row>
    <row r="88" spans="1:11" x14ac:dyDescent="0.4">
      <c r="A88" s="20" t="str">
        <f>IF(AND(ISBLANK(B88),ISBLANK(C88)),"",MAX(A$6:$A87)+1)</f>
        <v/>
      </c>
    </row>
    <row r="89" spans="1:11" x14ac:dyDescent="0.4">
      <c r="A89" s="20">
        <f>IF(AND(ISBLANK(B89),ISBLANK(C89)),"",MAX(A$6:$A88)+1)</f>
        <v>61</v>
      </c>
      <c r="B89" s="78" t="s">
        <v>91</v>
      </c>
      <c r="C89" s="79"/>
      <c r="D89" s="79"/>
      <c r="E89" s="79"/>
      <c r="F89" s="79"/>
      <c r="G89" s="79"/>
      <c r="H89" s="79"/>
      <c r="I89" s="79"/>
      <c r="J89" s="79"/>
      <c r="K89" s="80"/>
    </row>
    <row r="90" spans="1:11" x14ac:dyDescent="0.4">
      <c r="A90" s="20">
        <f>IF(AND(ISBLANK(B90),ISBLANK(C90)),"",MAX(A$6:$A89)+1)</f>
        <v>62</v>
      </c>
      <c r="B90" s="81"/>
      <c r="C90" s="82" t="s">
        <v>93</v>
      </c>
      <c r="D90" s="10">
        <f>SUM(E90:K90)</f>
        <v>207</v>
      </c>
      <c r="E90" s="10"/>
      <c r="F90" s="10"/>
      <c r="G90" s="10"/>
      <c r="H90" s="10"/>
      <c r="I90" s="10">
        <f>I86</f>
        <v>7</v>
      </c>
      <c r="J90" s="10">
        <f t="shared" ref="J90:K90" si="32">J86</f>
        <v>193</v>
      </c>
      <c r="K90" s="11">
        <f t="shared" si="32"/>
        <v>7</v>
      </c>
    </row>
    <row r="91" spans="1:11" x14ac:dyDescent="0.4">
      <c r="A91" s="20">
        <f>IF(AND(ISBLANK(B91),ISBLANK(C91)),"",MAX(A$6:$A90)+1)</f>
        <v>63</v>
      </c>
      <c r="B91" s="83" t="s">
        <v>92</v>
      </c>
      <c r="C91" s="84" t="str">
        <f>C90&amp;" %"</f>
        <v>Customer Count for Large Customers %</v>
      </c>
      <c r="D91" s="24">
        <f>SUM(E91:K91)</f>
        <v>1</v>
      </c>
      <c r="E91" s="22">
        <f>E90/$D90</f>
        <v>0</v>
      </c>
      <c r="F91" s="22">
        <f t="shared" ref="F91" si="33">F90/$D90</f>
        <v>0</v>
      </c>
      <c r="G91" s="22">
        <f t="shared" ref="G91" si="34">G90/$D90</f>
        <v>0</v>
      </c>
      <c r="H91" s="22">
        <f t="shared" ref="H91" si="35">H90/$D90</f>
        <v>0</v>
      </c>
      <c r="I91" s="22">
        <f t="shared" ref="I91:K91" si="36">I90/$D90</f>
        <v>3.3816425120772944E-2</v>
      </c>
      <c r="J91" s="22">
        <f t="shared" si="36"/>
        <v>0.93236714975845414</v>
      </c>
      <c r="K91" s="25">
        <f t="shared" si="36"/>
        <v>3.3816425120772944E-2</v>
      </c>
    </row>
    <row r="92" spans="1:11" x14ac:dyDescent="0.4">
      <c r="A92" s="20" t="str">
        <f>IF(AND(ISBLANK(B92),ISBLANK(C92)),"",MAX(A$6:$A91)+1)</f>
        <v/>
      </c>
    </row>
    <row r="93" spans="1:11" x14ac:dyDescent="0.4">
      <c r="A93" s="20">
        <f>IF(AND(ISBLANK(B93),ISBLANK(C93)),"",MAX(A$6:$A92)+1)</f>
        <v>64</v>
      </c>
      <c r="B93" s="78" t="s">
        <v>20</v>
      </c>
      <c r="C93" s="79"/>
      <c r="D93" s="79"/>
      <c r="E93" s="79"/>
      <c r="F93" s="79"/>
      <c r="G93" s="79"/>
      <c r="H93" s="79"/>
      <c r="I93" s="79"/>
      <c r="J93" s="79"/>
      <c r="K93" s="80"/>
    </row>
    <row r="94" spans="1:11" x14ac:dyDescent="0.4">
      <c r="A94" s="20">
        <f>IF(AND(ISBLANK(B94),ISBLANK(C94)),"",MAX(A$6:$A93)+1)</f>
        <v>65</v>
      </c>
      <c r="B94" s="81"/>
      <c r="C94" s="82" t="s">
        <v>184</v>
      </c>
      <c r="D94" s="10">
        <f>SUM(E94:K94)</f>
        <v>131601402.39999999</v>
      </c>
      <c r="E94" s="10">
        <f>'Meter Costs'!E10</f>
        <v>88548191.070000008</v>
      </c>
      <c r="F94" s="10">
        <f>'Meter Costs'!F10</f>
        <v>31368987.629999999</v>
      </c>
      <c r="G94" s="10">
        <f>'Meter Costs'!G10</f>
        <v>3217200.7800000003</v>
      </c>
      <c r="H94" s="10">
        <f>'Meter Costs'!H10</f>
        <v>2131854.21</v>
      </c>
      <c r="I94" s="10">
        <f>'Meter Costs'!I10</f>
        <v>220303.81</v>
      </c>
      <c r="J94" s="10">
        <f>'Meter Costs'!J10</f>
        <v>5756881.0700000003</v>
      </c>
      <c r="K94" s="11">
        <f>'Meter Costs'!K10</f>
        <v>357983.83</v>
      </c>
    </row>
    <row r="95" spans="1:11" x14ac:dyDescent="0.4">
      <c r="A95" s="20">
        <f>IF(AND(ISBLANK(B95),ISBLANK(C95)),"",MAX(A$6:$A94)+1)</f>
        <v>66</v>
      </c>
      <c r="B95" s="83" t="s">
        <v>22</v>
      </c>
      <c r="C95" s="84" t="str">
        <f>C94&amp;" Percent"</f>
        <v>Meters Replacement Cost Percent</v>
      </c>
      <c r="D95" s="24">
        <f>SUM(E95:K95)</f>
        <v>1</v>
      </c>
      <c r="E95" s="22">
        <f>E94/$D94</f>
        <v>0.67285142449211477</v>
      </c>
      <c r="F95" s="22">
        <f t="shared" ref="F95" si="37">F94/$D94</f>
        <v>0.23836362727088994</v>
      </c>
      <c r="G95" s="22">
        <f t="shared" ref="G95" si="38">G94/$D94</f>
        <v>2.4446553922133588E-2</v>
      </c>
      <c r="H95" s="22">
        <f t="shared" ref="H95" si="39">H94/$D94</f>
        <v>1.6199327447288664E-2</v>
      </c>
      <c r="I95" s="22">
        <f t="shared" ref="I95" si="40">I94/$D94</f>
        <v>1.6740232701349998E-3</v>
      </c>
      <c r="J95" s="22">
        <f>J94/$D94</f>
        <v>4.3744830716180884E-2</v>
      </c>
      <c r="K95" s="25">
        <f t="shared" ref="K95" si="41">K94/$D94</f>
        <v>2.7202128812572595E-3</v>
      </c>
    </row>
    <row r="96" spans="1:11" x14ac:dyDescent="0.4">
      <c r="A96" s="20" t="str">
        <f>IF(AND(ISBLANK(B96),ISBLANK(C96)),"",MAX(A$6:$A95)+1)</f>
        <v/>
      </c>
    </row>
    <row r="97" spans="1:11" x14ac:dyDescent="0.4">
      <c r="A97" s="20">
        <f>IF(AND(ISBLANK(B97),ISBLANK(C97)),"",MAX(A$6:$A96)+1)</f>
        <v>67</v>
      </c>
      <c r="B97" s="78" t="s">
        <v>95</v>
      </c>
      <c r="C97" s="79"/>
      <c r="D97" s="79"/>
      <c r="E97" s="79"/>
      <c r="F97" s="79"/>
      <c r="G97" s="79"/>
      <c r="H97" s="79"/>
      <c r="I97" s="79"/>
      <c r="J97" s="79"/>
      <c r="K97" s="80"/>
    </row>
    <row r="98" spans="1:11" x14ac:dyDescent="0.4">
      <c r="A98" s="20">
        <f>IF(AND(ISBLANK(B98),ISBLANK(C98)),"",MAX(A$6:$A97)+1)</f>
        <v>68</v>
      </c>
      <c r="B98" s="81"/>
      <c r="C98" s="82" t="s">
        <v>183</v>
      </c>
      <c r="D98" s="10">
        <f>SUM(E98:K98)</f>
        <v>15698738.539999999</v>
      </c>
      <c r="E98" s="10">
        <f>'Meter Costs'!E11</f>
        <v>7241864.7400000002</v>
      </c>
      <c r="F98" s="10">
        <f>'Meter Costs'!F11</f>
        <v>6196765.25</v>
      </c>
      <c r="G98" s="10">
        <f>'Meter Costs'!G11</f>
        <v>728677.76</v>
      </c>
      <c r="H98" s="10">
        <f>'Meter Costs'!H11</f>
        <v>381331.19</v>
      </c>
      <c r="I98" s="10">
        <f>'Meter Costs'!I11</f>
        <v>35766.65</v>
      </c>
      <c r="J98" s="10">
        <f>'Meter Costs'!J11</f>
        <v>1016061.95</v>
      </c>
      <c r="K98" s="11">
        <f>'Meter Costs'!K11</f>
        <v>98271</v>
      </c>
    </row>
    <row r="99" spans="1:11" x14ac:dyDescent="0.4">
      <c r="A99" s="20">
        <f>IF(AND(ISBLANK(B99),ISBLANK(C99)),"",MAX(A$6:$A98)+1)</f>
        <v>69</v>
      </c>
      <c r="B99" s="83" t="s">
        <v>94</v>
      </c>
      <c r="C99" s="84" t="str">
        <f>C98&amp;" Percent"</f>
        <v>House Regulators - Acct 383 Percent</v>
      </c>
      <c r="D99" s="24">
        <f>SUM(E99:K99)</f>
        <v>0.99999999999999989</v>
      </c>
      <c r="E99" s="22">
        <f>E98/$D98</f>
        <v>0.46130233467790466</v>
      </c>
      <c r="F99" s="22">
        <f t="shared" ref="F99:K99" si="42">F98/$D98</f>
        <v>0.3947301392535964</v>
      </c>
      <c r="G99" s="22">
        <f t="shared" si="42"/>
        <v>4.6416325626632164E-2</v>
      </c>
      <c r="H99" s="22">
        <f t="shared" si="42"/>
        <v>2.4290562520573072E-2</v>
      </c>
      <c r="I99" s="22">
        <f t="shared" si="42"/>
        <v>2.2783136306695892E-3</v>
      </c>
      <c r="J99" s="22">
        <f t="shared" si="42"/>
        <v>6.4722521966405086E-2</v>
      </c>
      <c r="K99" s="25">
        <f t="shared" si="42"/>
        <v>6.259802324219103E-3</v>
      </c>
    </row>
    <row r="100" spans="1:11" x14ac:dyDescent="0.4">
      <c r="A100" s="20" t="str">
        <f>IF(AND(ISBLANK(B100),ISBLANK(C100)),"",MAX(A$6:$A99)+1)</f>
        <v/>
      </c>
    </row>
    <row r="101" spans="1:11" x14ac:dyDescent="0.4">
      <c r="A101" s="20">
        <f>IF(AND(ISBLANK(B101),ISBLANK(C101)),"",MAX(A$6:$A100)+1)</f>
        <v>70</v>
      </c>
      <c r="B101" s="78" t="s">
        <v>23</v>
      </c>
      <c r="C101" s="79"/>
      <c r="D101" s="79"/>
      <c r="E101" s="79"/>
      <c r="F101" s="79"/>
      <c r="G101" s="79"/>
      <c r="H101" s="79"/>
      <c r="I101" s="79"/>
      <c r="J101" s="79"/>
      <c r="K101" s="80"/>
    </row>
    <row r="102" spans="1:11" x14ac:dyDescent="0.4">
      <c r="A102" s="20">
        <f>IF(AND(ISBLANK(B102),ISBLANK(C102)),"",MAX(A$6:$A101)+1)</f>
        <v>71</v>
      </c>
      <c r="B102" s="81"/>
      <c r="C102" s="82" t="s">
        <v>260</v>
      </c>
      <c r="D102" s="10">
        <f>SUM(E102:K102)</f>
        <v>234968861.97783476</v>
      </c>
      <c r="E102" s="10">
        <f>'Service Costs'!E12</f>
        <v>206164472.52252471</v>
      </c>
      <c r="F102" s="10">
        <f>'Service Costs'!F12</f>
        <v>27878917.307608906</v>
      </c>
      <c r="G102" s="10">
        <f>'Service Costs'!G12</f>
        <v>771226.78975095751</v>
      </c>
      <c r="H102" s="10">
        <f>'Service Costs'!H12</f>
        <v>154245.35795019151</v>
      </c>
      <c r="I102" s="10"/>
      <c r="J102" s="10"/>
      <c r="K102" s="11"/>
    </row>
    <row r="103" spans="1:11" x14ac:dyDescent="0.4">
      <c r="A103" s="20">
        <f>IF(AND(ISBLANK(B103),ISBLANK(C103)),"",MAX(A$6:$A102)+1)</f>
        <v>72</v>
      </c>
      <c r="B103" s="83" t="s">
        <v>24</v>
      </c>
      <c r="C103" s="84" t="str">
        <f>C102&amp;" %"</f>
        <v>Services Cost %</v>
      </c>
      <c r="D103" s="24">
        <f>SUM(E103:K103)</f>
        <v>1</v>
      </c>
      <c r="E103" s="22">
        <f>E102/$D102</f>
        <v>0.87741188678001414</v>
      </c>
      <c r="F103" s="22">
        <f t="shared" ref="F103" si="43">F102/$D102</f>
        <v>0.11864941198140032</v>
      </c>
      <c r="G103" s="22">
        <f t="shared" ref="G103" si="44">G102/$D102</f>
        <v>3.2822510321546751E-3</v>
      </c>
      <c r="H103" s="22">
        <f t="shared" ref="H103" si="45">H102/$D102</f>
        <v>6.56450206430935E-4</v>
      </c>
      <c r="I103" s="22">
        <f t="shared" ref="I103:J103" si="46">I102/$D102</f>
        <v>0</v>
      </c>
      <c r="J103" s="22">
        <f t="shared" si="46"/>
        <v>0</v>
      </c>
      <c r="K103" s="25">
        <f t="shared" ref="K103" si="47">K102/$D102</f>
        <v>0</v>
      </c>
    </row>
    <row r="104" spans="1:11" x14ac:dyDescent="0.4">
      <c r="A104" s="20" t="str">
        <f>IF(AND(ISBLANK(B104),ISBLANK(C104)),"",MAX(A$6:$A103)+1)</f>
        <v/>
      </c>
    </row>
    <row r="105" spans="1:11" x14ac:dyDescent="0.4">
      <c r="A105" s="20">
        <f>IF(AND(ISBLANK(B105),ISBLANK(C105)),"",MAX(A$6:$A104)+1)</f>
        <v>73</v>
      </c>
      <c r="B105" s="78" t="s">
        <v>25</v>
      </c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x14ac:dyDescent="0.4">
      <c r="A106" s="20">
        <f>IF(AND(ISBLANK(B106),ISBLANK(C106)),"",MAX(A$6:$A105)+1)</f>
        <v>74</v>
      </c>
      <c r="B106" s="81"/>
      <c r="C106" s="82" t="s">
        <v>26</v>
      </c>
      <c r="D106" s="10">
        <f>SUM(E106:K106)</f>
        <v>3979265.8160795462</v>
      </c>
      <c r="E106" s="10"/>
      <c r="F106" s="10">
        <f>'385Summary'!G33</f>
        <v>1532401.3990514772</v>
      </c>
      <c r="G106" s="10">
        <f>'385Summary'!H33</f>
        <v>297807.76942795439</v>
      </c>
      <c r="H106" s="10">
        <f>'385Summary'!I33</f>
        <v>90198.296249999999</v>
      </c>
      <c r="I106" s="10">
        <f>'385Summary'!J33</f>
        <v>5898.46</v>
      </c>
      <c r="J106" s="10">
        <f>'385Summary'!K33</f>
        <v>1150375.5413501144</v>
      </c>
      <c r="K106" s="11">
        <f>'385Summary'!L33</f>
        <v>902584.35</v>
      </c>
    </row>
    <row r="107" spans="1:11" x14ac:dyDescent="0.4">
      <c r="A107" s="20">
        <f>IF(AND(ISBLANK(B107),ISBLANK(C107)),"",MAX(A$6:$A106)+1)</f>
        <v>75</v>
      </c>
      <c r="B107" s="83" t="s">
        <v>27</v>
      </c>
      <c r="C107" s="84" t="str">
        <f>C106&amp;" Percent"</f>
        <v>Industrial M&amp;R Costs Percent</v>
      </c>
      <c r="D107" s="24">
        <f>SUM(E107:K107)</f>
        <v>0.99999999999999978</v>
      </c>
      <c r="E107" s="22">
        <f>E106/$D106</f>
        <v>0</v>
      </c>
      <c r="F107" s="22">
        <f t="shared" ref="F107:K107" si="48">F106/$D106</f>
        <v>0.38509651525648275</v>
      </c>
      <c r="G107" s="22">
        <f t="shared" si="48"/>
        <v>7.483987830734079E-2</v>
      </c>
      <c r="H107" s="22">
        <f t="shared" si="48"/>
        <v>2.2667069861360807E-2</v>
      </c>
      <c r="I107" s="22">
        <f t="shared" si="48"/>
        <v>1.4822985627563033E-3</v>
      </c>
      <c r="J107" s="22">
        <f t="shared" si="48"/>
        <v>0.28909240913277007</v>
      </c>
      <c r="K107" s="25">
        <f t="shared" si="48"/>
        <v>0.2268218288792892</v>
      </c>
    </row>
    <row r="108" spans="1:11" x14ac:dyDescent="0.4">
      <c r="A108" s="20" t="str">
        <f>IF(AND(ISBLANK(B108),ISBLANK(C108)),"",MAX(A$6:$A107)+1)</f>
        <v/>
      </c>
    </row>
    <row r="109" spans="1:11" x14ac:dyDescent="0.4">
      <c r="A109" s="20">
        <f>IF(AND(ISBLANK(B109),ISBLANK(C109)),"",MAX(A$6:$A108)+1)</f>
        <v>76</v>
      </c>
      <c r="B109" s="78" t="s">
        <v>28</v>
      </c>
      <c r="C109" s="79"/>
      <c r="D109" s="79"/>
      <c r="E109" s="79"/>
      <c r="F109" s="79"/>
      <c r="G109" s="79"/>
      <c r="H109" s="79"/>
      <c r="I109" s="79"/>
      <c r="J109" s="79"/>
      <c r="K109" s="80"/>
    </row>
    <row r="110" spans="1:11" x14ac:dyDescent="0.4">
      <c r="A110" s="20">
        <f>IF(AND(ISBLANK(B110),ISBLANK(C110)),"",MAX(A$6:$A109)+1)</f>
        <v>77</v>
      </c>
      <c r="B110" s="81"/>
      <c r="C110" s="8" t="s">
        <v>51</v>
      </c>
      <c r="D110" s="10">
        <f>SUM(E110:K110)</f>
        <v>2476281.1600000006</v>
      </c>
      <c r="E110" s="10">
        <f>'2023 Net Write Offs'!E8</f>
        <v>1896199.4000000004</v>
      </c>
      <c r="F110" s="10">
        <f>'2023 Net Write Offs'!F8</f>
        <v>506348.79</v>
      </c>
      <c r="G110" s="10">
        <f>'2023 Net Write Offs'!G8</f>
        <v>73732.970000000016</v>
      </c>
      <c r="H110" s="10">
        <f>'2023 Net Write Offs'!H8</f>
        <v>0</v>
      </c>
      <c r="I110" s="10">
        <f>'2023 Net Write Offs'!I8</f>
        <v>0</v>
      </c>
      <c r="J110" s="10">
        <f>'2023 Net Write Offs'!J8</f>
        <v>0</v>
      </c>
      <c r="K110" s="11">
        <f>'2023 Net Write Offs'!K8</f>
        <v>0</v>
      </c>
    </row>
    <row r="111" spans="1:11" x14ac:dyDescent="0.4">
      <c r="A111" s="20">
        <f>IF(AND(ISBLANK(B111),ISBLANK(C111)),"",MAX(A$6:$A110)+1)</f>
        <v>78</v>
      </c>
      <c r="B111" s="83" t="s">
        <v>49</v>
      </c>
      <c r="C111" s="84" t="str">
        <f>C110&amp;" Percent"</f>
        <v>Write-Offs  Percent</v>
      </c>
      <c r="D111" s="24">
        <f>SUM(E111:K111)</f>
        <v>0.99999999999999989</v>
      </c>
      <c r="E111" s="22">
        <f>E110/$D110</f>
        <v>0.76574479127402473</v>
      </c>
      <c r="F111" s="22">
        <f t="shared" ref="F111" si="49">F110/$D110</f>
        <v>0.20447952283415177</v>
      </c>
      <c r="G111" s="22">
        <f t="shared" ref="G111" si="50">G110/$D110</f>
        <v>2.9775685891823365E-2</v>
      </c>
      <c r="H111" s="22">
        <f t="shared" ref="H111" si="51">H110/$D110</f>
        <v>0</v>
      </c>
      <c r="I111" s="22">
        <f t="shared" ref="I111:J111" si="52">I110/$D110</f>
        <v>0</v>
      </c>
      <c r="J111" s="22">
        <f t="shared" si="52"/>
        <v>0</v>
      </c>
      <c r="K111" s="25">
        <f>K110/$D110</f>
        <v>0</v>
      </c>
    </row>
    <row r="112" spans="1:11" x14ac:dyDescent="0.4">
      <c r="A112" s="20" t="str">
        <f>IF(AND(ISBLANK(B112),ISBLANK(C112)),"",MAX(A$6:$A111)+1)</f>
        <v/>
      </c>
    </row>
    <row r="113" spans="1:11" x14ac:dyDescent="0.4">
      <c r="A113" s="20">
        <f>IF(AND(ISBLANK(B113),ISBLANK(C113)),"",MAX(A$6:$A112)+1)</f>
        <v>79</v>
      </c>
      <c r="B113" s="78" t="s">
        <v>10</v>
      </c>
      <c r="C113" s="79"/>
      <c r="D113" s="79"/>
      <c r="E113" s="79"/>
      <c r="F113" s="79"/>
      <c r="G113" s="79"/>
      <c r="H113" s="79"/>
      <c r="I113" s="79"/>
      <c r="J113" s="79"/>
      <c r="K113" s="80"/>
    </row>
    <row r="114" spans="1:11" x14ac:dyDescent="0.4">
      <c r="A114" s="20">
        <f>IF(AND(ISBLANK(B114),ISBLANK(C114)),"",MAX(A$6:$A113)+1)</f>
        <v>80</v>
      </c>
      <c r="B114" s="81"/>
      <c r="C114" s="82" t="s">
        <v>127</v>
      </c>
      <c r="D114" s="10">
        <f>SUM(E114:K114)</f>
        <v>285005.66639999993</v>
      </c>
      <c r="E114" s="10">
        <f>'Meter Reading'!J12</f>
        <v>200462.64797322813</v>
      </c>
      <c r="F114" s="10">
        <f>'Meter Reading'!K12</f>
        <v>27131.992026771877</v>
      </c>
      <c r="G114" s="10">
        <f>'Meter Reading'!L12</f>
        <v>35341.37980246191</v>
      </c>
      <c r="H114" s="10">
        <f>'Meter Reading'!M12</f>
        <v>7138.9467419987459</v>
      </c>
      <c r="I114" s="10">
        <f>'Meter Reading'!N12</f>
        <v>503.08013953682439</v>
      </c>
      <c r="J114" s="10">
        <f>'Meter Reading'!O12</f>
        <v>13924.539576465675</v>
      </c>
      <c r="K114" s="11">
        <f>'Meter Reading'!P12</f>
        <v>503.08013953682439</v>
      </c>
    </row>
    <row r="115" spans="1:11" x14ac:dyDescent="0.4">
      <c r="A115" s="20">
        <f>IF(AND(ISBLANK(B115),ISBLANK(C115)),"",MAX(A$6:$A114)+1)</f>
        <v>81</v>
      </c>
      <c r="B115" s="83" t="s">
        <v>29</v>
      </c>
      <c r="C115" s="84" t="str">
        <f>C114&amp;" Percent"</f>
        <v>Meter Reading Expense Percent</v>
      </c>
      <c r="D115" s="24">
        <f>SUM(E115:K115)</f>
        <v>1.0000000000000002</v>
      </c>
      <c r="E115" s="22">
        <f>E114/$D114</f>
        <v>0.70336372783509049</v>
      </c>
      <c r="F115" s="22">
        <f t="shared" ref="F115" si="53">F114/$D114</f>
        <v>9.5198079285527787E-2</v>
      </c>
      <c r="G115" s="22">
        <f t="shared" ref="G115" si="54">G114/$D114</f>
        <v>0.12400237598385488</v>
      </c>
      <c r="H115" s="22">
        <f t="shared" ref="H115" si="55">H114/$D114</f>
        <v>2.5048437921158285E-2</v>
      </c>
      <c r="I115" s="22">
        <f t="shared" ref="I115:J115" si="56">I114/$D114</f>
        <v>1.7651583769943758E-3</v>
      </c>
      <c r="J115" s="22">
        <f t="shared" si="56"/>
        <v>4.8857062220380047E-2</v>
      </c>
      <c r="K115" s="25">
        <f t="shared" ref="K115" si="57">K114/$D114</f>
        <v>1.7651583769943758E-3</v>
      </c>
    </row>
    <row r="116" spans="1:11" x14ac:dyDescent="0.4">
      <c r="A116" s="20" t="str">
        <f>IF(AND(ISBLANK(B116),ISBLANK(C116)),"",MAX(A$6:$A115)+1)</f>
        <v/>
      </c>
    </row>
    <row r="117" spans="1:11" x14ac:dyDescent="0.4">
      <c r="A117" s="20">
        <f>IF(AND(ISBLANK(B117),ISBLANK(C117)),"",MAX(A$6:$A116)+1)</f>
        <v>82</v>
      </c>
      <c r="B117" s="78" t="s">
        <v>418</v>
      </c>
      <c r="C117" s="79"/>
      <c r="D117" s="79"/>
      <c r="E117" s="79"/>
      <c r="F117" s="79"/>
      <c r="G117" s="79"/>
      <c r="H117" s="79"/>
      <c r="I117" s="79"/>
      <c r="J117" s="79"/>
      <c r="K117" s="80"/>
    </row>
    <row r="118" spans="1:11" x14ac:dyDescent="0.4">
      <c r="A118" s="20">
        <f>IF(AND(ISBLANK(B118),ISBLANK(C118)),"",MAX(A$6:$A117)+1)</f>
        <v>83</v>
      </c>
      <c r="B118" s="81"/>
      <c r="C118" s="82" t="s">
        <v>418</v>
      </c>
      <c r="D118" s="10">
        <f>SUM(E118:K118)</f>
        <v>137900.10836549997</v>
      </c>
      <c r="E118" s="10">
        <f>'RJA-4A Gas Supply'!E42</f>
        <v>51823.121390879423</v>
      </c>
      <c r="F118" s="10">
        <f>'RJA-4A Gas Supply'!F42</f>
        <v>35135.930714109891</v>
      </c>
      <c r="G118" s="10">
        <f>'RJA-4A Gas Supply'!G42</f>
        <v>3492.6403549970305</v>
      </c>
      <c r="H118" s="10">
        <f>'RJA-4A Gas Supply'!H42</f>
        <v>4184.6738827022045</v>
      </c>
      <c r="I118" s="10">
        <f>'RJA-4A Gas Supply'!I42</f>
        <v>346.68821396143818</v>
      </c>
      <c r="J118" s="10">
        <f>'RJA-4A Gas Supply'!J42</f>
        <v>33785.719205747002</v>
      </c>
      <c r="K118" s="11">
        <f>'RJA-4A Gas Supply'!K42</f>
        <v>9131.3346031029905</v>
      </c>
    </row>
    <row r="119" spans="1:11" x14ac:dyDescent="0.4">
      <c r="A119" s="20">
        <f>IF(AND(ISBLANK(B119),ISBLANK(C119)),"",MAX(A$6:$A118)+1)</f>
        <v>84</v>
      </c>
      <c r="B119" s="83" t="s">
        <v>559</v>
      </c>
      <c r="C119" s="84" t="str">
        <f>C118&amp;" Percent"</f>
        <v>Other Gas Supply Percent</v>
      </c>
      <c r="D119" s="24">
        <f>SUM(E119:K119)</f>
        <v>1</v>
      </c>
      <c r="E119" s="22">
        <f>E118/$D118</f>
        <v>0.37580189026047639</v>
      </c>
      <c r="F119" s="22">
        <f t="shared" ref="F119:K119" si="58">F118/$D118</f>
        <v>0.2547926258403162</v>
      </c>
      <c r="G119" s="22">
        <f t="shared" si="58"/>
        <v>2.5327321322619237E-2</v>
      </c>
      <c r="H119" s="22">
        <f t="shared" si="58"/>
        <v>3.0345689588661205E-2</v>
      </c>
      <c r="I119" s="22">
        <f t="shared" si="58"/>
        <v>2.5140532380333726E-3</v>
      </c>
      <c r="J119" s="22">
        <f t="shared" si="58"/>
        <v>0.24500139707068974</v>
      </c>
      <c r="K119" s="25">
        <f t="shared" si="58"/>
        <v>6.621702267920393E-2</v>
      </c>
    </row>
    <row r="120" spans="1:11" x14ac:dyDescent="0.4">
      <c r="A120" s="20" t="str">
        <f>IF(AND(ISBLANK(B120),ISBLANK(C120)),"",MAX(A$6:$A119)+1)</f>
        <v/>
      </c>
    </row>
    <row r="121" spans="1:11" x14ac:dyDescent="0.4">
      <c r="A121" s="20" t="str">
        <f>IF(AND(ISBLANK(B121),ISBLANK(C121)),"",MAX(A$6:$A120)+1)</f>
        <v/>
      </c>
    </row>
    <row r="122" spans="1:11" x14ac:dyDescent="0.4">
      <c r="A122" s="20">
        <f>IF(AND(ISBLANK(B122),ISBLANK(C122)),"",MAX(A$6:$A121)+1)</f>
        <v>85</v>
      </c>
      <c r="B122" s="78" t="s">
        <v>418</v>
      </c>
      <c r="C122" s="79"/>
      <c r="D122" s="79"/>
      <c r="E122" s="79"/>
      <c r="F122" s="79"/>
      <c r="G122" s="79"/>
      <c r="H122" s="79"/>
      <c r="I122" s="79"/>
      <c r="J122" s="79"/>
      <c r="K122" s="80"/>
    </row>
    <row r="123" spans="1:11" x14ac:dyDescent="0.4">
      <c r="A123" s="20">
        <f>IF(AND(ISBLANK(B123),ISBLANK(C123)),"",MAX(A$6:$A122)+1)</f>
        <v>86</v>
      </c>
      <c r="B123" s="81"/>
      <c r="C123" s="82" t="s">
        <v>418</v>
      </c>
      <c r="D123" s="10">
        <f>SUM(E123:K123)</f>
        <v>262166.01893429999</v>
      </c>
      <c r="E123" s="10">
        <f>'RJA-4A Gas Supply'!E47</f>
        <v>81982.7131304918</v>
      </c>
      <c r="F123" s="10">
        <f>'RJA-4A Gas Supply'!F47</f>
        <v>58010.790880780471</v>
      </c>
      <c r="G123" s="10">
        <f>'RJA-4A Gas Supply'!G47</f>
        <v>7682.5746926237016</v>
      </c>
      <c r="H123" s="10">
        <f>'RJA-4A Gas Supply'!H47</f>
        <v>10531.496897339528</v>
      </c>
      <c r="I123" s="10">
        <f>'RJA-4A Gas Supply'!I47</f>
        <v>1323.702666554472</v>
      </c>
      <c r="J123" s="10">
        <f>'RJA-4A Gas Supply'!J47</f>
        <v>84575.304862330668</v>
      </c>
      <c r="K123" s="11">
        <f>'RJA-4A Gas Supply'!K47</f>
        <v>18059.435804179338</v>
      </c>
    </row>
    <row r="124" spans="1:11" x14ac:dyDescent="0.4">
      <c r="A124" s="20">
        <f>IF(AND(ISBLANK(B124),ISBLANK(C124)),"",MAX(A$6:$A123)+1)</f>
        <v>87</v>
      </c>
      <c r="B124" s="83" t="s">
        <v>560</v>
      </c>
      <c r="C124" s="84" t="str">
        <f>C123&amp;" Percent"</f>
        <v>Other Gas Supply Percent</v>
      </c>
      <c r="D124" s="24">
        <f>SUM(E124:K124)</f>
        <v>1</v>
      </c>
      <c r="E124" s="22">
        <f>E123/$D123</f>
        <v>0.31271296510413521</v>
      </c>
      <c r="F124" s="22">
        <f t="shared" ref="F124:K124" si="59">F123/$D123</f>
        <v>0.22127501922862947</v>
      </c>
      <c r="G124" s="22">
        <f t="shared" si="59"/>
        <v>2.9304235247013422E-2</v>
      </c>
      <c r="H124" s="22">
        <f t="shared" si="59"/>
        <v>4.0171098222988116E-2</v>
      </c>
      <c r="I124" s="22">
        <f t="shared" si="59"/>
        <v>5.049100840510524E-3</v>
      </c>
      <c r="J124" s="22">
        <f t="shared" si="59"/>
        <v>0.32260208705204324</v>
      </c>
      <c r="K124" s="25">
        <f t="shared" si="59"/>
        <v>6.8885494304679953E-2</v>
      </c>
    </row>
    <row r="125" spans="1:11" x14ac:dyDescent="0.4">
      <c r="A125" s="20" t="str">
        <f>IF(AND(ISBLANK(B125),ISBLANK(C125)),"",MAX(A$6:$A124)+1)</f>
        <v/>
      </c>
    </row>
    <row r="126" spans="1:11" x14ac:dyDescent="0.4">
      <c r="A126" s="20">
        <f>IF(AND(ISBLANK(B126),ISBLANK(C126)),"",MAX(A$6:$A125)+1)</f>
        <v>88</v>
      </c>
      <c r="B126" s="78" t="s">
        <v>418</v>
      </c>
      <c r="C126" s="79"/>
      <c r="D126" s="79"/>
      <c r="E126" s="79"/>
      <c r="F126" s="79"/>
      <c r="G126" s="79"/>
      <c r="H126" s="79"/>
      <c r="I126" s="79"/>
      <c r="J126" s="79"/>
      <c r="K126" s="80"/>
    </row>
    <row r="127" spans="1:11" x14ac:dyDescent="0.4">
      <c r="A127" s="20">
        <f>IF(AND(ISBLANK(B127),ISBLANK(C127)),"",MAX(A$6:$A126)+1)</f>
        <v>89</v>
      </c>
      <c r="B127" s="81"/>
      <c r="C127" s="82" t="s">
        <v>418</v>
      </c>
      <c r="D127" s="10">
        <f>SUM(E127:K127)</f>
        <v>245727.27448620004</v>
      </c>
      <c r="E127" s="10">
        <f>'RJA-4A Gas Supply'!E52</f>
        <v>82725.336899380301</v>
      </c>
      <c r="F127" s="10">
        <f>'RJA-4A Gas Supply'!F52</f>
        <v>58536.269856958243</v>
      </c>
      <c r="G127" s="10">
        <f>'RJA-4A Gas Supply'!G52</f>
        <v>7752.1657363346176</v>
      </c>
      <c r="H127" s="10">
        <f>'RJA-4A Gas Supply'!H52</f>
        <v>10626.894324666569</v>
      </c>
      <c r="I127" s="10">
        <f>'RJA-4A Gas Supply'!I52</f>
        <v>1335.6931585202572</v>
      </c>
      <c r="J127" s="10">
        <f>'RJA-4A Gas Supply'!J52</f>
        <v>69838.286583328561</v>
      </c>
      <c r="K127" s="11">
        <f>'RJA-4A Gas Supply'!K52</f>
        <v>14912.62792701147</v>
      </c>
    </row>
    <row r="128" spans="1:11" x14ac:dyDescent="0.4">
      <c r="A128" s="20">
        <f>IF(AND(ISBLANK(B128),ISBLANK(C128)),"",MAX(A$6:$A127)+1)</f>
        <v>90</v>
      </c>
      <c r="B128" s="83" t="s">
        <v>556</v>
      </c>
      <c r="C128" s="84" t="str">
        <f>C127&amp;" Percent"</f>
        <v>Other Gas Supply Percent</v>
      </c>
      <c r="D128" s="24">
        <f>SUM(E128:K128)</f>
        <v>0.99999999999999989</v>
      </c>
      <c r="E128" s="22">
        <f>E127/$D127</f>
        <v>0.33665508671088168</v>
      </c>
      <c r="F128" s="22">
        <f t="shared" ref="F128:K128" si="60">F127/$D127</f>
        <v>0.23821641280705946</v>
      </c>
      <c r="G128" s="22">
        <f t="shared" si="60"/>
        <v>3.1547844058189708E-2</v>
      </c>
      <c r="H128" s="22">
        <f t="shared" si="60"/>
        <v>4.324670245452697E-2</v>
      </c>
      <c r="I128" s="22">
        <f t="shared" si="60"/>
        <v>5.4356731922132204E-3</v>
      </c>
      <c r="J128" s="22">
        <f t="shared" si="60"/>
        <v>0.28421056119779919</v>
      </c>
      <c r="K128" s="25">
        <f t="shared" si="60"/>
        <v>6.0687719579329634E-2</v>
      </c>
    </row>
    <row r="129" spans="1:11" x14ac:dyDescent="0.4">
      <c r="A129" s="20" t="str">
        <f>IF(AND(ISBLANK(B129),ISBLANK(C129)),"",MAX(A$6:$A128)+1)</f>
        <v/>
      </c>
    </row>
    <row r="130" spans="1:11" x14ac:dyDescent="0.4">
      <c r="A130" s="20" t="str">
        <f>IF(AND(ISBLANK(B130),ISBLANK(C130)),"",MAX(A$6:$A129)+1)</f>
        <v/>
      </c>
    </row>
    <row r="131" spans="1:11" x14ac:dyDescent="0.4">
      <c r="A131" s="20">
        <f>IF(AND(ISBLANK(B131),ISBLANK(C131)),"",MAX(A$6:$A130)+1)</f>
        <v>91</v>
      </c>
      <c r="B131" s="77" t="s">
        <v>30</v>
      </c>
      <c r="I131" s="17"/>
      <c r="J131" s="17"/>
    </row>
    <row r="132" spans="1:11" x14ac:dyDescent="0.4">
      <c r="A132" s="20" t="str">
        <f>IF(AND(ISBLANK(B132),ISBLANK(C132)),"",MAX(A$6:$A131)+1)</f>
        <v/>
      </c>
    </row>
    <row r="133" spans="1:11" x14ac:dyDescent="0.4">
      <c r="A133" s="20">
        <f>IF(AND(ISBLANK(B133),ISBLANK(C133)),"",MAX(A$6:$A132)+1)</f>
        <v>92</v>
      </c>
      <c r="B133" s="78" t="s">
        <v>31</v>
      </c>
      <c r="C133" s="79"/>
      <c r="D133" s="79"/>
      <c r="E133" s="79"/>
      <c r="F133" s="79"/>
      <c r="G133" s="79"/>
      <c r="H133" s="79"/>
      <c r="I133" s="79"/>
      <c r="J133" s="79"/>
      <c r="K133" s="80"/>
    </row>
    <row r="134" spans="1:11" x14ac:dyDescent="0.4">
      <c r="A134" s="20">
        <f>IF(AND(ISBLANK(B134),ISBLANK(C134)),"",MAX(A$6:$A133)+1)</f>
        <v>93</v>
      </c>
      <c r="B134" s="85"/>
      <c r="C134" s="8" t="s">
        <v>133</v>
      </c>
      <c r="D134" s="10">
        <f>SUM(E134:K134)</f>
        <v>1290297698.7952998</v>
      </c>
      <c r="E134" s="27">
        <f>Volumes!E8</f>
        <v>129913446.15533167</v>
      </c>
      <c r="F134" s="27">
        <f>Volumes!F8</f>
        <v>91926474.127817988</v>
      </c>
      <c r="G134" s="27">
        <f>Volumes!G8</f>
        <v>12174148.860819675</v>
      </c>
      <c r="H134" s="27">
        <f>Volumes!H8</f>
        <v>16688677.440204078</v>
      </c>
      <c r="I134" s="27">
        <f>Volumes!I8</f>
        <v>2097598</v>
      </c>
      <c r="J134" s="27">
        <f>Volumes!J8</f>
        <v>854941070.21112633</v>
      </c>
      <c r="K134" s="28">
        <f>Volumes!K8</f>
        <v>182556284</v>
      </c>
    </row>
    <row r="135" spans="1:11" x14ac:dyDescent="0.4">
      <c r="A135" s="20">
        <f>IF(AND(ISBLANK(B135),ISBLANK(C135)),"",MAX(A$6:$A134)+1)</f>
        <v>94</v>
      </c>
      <c r="B135" s="83" t="s">
        <v>419</v>
      </c>
      <c r="C135" s="84" t="str">
        <f>C134&amp;" Percent"</f>
        <v>2023 Adjusted Billing Determinants Percent</v>
      </c>
      <c r="D135" s="24">
        <f>SUM(E135:K135)</f>
        <v>1</v>
      </c>
      <c r="E135" s="22">
        <f>E134/$D134</f>
        <v>0.10068486232024342</v>
      </c>
      <c r="F135" s="22">
        <f t="shared" ref="F135" si="61">F134/$D134</f>
        <v>7.1244391285550712E-2</v>
      </c>
      <c r="G135" s="22">
        <f t="shared" ref="G135" si="62">G134/$D134</f>
        <v>9.4351473091722933E-3</v>
      </c>
      <c r="H135" s="22">
        <f t="shared" ref="H135:J135" si="63">H134/$D134</f>
        <v>1.2933974427595772E-2</v>
      </c>
      <c r="I135" s="22">
        <f t="shared" si="63"/>
        <v>1.6256697984956842E-3</v>
      </c>
      <c r="J135" s="22">
        <f t="shared" si="63"/>
        <v>0.66259210646454003</v>
      </c>
      <c r="K135" s="25">
        <f t="shared" ref="K135" si="64">K134/$D134</f>
        <v>0.14148384839440203</v>
      </c>
    </row>
    <row r="136" spans="1:11" x14ac:dyDescent="0.4">
      <c r="A136" s="20" t="str">
        <f>IF(AND(ISBLANK(B136),ISBLANK(C136)),"",MAX(A$6:$A135)+1)</f>
        <v/>
      </c>
    </row>
    <row r="137" spans="1:11" x14ac:dyDescent="0.4">
      <c r="A137" s="20">
        <f>IF(AND(ISBLANK(B137),ISBLANK(C137)),"",MAX(A$6:$A136)+1)</f>
        <v>95</v>
      </c>
      <c r="B137" s="78" t="s">
        <v>78</v>
      </c>
      <c r="C137" s="79"/>
      <c r="D137" s="79"/>
      <c r="E137" s="79"/>
      <c r="F137" s="79"/>
      <c r="G137" s="79"/>
      <c r="H137" s="79"/>
      <c r="I137" s="79"/>
      <c r="J137" s="79"/>
      <c r="K137" s="80"/>
    </row>
    <row r="138" spans="1:11" x14ac:dyDescent="0.4">
      <c r="A138" s="20">
        <f>IF(AND(ISBLANK(B138),ISBLANK(C138)),"",MAX(A$6:$A137)+1)</f>
        <v>96</v>
      </c>
      <c r="B138" s="81"/>
      <c r="C138" s="82" t="s">
        <v>65</v>
      </c>
      <c r="D138" s="10">
        <f>SUM(E138:K138)</f>
        <v>1107741414.7952998</v>
      </c>
      <c r="E138" s="10">
        <f>'Mains Allocators'!D32</f>
        <v>129913446.15533167</v>
      </c>
      <c r="F138" s="10">
        <f>'Mains Allocators'!E32</f>
        <v>91926474.127817988</v>
      </c>
      <c r="G138" s="10">
        <f>'Mains Allocators'!F32</f>
        <v>12174148.860819675</v>
      </c>
      <c r="H138" s="10">
        <f>'Mains Allocators'!G32</f>
        <v>16688677.440204078</v>
      </c>
      <c r="I138" s="10">
        <f>'Mains Allocators'!H32</f>
        <v>2097598</v>
      </c>
      <c r="J138" s="10">
        <f>'Mains Allocators'!I32</f>
        <v>854941070.21112633</v>
      </c>
      <c r="K138" s="11">
        <f>'Mains Allocators'!J32</f>
        <v>0</v>
      </c>
    </row>
    <row r="139" spans="1:11" x14ac:dyDescent="0.4">
      <c r="A139" s="20">
        <f>IF(AND(ISBLANK(B139),ISBLANK(C139)),"",MAX(A$6:$A138)+1)</f>
        <v>97</v>
      </c>
      <c r="B139" s="83" t="s">
        <v>417</v>
      </c>
      <c r="C139" s="84" t="str">
        <f>C138&amp;" %"</f>
        <v>Design Peak Day Steel &gt; 6-inch %</v>
      </c>
      <c r="D139" s="24">
        <f>SUM(E139:K139)</f>
        <v>1</v>
      </c>
      <c r="E139" s="22">
        <f>E138/$D138</f>
        <v>0.11727777297135583</v>
      </c>
      <c r="F139" s="22">
        <f t="shared" ref="F139:K139" si="65">F138/$D138</f>
        <v>8.2985499052416617E-2</v>
      </c>
      <c r="G139" s="22">
        <f t="shared" si="65"/>
        <v>1.0990063834590263E-2</v>
      </c>
      <c r="H139" s="22">
        <f t="shared" si="65"/>
        <v>1.5065499237733194E-2</v>
      </c>
      <c r="I139" s="22">
        <f t="shared" si="65"/>
        <v>1.8935809133647102E-3</v>
      </c>
      <c r="J139" s="22">
        <f t="shared" si="65"/>
        <v>0.77178758399053937</v>
      </c>
      <c r="K139" s="25">
        <f t="shared" si="65"/>
        <v>0</v>
      </c>
    </row>
    <row r="140" spans="1:11" x14ac:dyDescent="0.4">
      <c r="A140" s="20" t="str">
        <f>IF(AND(ISBLANK(B140),ISBLANK(C140)),"",MAX(A$6:$A139)+1)</f>
        <v/>
      </c>
    </row>
    <row r="141" spans="1:11" x14ac:dyDescent="0.4">
      <c r="A141" s="20">
        <f>IF(AND(ISBLANK(B141),ISBLANK(C141)),"",MAX(A$6:$A140)+1)</f>
        <v>98</v>
      </c>
      <c r="B141" s="78" t="s">
        <v>79</v>
      </c>
      <c r="C141" s="79"/>
      <c r="D141" s="79"/>
      <c r="E141" s="79"/>
      <c r="F141" s="79"/>
      <c r="G141" s="79"/>
      <c r="H141" s="79"/>
      <c r="I141" s="79"/>
      <c r="J141" s="79"/>
      <c r="K141" s="80"/>
    </row>
    <row r="142" spans="1:11" x14ac:dyDescent="0.4">
      <c r="A142" s="20">
        <f>IF(AND(ISBLANK(B142),ISBLANK(C142)),"",MAX(A$6:$A141)+1)</f>
        <v>99</v>
      </c>
      <c r="B142" s="81"/>
      <c r="C142" s="82" t="s">
        <v>67</v>
      </c>
      <c r="D142" s="10">
        <f>SUM(E142:K142)</f>
        <v>606380643.26949751</v>
      </c>
      <c r="E142" s="10">
        <f>'Mains Allocators'!D33</f>
        <v>129913446.15533167</v>
      </c>
      <c r="F142" s="10">
        <f>'Mains Allocators'!E33</f>
        <v>91926474.127817988</v>
      </c>
      <c r="G142" s="10">
        <f>'Mains Allocators'!F33</f>
        <v>12174148.860819675</v>
      </c>
      <c r="H142" s="10">
        <f>'Mains Allocators'!G33</f>
        <v>16688677.440204078</v>
      </c>
      <c r="I142" s="10">
        <f>'Mains Allocators'!H33</f>
        <v>2097598</v>
      </c>
      <c r="J142" s="10">
        <f>'Mains Allocators'!I33</f>
        <v>353580298.68532407</v>
      </c>
      <c r="K142" s="11">
        <f>'Mains Allocators'!J33</f>
        <v>0</v>
      </c>
    </row>
    <row r="143" spans="1:11" x14ac:dyDescent="0.4">
      <c r="A143" s="20">
        <f>IF(AND(ISBLANK(B143),ISBLANK(C143)),"",MAX(A$6:$A142)+1)</f>
        <v>100</v>
      </c>
      <c r="B143" s="83" t="s">
        <v>85</v>
      </c>
      <c r="C143" s="84" t="str">
        <f>C142&amp;" %"</f>
        <v>Design Peak Day Steel 4 to 6-inch %</v>
      </c>
      <c r="D143" s="24">
        <f>SUM(E143:K143)</f>
        <v>0.99999999999999989</v>
      </c>
      <c r="E143" s="22">
        <f>E142/$D142</f>
        <v>0.21424405214332251</v>
      </c>
      <c r="F143" s="22">
        <f t="shared" ref="F143:K143" si="66">F142/$D142</f>
        <v>0.15159862892747805</v>
      </c>
      <c r="G143" s="22">
        <f t="shared" si="66"/>
        <v>2.0076743866985613E-2</v>
      </c>
      <c r="H143" s="22">
        <f t="shared" si="66"/>
        <v>2.7521784584385266E-2</v>
      </c>
      <c r="I143" s="22">
        <f t="shared" si="66"/>
        <v>3.4592100247298817E-3</v>
      </c>
      <c r="J143" s="22">
        <f t="shared" si="66"/>
        <v>0.58309958045309862</v>
      </c>
      <c r="K143" s="25">
        <f t="shared" si="66"/>
        <v>0</v>
      </c>
    </row>
    <row r="144" spans="1:11" x14ac:dyDescent="0.4">
      <c r="A144" s="20" t="str">
        <f>IF(AND(ISBLANK(B144),ISBLANK(C144)),"",MAX(A$6:$A143)+1)</f>
        <v/>
      </c>
    </row>
    <row r="145" spans="1:11" x14ac:dyDescent="0.4">
      <c r="A145" s="20">
        <f>IF(AND(ISBLANK(B145),ISBLANK(C145)),"",MAX(A$6:$A144)+1)</f>
        <v>101</v>
      </c>
      <c r="B145" s="78" t="s">
        <v>80</v>
      </c>
      <c r="C145" s="79"/>
      <c r="D145" s="79"/>
      <c r="E145" s="79"/>
      <c r="F145" s="79"/>
      <c r="G145" s="79"/>
      <c r="H145" s="79"/>
      <c r="I145" s="79"/>
      <c r="J145" s="79"/>
      <c r="K145" s="80"/>
    </row>
    <row r="146" spans="1:11" x14ac:dyDescent="0.4">
      <c r="A146" s="20">
        <f>IF(AND(ISBLANK(B146),ISBLANK(C146)),"",MAX(A$6:$A145)+1)</f>
        <v>102</v>
      </c>
      <c r="B146" s="81"/>
      <c r="C146" s="82" t="s">
        <v>69</v>
      </c>
      <c r="D146" s="10">
        <f>SUM(E146:K146)</f>
        <v>562781338.58123863</v>
      </c>
      <c r="E146" s="10">
        <f>'Mains Allocators'!D34</f>
        <v>129913446.15533167</v>
      </c>
      <c r="F146" s="10">
        <f>'Mains Allocators'!E34</f>
        <v>91926474.127817988</v>
      </c>
      <c r="G146" s="10">
        <f>'Mains Allocators'!F34</f>
        <v>12174148.860819675</v>
      </c>
      <c r="H146" s="10">
        <f>'Mains Allocators'!G34</f>
        <v>16688677.440204078</v>
      </c>
      <c r="I146" s="10">
        <f>'Mains Allocators'!H34</f>
        <v>2097598</v>
      </c>
      <c r="J146" s="10">
        <f>'Mains Allocators'!I34</f>
        <v>309980993.99706519</v>
      </c>
      <c r="K146" s="11">
        <f>'Mains Allocators'!J34</f>
        <v>0</v>
      </c>
    </row>
    <row r="147" spans="1:11" x14ac:dyDescent="0.4">
      <c r="A147" s="20">
        <f>IF(AND(ISBLANK(B147),ISBLANK(C147)),"",MAX(A$6:$A146)+1)</f>
        <v>103</v>
      </c>
      <c r="B147" s="83" t="s">
        <v>86</v>
      </c>
      <c r="C147" s="84" t="str">
        <f>C146&amp;" %"</f>
        <v>Design Peak Day Steel 2 to 4-inch %</v>
      </c>
      <c r="D147" s="24">
        <f>SUM(E147:K147)</f>
        <v>1</v>
      </c>
      <c r="E147" s="22">
        <f>E146/$D146</f>
        <v>0.23084178036684919</v>
      </c>
      <c r="F147" s="22">
        <f t="shared" ref="F147:K147" si="67">F146/$D146</f>
        <v>0.16334314559818727</v>
      </c>
      <c r="G147" s="22">
        <f t="shared" si="67"/>
        <v>2.163211184562459E-2</v>
      </c>
      <c r="H147" s="22">
        <f t="shared" si="67"/>
        <v>2.9653928259732149E-2</v>
      </c>
      <c r="I147" s="22">
        <f t="shared" si="67"/>
        <v>3.7271989246978336E-3</v>
      </c>
      <c r="J147" s="22">
        <f t="shared" si="67"/>
        <v>0.55080183500490898</v>
      </c>
      <c r="K147" s="25">
        <f t="shared" si="67"/>
        <v>0</v>
      </c>
    </row>
    <row r="148" spans="1:11" x14ac:dyDescent="0.4">
      <c r="A148" s="20" t="str">
        <f>IF(AND(ISBLANK(B148),ISBLANK(C148)),"",MAX(A$6:$A147)+1)</f>
        <v/>
      </c>
    </row>
    <row r="149" spans="1:11" x14ac:dyDescent="0.4">
      <c r="A149" s="20">
        <f>IF(AND(ISBLANK(B149),ISBLANK(C149)),"",MAX(A$6:$A148)+1)</f>
        <v>104</v>
      </c>
      <c r="B149" s="78" t="s">
        <v>81</v>
      </c>
      <c r="C149" s="79"/>
      <c r="D149" s="79"/>
      <c r="E149" s="79"/>
      <c r="F149" s="79"/>
      <c r="G149" s="79"/>
      <c r="H149" s="79"/>
      <c r="I149" s="79"/>
      <c r="J149" s="79"/>
      <c r="K149" s="80"/>
    </row>
    <row r="150" spans="1:11" x14ac:dyDescent="0.4">
      <c r="A150" s="20">
        <f>IF(AND(ISBLANK(B150),ISBLANK(C150)),"",MAX(A$6:$A149)+1)</f>
        <v>105</v>
      </c>
      <c r="B150" s="81"/>
      <c r="C150" s="82" t="s">
        <v>70</v>
      </c>
      <c r="D150" s="10">
        <f>SUM(E150:K150)</f>
        <v>478237107.4926666</v>
      </c>
      <c r="E150" s="10">
        <f>'Mains Allocators'!D35</f>
        <v>129913446.15533167</v>
      </c>
      <c r="F150" s="10">
        <f>'Mains Allocators'!E35</f>
        <v>91926474.127817988</v>
      </c>
      <c r="G150" s="10">
        <f>'Mains Allocators'!F35</f>
        <v>12174148.860819675</v>
      </c>
      <c r="H150" s="10">
        <f>'Mains Allocators'!G35</f>
        <v>16688677.440204078</v>
      </c>
      <c r="I150" s="10">
        <f>'Mains Allocators'!H35</f>
        <v>352918</v>
      </c>
      <c r="J150" s="10">
        <f>'Mains Allocators'!I35</f>
        <v>227181442.90849322</v>
      </c>
      <c r="K150" s="11">
        <f>'Mains Allocators'!J35</f>
        <v>0</v>
      </c>
    </row>
    <row r="151" spans="1:11" x14ac:dyDescent="0.4">
      <c r="A151" s="20">
        <f>IF(AND(ISBLANK(B151),ISBLANK(C151)),"",MAX(A$6:$A150)+1)</f>
        <v>106</v>
      </c>
      <c r="B151" s="83" t="s">
        <v>87</v>
      </c>
      <c r="C151" s="84" t="str">
        <f>C150&amp;" %"</f>
        <v>Design Peak Day Steel 2-inch and less %</v>
      </c>
      <c r="D151" s="24">
        <f>SUM(E151:K151)</f>
        <v>1</v>
      </c>
      <c r="E151" s="22">
        <f>E150/$D150</f>
        <v>0.27165070238160849</v>
      </c>
      <c r="F151" s="22">
        <f t="shared" ref="F151:K151" si="68">F150/$D150</f>
        <v>0.19221945074437288</v>
      </c>
      <c r="G151" s="22">
        <f t="shared" si="68"/>
        <v>2.5456303306631966E-2</v>
      </c>
      <c r="H151" s="22">
        <f t="shared" si="68"/>
        <v>3.4896241171456954E-2</v>
      </c>
      <c r="I151" s="22">
        <f t="shared" si="68"/>
        <v>7.3795611940341067E-4</v>
      </c>
      <c r="J151" s="22">
        <f t="shared" si="68"/>
        <v>0.47503934627652639</v>
      </c>
      <c r="K151" s="25">
        <f t="shared" si="68"/>
        <v>0</v>
      </c>
    </row>
    <row r="152" spans="1:11" x14ac:dyDescent="0.4">
      <c r="A152" s="20" t="str">
        <f>IF(AND(ISBLANK(B152),ISBLANK(C152)),"",MAX(A$6:$A151)+1)</f>
        <v/>
      </c>
    </row>
    <row r="153" spans="1:11" x14ac:dyDescent="0.4">
      <c r="A153" s="20">
        <f>IF(AND(ISBLANK(B153),ISBLANK(C153)),"",MAX(A$6:$A152)+1)</f>
        <v>107</v>
      </c>
      <c r="B153" s="78" t="s">
        <v>82</v>
      </c>
      <c r="C153" s="79"/>
      <c r="D153" s="79"/>
      <c r="E153" s="79"/>
      <c r="F153" s="79"/>
      <c r="G153" s="79"/>
      <c r="H153" s="79"/>
      <c r="I153" s="79"/>
      <c r="J153" s="79"/>
      <c r="K153" s="80"/>
    </row>
    <row r="154" spans="1:11" x14ac:dyDescent="0.4">
      <c r="A154" s="20">
        <f>IF(AND(ISBLANK(B154),ISBLANK(C154)),"",MAX(A$6:$A153)+1)</f>
        <v>108</v>
      </c>
      <c r="B154" s="81"/>
      <c r="C154" s="82" t="s">
        <v>73</v>
      </c>
      <c r="D154" s="10">
        <f>SUM(E154:K154)</f>
        <v>384995344.36449188</v>
      </c>
      <c r="E154" s="10">
        <f>'Mains Allocators'!D36</f>
        <v>129913446.15533167</v>
      </c>
      <c r="F154" s="10">
        <f>'Mains Allocators'!E36</f>
        <v>91926474.127817988</v>
      </c>
      <c r="G154" s="10">
        <f>'Mains Allocators'!F36</f>
        <v>12174148.860819675</v>
      </c>
      <c r="H154" s="10">
        <f>'Mains Allocators'!G36</f>
        <v>16688677.440204078</v>
      </c>
      <c r="I154" s="10">
        <f>'Mains Allocators'!H36</f>
        <v>1833843</v>
      </c>
      <c r="J154" s="10">
        <f>'Mains Allocators'!I36</f>
        <v>132458754.78031848</v>
      </c>
      <c r="K154" s="11">
        <f>'Mains Allocators'!J36</f>
        <v>0</v>
      </c>
    </row>
    <row r="155" spans="1:11" x14ac:dyDescent="0.4">
      <c r="A155" s="20">
        <f>IF(AND(ISBLANK(B155),ISBLANK(C155)),"",MAX(A$6:$A154)+1)</f>
        <v>109</v>
      </c>
      <c r="B155" s="83" t="s">
        <v>89</v>
      </c>
      <c r="C155" s="84" t="str">
        <f>C154&amp;" %"</f>
        <v>Design Peak Day 6-inch Plastic %</v>
      </c>
      <c r="D155" s="24">
        <f>SUM(E155:K155)</f>
        <v>1</v>
      </c>
      <c r="E155" s="22">
        <f>E154/$D154</f>
        <v>0.3374416030141314</v>
      </c>
      <c r="F155" s="22">
        <f t="shared" ref="F155:K155" si="69">F154/$D154</f>
        <v>0.23877295004582494</v>
      </c>
      <c r="G155" s="22">
        <f t="shared" si="69"/>
        <v>3.1621548257720948E-2</v>
      </c>
      <c r="H155" s="22">
        <f t="shared" si="69"/>
        <v>4.3347738315516304E-2</v>
      </c>
      <c r="I155" s="22">
        <f t="shared" si="69"/>
        <v>4.7632861717512636E-3</v>
      </c>
      <c r="J155" s="22">
        <f t="shared" si="69"/>
        <v>0.3440528741950552</v>
      </c>
      <c r="K155" s="25">
        <f t="shared" si="69"/>
        <v>0</v>
      </c>
    </row>
    <row r="156" spans="1:11" x14ac:dyDescent="0.4">
      <c r="A156" s="20" t="str">
        <f>IF(AND(ISBLANK(B156),ISBLANK(C156)),"",MAX(A$6:$A155)+1)</f>
        <v/>
      </c>
    </row>
    <row r="157" spans="1:11" x14ac:dyDescent="0.4">
      <c r="A157" s="20">
        <f>IF(AND(ISBLANK(B157),ISBLANK(C157)),"",MAX(A$6:$A156)+1)</f>
        <v>110</v>
      </c>
      <c r="B157" s="78" t="s">
        <v>83</v>
      </c>
      <c r="C157" s="79"/>
      <c r="D157" s="79"/>
      <c r="E157" s="79"/>
      <c r="F157" s="79"/>
      <c r="G157" s="79"/>
      <c r="H157" s="79"/>
      <c r="I157" s="79"/>
      <c r="J157" s="79"/>
      <c r="K157" s="80"/>
    </row>
    <row r="158" spans="1:11" x14ac:dyDescent="0.4">
      <c r="A158" s="20">
        <f>IF(AND(ISBLANK(B158),ISBLANK(C158)),"",MAX(A$6:$A157)+1)</f>
        <v>111</v>
      </c>
      <c r="B158" s="81"/>
      <c r="C158" s="82" t="s">
        <v>75</v>
      </c>
      <c r="D158" s="10">
        <f>SUM(E158:K158)</f>
        <v>294105401.16325247</v>
      </c>
      <c r="E158" s="10">
        <f>'Mains Allocators'!D37</f>
        <v>129913446.15533167</v>
      </c>
      <c r="F158" s="10">
        <f>'Mains Allocators'!E37</f>
        <v>91926474.127817988</v>
      </c>
      <c r="G158" s="10">
        <f>'Mains Allocators'!F37</f>
        <v>12174148.860819675</v>
      </c>
      <c r="H158" s="10">
        <f>'Mains Allocators'!G37</f>
        <v>16688677.440204078</v>
      </c>
      <c r="I158" s="10">
        <f>'Mains Allocators'!H37</f>
        <v>1833843</v>
      </c>
      <c r="J158" s="10">
        <f>'Mains Allocators'!I37</f>
        <v>41568811.579079062</v>
      </c>
      <c r="K158" s="11">
        <f>'Mains Allocators'!J37</f>
        <v>0</v>
      </c>
    </row>
    <row r="159" spans="1:11" x14ac:dyDescent="0.4">
      <c r="A159" s="20">
        <f>IF(AND(ISBLANK(B159),ISBLANK(C159)),"",MAX(A$6:$A158)+1)</f>
        <v>112</v>
      </c>
      <c r="B159" s="83" t="s">
        <v>90</v>
      </c>
      <c r="C159" s="84" t="str">
        <f>C158&amp;" %"</f>
        <v>Design Peak Day 4-inch Plastic %</v>
      </c>
      <c r="D159" s="24">
        <f>SUM(E159:K159)</f>
        <v>1</v>
      </c>
      <c r="E159" s="22">
        <f>E158/$D158</f>
        <v>0.44172410857296401</v>
      </c>
      <c r="F159" s="22">
        <f t="shared" ref="F159:K159" si="70">F158/$D158</f>
        <v>0.31256302592277557</v>
      </c>
      <c r="G159" s="22">
        <f t="shared" si="70"/>
        <v>4.1393829602136514E-2</v>
      </c>
      <c r="H159" s="22">
        <f t="shared" si="70"/>
        <v>5.6743865886844089E-2</v>
      </c>
      <c r="I159" s="22">
        <f t="shared" si="70"/>
        <v>6.2353258143058301E-3</v>
      </c>
      <c r="J159" s="22">
        <f t="shared" si="70"/>
        <v>0.14133984420097401</v>
      </c>
      <c r="K159" s="25">
        <f t="shared" si="70"/>
        <v>0</v>
      </c>
    </row>
    <row r="160" spans="1:11" x14ac:dyDescent="0.4">
      <c r="A160" s="20" t="str">
        <f>IF(AND(ISBLANK(B160),ISBLANK(C160)),"",MAX(A$6:$A159)+1)</f>
        <v/>
      </c>
    </row>
    <row r="161" spans="1:11" x14ac:dyDescent="0.4">
      <c r="A161" s="20">
        <f>IF(AND(ISBLANK(B161),ISBLANK(C161)),"",MAX(A$6:$A160)+1)</f>
        <v>113</v>
      </c>
      <c r="B161" s="78" t="s">
        <v>84</v>
      </c>
      <c r="C161" s="79"/>
      <c r="D161" s="79"/>
      <c r="E161" s="79"/>
      <c r="F161" s="79"/>
      <c r="G161" s="79"/>
      <c r="H161" s="79"/>
      <c r="I161" s="79"/>
      <c r="J161" s="79"/>
      <c r="K161" s="80"/>
    </row>
    <row r="162" spans="1:11" x14ac:dyDescent="0.4">
      <c r="A162" s="20">
        <f>IF(AND(ISBLANK(B162),ISBLANK(C162)),"",MAX(A$6:$A161)+1)</f>
        <v>114</v>
      </c>
      <c r="B162" s="81"/>
      <c r="C162" s="82" t="s">
        <v>77</v>
      </c>
      <c r="D162" s="10">
        <f>SUM(E162:K162)</f>
        <v>267845171.00380659</v>
      </c>
      <c r="E162" s="10">
        <f>'Mains Allocators'!D38</f>
        <v>129913446.15533167</v>
      </c>
      <c r="F162" s="10">
        <f>'Mains Allocators'!E38</f>
        <v>91926474.127817988</v>
      </c>
      <c r="G162" s="10">
        <f>'Mains Allocators'!F38</f>
        <v>12174148.860819675</v>
      </c>
      <c r="H162" s="10">
        <f>'Mains Allocators'!G38</f>
        <v>16688677.440204078</v>
      </c>
      <c r="I162" s="10">
        <f>'Mains Allocators'!H38</f>
        <v>137863</v>
      </c>
      <c r="J162" s="10">
        <f>'Mains Allocators'!I38</f>
        <v>17004561.419633165</v>
      </c>
      <c r="K162" s="11">
        <f>'Mains Allocators'!J38</f>
        <v>0</v>
      </c>
    </row>
    <row r="163" spans="1:11" x14ac:dyDescent="0.4">
      <c r="A163" s="20">
        <f>IF(AND(ISBLANK(B163),ISBLANK(C163)),"",MAX(A$6:$A162)+1)</f>
        <v>115</v>
      </c>
      <c r="B163" s="83" t="s">
        <v>88</v>
      </c>
      <c r="C163" s="84" t="str">
        <f>C162&amp;" %"</f>
        <v>Design Peak Day Plastic 2-inch and less %</v>
      </c>
      <c r="D163" s="24">
        <f>SUM(E163:K163)</f>
        <v>1</v>
      </c>
      <c r="E163" s="22">
        <f>E162/$D162</f>
        <v>0.48503187744043874</v>
      </c>
      <c r="F163" s="22">
        <f t="shared" ref="F163:K163" si="71">F162/$D162</f>
        <v>0.34320750970907571</v>
      </c>
      <c r="G163" s="22">
        <f t="shared" si="71"/>
        <v>4.5452187228892237E-2</v>
      </c>
      <c r="H163" s="22">
        <f t="shared" si="71"/>
        <v>6.2307180591159139E-2</v>
      </c>
      <c r="I163" s="22">
        <f t="shared" si="71"/>
        <v>5.1471153832390992E-4</v>
      </c>
      <c r="J163" s="22">
        <f t="shared" si="71"/>
        <v>6.3486533492110253E-2</v>
      </c>
      <c r="K163" s="25">
        <f t="shared" si="71"/>
        <v>0</v>
      </c>
    </row>
    <row r="164" spans="1:11" x14ac:dyDescent="0.4">
      <c r="A164" s="20" t="str">
        <f>IF(AND(ISBLANK(B164),ISBLANK(C164)),"",MAX(A$6:$A163)+1)</f>
        <v/>
      </c>
    </row>
    <row r="165" spans="1:11" x14ac:dyDescent="0.4">
      <c r="A165" s="20">
        <f>IF(AND(ISBLANK(B165),ISBLANK(C165)),"",MAX(A$6:$A164)+1)</f>
        <v>116</v>
      </c>
      <c r="B165" s="78" t="s">
        <v>532</v>
      </c>
      <c r="C165" s="79"/>
      <c r="D165" s="79"/>
      <c r="E165" s="79"/>
      <c r="F165" s="79"/>
      <c r="G165" s="79"/>
      <c r="H165" s="79"/>
      <c r="I165" s="79"/>
      <c r="J165" s="79"/>
      <c r="K165" s="80"/>
    </row>
    <row r="166" spans="1:11" x14ac:dyDescent="0.4">
      <c r="A166" s="20">
        <f>IF(AND(ISBLANK(B166),ISBLANK(C166)),"",MAX(A$6:$A165)+1)</f>
        <v>117</v>
      </c>
      <c r="B166" s="81"/>
      <c r="C166" s="82" t="s">
        <v>77</v>
      </c>
      <c r="D166" s="10">
        <f>SUM(E166:K166)</f>
        <v>1107741414.7952998</v>
      </c>
      <c r="E166" s="10">
        <f>E134</f>
        <v>129913446.15533167</v>
      </c>
      <c r="F166" s="10">
        <f t="shared" ref="F166:J166" si="72">F134</f>
        <v>91926474.127817988</v>
      </c>
      <c r="G166" s="10">
        <f t="shared" si="72"/>
        <v>12174148.860819675</v>
      </c>
      <c r="H166" s="10">
        <f t="shared" si="72"/>
        <v>16688677.440204078</v>
      </c>
      <c r="I166" s="10">
        <f t="shared" si="72"/>
        <v>2097598</v>
      </c>
      <c r="J166" s="10">
        <f t="shared" si="72"/>
        <v>854941070.21112633</v>
      </c>
      <c r="K166" s="11">
        <v>0</v>
      </c>
    </row>
    <row r="167" spans="1:11" x14ac:dyDescent="0.4">
      <c r="A167" s="20">
        <f>IF(AND(ISBLANK(B167),ISBLANK(C167)),"",MAX(A$6:$A166)+1)</f>
        <v>118</v>
      </c>
      <c r="B167" s="83" t="s">
        <v>533</v>
      </c>
      <c r="C167" s="84" t="str">
        <f>C166&amp;" %"</f>
        <v>Design Peak Day Plastic 2-inch and less %</v>
      </c>
      <c r="D167" s="24">
        <f>SUM(E167:K167)</f>
        <v>1</v>
      </c>
      <c r="E167" s="22">
        <f>E166/$D166</f>
        <v>0.11727777297135583</v>
      </c>
      <c r="F167" s="22">
        <f t="shared" ref="F167" si="73">F166/$D166</f>
        <v>8.2985499052416617E-2</v>
      </c>
      <c r="G167" s="22">
        <f t="shared" ref="G167" si="74">G166/$D166</f>
        <v>1.0990063834590263E-2</v>
      </c>
      <c r="H167" s="22">
        <f t="shared" ref="H167" si="75">H166/$D166</f>
        <v>1.5065499237733194E-2</v>
      </c>
      <c r="I167" s="22">
        <f t="shared" ref="I167" si="76">I166/$D166</f>
        <v>1.8935809133647102E-3</v>
      </c>
      <c r="J167" s="22">
        <f t="shared" ref="J167" si="77">J166/$D166</f>
        <v>0.77178758399053937</v>
      </c>
      <c r="K167" s="25">
        <f t="shared" ref="K167" si="78">K166/$D166</f>
        <v>0</v>
      </c>
    </row>
    <row r="168" spans="1:11" x14ac:dyDescent="0.4">
      <c r="A168" s="20" t="str">
        <f>IF(AND(ISBLANK(B168),ISBLANK(C168)),"",MAX(A$6:$A167)+1)</f>
        <v/>
      </c>
    </row>
    <row r="169" spans="1:11" x14ac:dyDescent="0.4">
      <c r="A169" s="20">
        <f>IF(AND(ISBLANK(B169),ISBLANK(C169)),"",MAX(A$6:$A168)+1)</f>
        <v>119</v>
      </c>
      <c r="B169" s="78" t="s">
        <v>154</v>
      </c>
      <c r="C169" s="79"/>
      <c r="D169" s="79"/>
      <c r="E169" s="79"/>
      <c r="F169" s="79"/>
      <c r="G169" s="79"/>
      <c r="H169" s="79"/>
      <c r="I169" s="79"/>
      <c r="J169" s="79"/>
      <c r="K169" s="80"/>
    </row>
    <row r="170" spans="1:11" x14ac:dyDescent="0.4">
      <c r="A170" s="20">
        <f>IF(AND(ISBLANK(B170),ISBLANK(C170)),"",MAX(A$6:$A169)+1)</f>
        <v>120</v>
      </c>
      <c r="B170" s="85"/>
      <c r="C170" s="8" t="s">
        <v>155</v>
      </c>
      <c r="D170" s="10">
        <f>SUM(E170:K170)</f>
        <v>630581873</v>
      </c>
      <c r="E170" s="10">
        <f>'Seasonal Vols'!E8</f>
        <v>90106789</v>
      </c>
      <c r="F170" s="10">
        <f>'Seasonal Vols'!F8</f>
        <v>63837150</v>
      </c>
      <c r="G170" s="10">
        <f>'Seasonal Vols'!G8</f>
        <v>7179032</v>
      </c>
      <c r="H170" s="10">
        <f>'Seasonal Vols'!H8</f>
        <v>9226278</v>
      </c>
      <c r="I170" s="10">
        <f>'Seasonal Vols'!I8</f>
        <v>1219083</v>
      </c>
      <c r="J170" s="10">
        <f>'Seasonal Vols'!J8</f>
        <v>385612440</v>
      </c>
      <c r="K170" s="11">
        <f>'Seasonal Vols'!K8</f>
        <v>73401101</v>
      </c>
    </row>
    <row r="171" spans="1:11" x14ac:dyDescent="0.4">
      <c r="A171" s="20">
        <f>IF(AND(ISBLANK(B171),ISBLANK(C171)),"",MAX(A$6:$A170)+1)</f>
        <v>121</v>
      </c>
      <c r="B171" s="83" t="s">
        <v>153</v>
      </c>
      <c r="C171" s="84" t="str">
        <f>C170&amp;" Percent"</f>
        <v>Winter Season Throughput (Nov-Mar) Percent</v>
      </c>
      <c r="D171" s="24">
        <f>SUM(E171:K171)</f>
        <v>1</v>
      </c>
      <c r="E171" s="22">
        <f>E170/$D170</f>
        <v>0.14289467055454036</v>
      </c>
      <c r="F171" s="22">
        <f t="shared" ref="F171:K171" si="79">F170/$D170</f>
        <v>0.10123530779007978</v>
      </c>
      <c r="G171" s="22">
        <f t="shared" si="79"/>
        <v>1.1384773821432067E-2</v>
      </c>
      <c r="H171" s="22">
        <f t="shared" si="79"/>
        <v>1.4631372062926395E-2</v>
      </c>
      <c r="I171" s="22">
        <f t="shared" si="79"/>
        <v>1.9332668003921515E-3</v>
      </c>
      <c r="J171" s="22">
        <f t="shared" si="79"/>
        <v>0.61151843481552159</v>
      </c>
      <c r="K171" s="25">
        <f t="shared" si="79"/>
        <v>0.11640217415510769</v>
      </c>
    </row>
    <row r="172" spans="1:11" x14ac:dyDescent="0.4">
      <c r="A172" s="20" t="str">
        <f>IF(AND(ISBLANK(B172),ISBLANK(C172)),"",MAX(A$6:$A171)+1)</f>
        <v/>
      </c>
    </row>
    <row r="173" spans="1:11" x14ac:dyDescent="0.4">
      <c r="A173" s="20">
        <f>IF(AND(ISBLANK(B173),ISBLANK(C173)),"",MAX(A$6:$A172)+1)</f>
        <v>122</v>
      </c>
      <c r="B173" s="78" t="s">
        <v>157</v>
      </c>
      <c r="C173" s="79"/>
      <c r="D173" s="79"/>
      <c r="E173" s="79"/>
      <c r="F173" s="79"/>
      <c r="G173" s="79"/>
      <c r="H173" s="79"/>
      <c r="I173" s="79"/>
      <c r="J173" s="79"/>
      <c r="K173" s="80"/>
    </row>
    <row r="174" spans="1:11" x14ac:dyDescent="0.4">
      <c r="A174" s="20">
        <f>IF(AND(ISBLANK(B174),ISBLANK(C174)),"",MAX(A$6:$A173)+1)</f>
        <v>123</v>
      </c>
      <c r="B174" s="85"/>
      <c r="C174" s="8" t="s">
        <v>156</v>
      </c>
      <c r="D174" s="10">
        <f>SUM(E174:K174)</f>
        <v>160239539.14285713</v>
      </c>
      <c r="E174" s="10">
        <f>'Seasonal Vols'!E10</f>
        <v>61840812.571428575</v>
      </c>
      <c r="F174" s="10">
        <f>'Seasonal Vols'!F10</f>
        <v>41205797.142857142</v>
      </c>
      <c r="G174" s="10">
        <f>'Seasonal Vols'!G10</f>
        <v>3647405.5714285718</v>
      </c>
      <c r="H174" s="10">
        <f>'Seasonal Vols'!H10</f>
        <v>4582725.1428571427</v>
      </c>
      <c r="I174" s="10">
        <f>'Seasonal Vols'!I10</f>
        <v>591572.28571428568</v>
      </c>
      <c r="J174" s="10">
        <f>'Seasonal Vols'!J10</f>
        <v>48371226.428571403</v>
      </c>
      <c r="K174" s="11">
        <f>'Seasonal Vols'!K10</f>
        <v>0</v>
      </c>
    </row>
    <row r="175" spans="1:11" x14ac:dyDescent="0.4">
      <c r="A175" s="20">
        <f>IF(AND(ISBLANK(B175),ISBLANK(C175)),"",MAX(A$6:$A174)+1)</f>
        <v>124</v>
      </c>
      <c r="B175" s="83" t="s">
        <v>152</v>
      </c>
      <c r="C175" s="84" t="str">
        <f>C174&amp;" Percent"</f>
        <v>Winter Excess (Above Non-Winter Average) Percent</v>
      </c>
      <c r="D175" s="24">
        <f>SUM(E175:K175)</f>
        <v>1</v>
      </c>
      <c r="E175" s="22">
        <f>E174/$D174</f>
        <v>0.38592729923103503</v>
      </c>
      <c r="F175" s="22">
        <f t="shared" ref="F175:K175" si="80">F174/$D174</f>
        <v>0.25715124596134326</v>
      </c>
      <c r="G175" s="22">
        <f t="shared" si="80"/>
        <v>2.2762207074103154E-2</v>
      </c>
      <c r="H175" s="22">
        <f t="shared" si="80"/>
        <v>2.8599215695269447E-2</v>
      </c>
      <c r="I175" s="22">
        <f t="shared" si="80"/>
        <v>3.6917997198362244E-3</v>
      </c>
      <c r="J175" s="22">
        <f t="shared" si="80"/>
        <v>0.30186823231841281</v>
      </c>
      <c r="K175" s="25">
        <f t="shared" si="80"/>
        <v>0</v>
      </c>
    </row>
    <row r="176" spans="1:11" x14ac:dyDescent="0.4">
      <c r="A176" s="20" t="str">
        <f>IF(AND(ISBLANK(B176),ISBLANK(C176)),"",MAX(A$6:$A175)+1)</f>
        <v/>
      </c>
    </row>
    <row r="177" spans="1:11" x14ac:dyDescent="0.4">
      <c r="A177" s="20">
        <f>IF(AND(ISBLANK(B177),ISBLANK(C177)),"",MAX(A$6:$A176)+1)</f>
        <v>125</v>
      </c>
      <c r="B177" s="78" t="s">
        <v>34</v>
      </c>
      <c r="C177" s="79"/>
      <c r="D177" s="79"/>
      <c r="E177" s="79"/>
      <c r="F177" s="79"/>
      <c r="G177" s="79"/>
      <c r="H177" s="79"/>
      <c r="I177" s="79"/>
      <c r="J177" s="79"/>
      <c r="K177" s="80"/>
    </row>
    <row r="178" spans="1:11" x14ac:dyDescent="0.4">
      <c r="A178" s="20">
        <f>IF(AND(ISBLANK(B178),ISBLANK(C178)),"",MAX(A$6:$A177)+1)</f>
        <v>126</v>
      </c>
      <c r="B178" s="85"/>
      <c r="C178" s="8" t="s">
        <v>528</v>
      </c>
      <c r="D178" s="10">
        <f>SUM(E178:K178)</f>
        <v>144868032.48627016</v>
      </c>
      <c r="E178" s="10">
        <f>Revenue!E19</f>
        <v>67773171.496684462</v>
      </c>
      <c r="F178" s="10">
        <f>Revenue!F19</f>
        <v>38690081.9304621</v>
      </c>
      <c r="G178" s="10">
        <f>Revenue!G19</f>
        <v>3318419.4554416006</v>
      </c>
      <c r="H178" s="10">
        <f>Revenue!H19</f>
        <v>3357411.9895457891</v>
      </c>
      <c r="I178" s="10">
        <f>Revenue!I19</f>
        <v>188026.39697999999</v>
      </c>
      <c r="J178" s="10">
        <f>Revenue!J19</f>
        <v>28144230.137156188</v>
      </c>
      <c r="K178" s="11">
        <f>Revenue!K19</f>
        <v>3396691.0799999991</v>
      </c>
    </row>
    <row r="179" spans="1:11" x14ac:dyDescent="0.4">
      <c r="A179" s="20">
        <f>IF(AND(ISBLANK(B179),ISBLANK(C179)),"",MAX(A$6:$A178)+1)</f>
        <v>127</v>
      </c>
      <c r="B179" s="83" t="s">
        <v>527</v>
      </c>
      <c r="C179" s="84" t="str">
        <f>C178&amp;" Percent"</f>
        <v>2023 Pro Forma Rate Schedule Revenue Percent</v>
      </c>
      <c r="D179" s="24">
        <f>SUM(E179:K179)</f>
        <v>1</v>
      </c>
      <c r="E179" s="22">
        <f>E178/$D178</f>
        <v>0.46782696177714467</v>
      </c>
      <c r="F179" s="22">
        <f t="shared" ref="F179:J179" si="81">F178/$D178</f>
        <v>0.2670712183112513</v>
      </c>
      <c r="G179" s="22">
        <f t="shared" si="81"/>
        <v>2.2906499097764051E-2</v>
      </c>
      <c r="H179" s="22">
        <f t="shared" si="81"/>
        <v>2.3175658093264898E-2</v>
      </c>
      <c r="I179" s="22">
        <f t="shared" si="81"/>
        <v>1.2979150317225449E-3</v>
      </c>
      <c r="J179" s="22">
        <f t="shared" si="81"/>
        <v>0.19427495254913157</v>
      </c>
      <c r="K179" s="25">
        <f>K178/$D178</f>
        <v>2.3446795139720835E-2</v>
      </c>
    </row>
    <row r="180" spans="1:11" x14ac:dyDescent="0.4">
      <c r="A180" s="20" t="str">
        <f>IF(AND(ISBLANK(B180),ISBLANK(C180)),"",MAX(A$6:$A179)+1)</f>
        <v/>
      </c>
    </row>
    <row r="181" spans="1:11" x14ac:dyDescent="0.4">
      <c r="A181" s="20">
        <f>IF(AND(ISBLANK(B181),ISBLANK(C181)),"",MAX(A$6:$A180)+1)</f>
        <v>128</v>
      </c>
      <c r="B181" s="78" t="s">
        <v>535</v>
      </c>
      <c r="C181" s="79"/>
      <c r="D181" s="79"/>
      <c r="E181" s="79"/>
      <c r="F181" s="79"/>
      <c r="G181" s="79"/>
      <c r="H181" s="79"/>
      <c r="I181" s="79"/>
      <c r="J181" s="79"/>
      <c r="K181" s="80"/>
    </row>
    <row r="182" spans="1:11" x14ac:dyDescent="0.4">
      <c r="A182" s="20">
        <f>IF(AND(ISBLANK(B182),ISBLANK(C182)),"",MAX(A$6:$A181)+1)</f>
        <v>129</v>
      </c>
      <c r="B182" s="85"/>
      <c r="C182" s="8" t="s">
        <v>128</v>
      </c>
      <c r="D182" s="10">
        <f>SUM(E182:K182)</f>
        <v>95742538.169113949</v>
      </c>
      <c r="E182" s="10">
        <f>Revenue!E13</f>
        <v>58676042.966684461</v>
      </c>
      <c r="F182" s="10">
        <f>Revenue!F13</f>
        <v>31458385.280462097</v>
      </c>
      <c r="G182" s="10">
        <f>Revenue!G13</f>
        <v>2700980.2054416006</v>
      </c>
      <c r="H182" s="10">
        <f>Revenue!H13</f>
        <v>2740306.8195457892</v>
      </c>
      <c r="I182" s="10">
        <f>Revenue!I13</f>
        <v>166822.89697999999</v>
      </c>
      <c r="J182" s="10"/>
      <c r="K182" s="11"/>
    </row>
    <row r="183" spans="1:11" x14ac:dyDescent="0.4">
      <c r="A183" s="20">
        <f>IF(AND(ISBLANK(B183),ISBLANK(C183)),"",MAX(A$6:$A182)+1)</f>
        <v>130</v>
      </c>
      <c r="B183" s="83" t="s">
        <v>540</v>
      </c>
      <c r="C183" s="84" t="str">
        <f>C182&amp;" Percent"</f>
        <v>2023 Pro Forma Sales Revenue Percent</v>
      </c>
      <c r="D183" s="24">
        <f>SUM(E183:K183)</f>
        <v>1</v>
      </c>
      <c r="E183" s="22">
        <f t="shared" ref="E183:K183" si="82">E182/$D182</f>
        <v>0.61285238608404735</v>
      </c>
      <c r="F183" s="22">
        <f t="shared" si="82"/>
        <v>0.32857271054268344</v>
      </c>
      <c r="G183" s="22">
        <f t="shared" si="82"/>
        <v>2.8210869035775396E-2</v>
      </c>
      <c r="H183" s="22">
        <f t="shared" si="82"/>
        <v>2.862162286428498E-2</v>
      </c>
      <c r="I183" s="22">
        <f t="shared" ref="I183:J183" si="83">I182/$D182</f>
        <v>1.7424114732088459E-3</v>
      </c>
      <c r="J183" s="22">
        <f t="shared" si="83"/>
        <v>0</v>
      </c>
      <c r="K183" s="25">
        <f t="shared" si="82"/>
        <v>0</v>
      </c>
    </row>
    <row r="184" spans="1:11" x14ac:dyDescent="0.4">
      <c r="A184" s="20" t="str">
        <f>IF(AND(ISBLANK(B184),ISBLANK(C184)),"",MAX(A$6:$A183)+1)</f>
        <v/>
      </c>
    </row>
    <row r="185" spans="1:11" x14ac:dyDescent="0.4">
      <c r="A185" s="20">
        <f>IF(AND(ISBLANK(B185),ISBLANK(C185)),"",MAX(A$6:$A184)+1)</f>
        <v>131</v>
      </c>
      <c r="B185" s="78" t="s">
        <v>536</v>
      </c>
      <c r="C185" s="79"/>
      <c r="D185" s="79"/>
      <c r="E185" s="79"/>
      <c r="F185" s="79"/>
      <c r="G185" s="79"/>
      <c r="H185" s="79"/>
      <c r="I185" s="79"/>
      <c r="J185" s="79"/>
      <c r="K185" s="80"/>
    </row>
    <row r="186" spans="1:11" x14ac:dyDescent="0.4">
      <c r="A186" s="20">
        <f>IF(AND(ISBLANK(B186),ISBLANK(C186)),"",MAX(A$6:$A185)+1)</f>
        <v>132</v>
      </c>
      <c r="B186" s="85"/>
      <c r="C186" s="8" t="s">
        <v>129</v>
      </c>
      <c r="D186" s="10">
        <f>SUM(E186:K186)</f>
        <v>29623877.257156186</v>
      </c>
      <c r="E186" s="10"/>
      <c r="F186" s="10"/>
      <c r="G186" s="10"/>
      <c r="H186" s="10"/>
      <c r="I186" s="10"/>
      <c r="J186" s="10">
        <f>Revenue!J13</f>
        <v>26475874.907156188</v>
      </c>
      <c r="K186" s="11">
        <f>Revenue!K13</f>
        <v>3148002.3499999992</v>
      </c>
    </row>
    <row r="187" spans="1:11" x14ac:dyDescent="0.4">
      <c r="A187" s="20">
        <f>IF(AND(ISBLANK(B187),ISBLANK(C187)),"",MAX(A$6:$A186)+1)</f>
        <v>133</v>
      </c>
      <c r="B187" s="83" t="s">
        <v>539</v>
      </c>
      <c r="C187" s="84" t="str">
        <f>C186&amp;" Percent"</f>
        <v>2023 Pro Forma Transportation Revenue Percent</v>
      </c>
      <c r="D187" s="24">
        <f>SUM(E187:K187)</f>
        <v>1</v>
      </c>
      <c r="E187" s="22">
        <f t="shared" ref="E187" si="84">E186/$D186</f>
        <v>0</v>
      </c>
      <c r="F187" s="22">
        <f t="shared" ref="F187:K187" si="85">F186/$D186</f>
        <v>0</v>
      </c>
      <c r="G187" s="22">
        <f t="shared" si="85"/>
        <v>0</v>
      </c>
      <c r="H187" s="22">
        <f t="shared" si="85"/>
        <v>0</v>
      </c>
      <c r="I187" s="22">
        <f t="shared" si="85"/>
        <v>0</v>
      </c>
      <c r="J187" s="22">
        <f t="shared" si="85"/>
        <v>0.89373428998935178</v>
      </c>
      <c r="K187" s="25">
        <f t="shared" si="85"/>
        <v>0.10626571001064831</v>
      </c>
    </row>
    <row r="188" spans="1:11" x14ac:dyDescent="0.4">
      <c r="A188" s="20" t="str">
        <f>IF(AND(ISBLANK(B188),ISBLANK(C188)),"",MAX(A$6:$A187)+1)</f>
        <v/>
      </c>
    </row>
    <row r="189" spans="1:11" x14ac:dyDescent="0.4">
      <c r="A189" s="20">
        <f>IF(AND(ISBLANK(B189),ISBLANK(C189)),"",MAX(A$6:$A188)+1)</f>
        <v>134</v>
      </c>
      <c r="B189" s="78" t="s">
        <v>534</v>
      </c>
      <c r="C189" s="79"/>
      <c r="D189" s="79"/>
      <c r="E189" s="79"/>
      <c r="F189" s="79"/>
      <c r="G189" s="79"/>
      <c r="H189" s="79"/>
      <c r="I189" s="79"/>
      <c r="J189" s="79"/>
      <c r="K189" s="80"/>
    </row>
    <row r="190" spans="1:11" x14ac:dyDescent="0.4">
      <c r="A190" s="20">
        <f>IF(AND(ISBLANK(B190),ISBLANK(C190)),"",MAX(A$6:$A189)+1)</f>
        <v>135</v>
      </c>
      <c r="B190" s="85"/>
      <c r="C190" s="8" t="s">
        <v>129</v>
      </c>
      <c r="D190" s="10">
        <f>SUM(E190:K190)</f>
        <v>17584573.100000001</v>
      </c>
      <c r="E190" s="10">
        <f>Revenue!E15</f>
        <v>9097128.5300000012</v>
      </c>
      <c r="F190" s="10">
        <f>Revenue!F15</f>
        <v>7231696.6499999994</v>
      </c>
      <c r="G190" s="10">
        <f>Revenue!G15</f>
        <v>617439.25</v>
      </c>
      <c r="H190" s="10">
        <f>Revenue!H15</f>
        <v>617105.17000000004</v>
      </c>
      <c r="I190" s="10">
        <f>Revenue!I15</f>
        <v>21203.500000000004</v>
      </c>
      <c r="J190" s="10"/>
      <c r="K190" s="11"/>
    </row>
    <row r="191" spans="1:11" x14ac:dyDescent="0.4">
      <c r="A191" s="20">
        <f>IF(AND(ISBLANK(B191),ISBLANK(C191)),"",MAX(A$6:$A190)+1)</f>
        <v>136</v>
      </c>
      <c r="B191" s="83" t="s">
        <v>538</v>
      </c>
      <c r="C191" s="84" t="str">
        <f>C190&amp;" Percent"</f>
        <v>2023 Pro Forma Transportation Revenue Percent</v>
      </c>
      <c r="D191" s="24">
        <f>SUM(E191:K191)</f>
        <v>0.99999999999999978</v>
      </c>
      <c r="E191" s="22">
        <f t="shared" ref="E191:K191" si="86">E190/$D190</f>
        <v>0.51733576233363321</v>
      </c>
      <c r="F191" s="22">
        <f t="shared" si="86"/>
        <v>0.41125232946371604</v>
      </c>
      <c r="G191" s="22">
        <f t="shared" si="86"/>
        <v>3.5112552718154978E-2</v>
      </c>
      <c r="H191" s="22">
        <f t="shared" si="86"/>
        <v>3.5093554247273707E-2</v>
      </c>
      <c r="I191" s="22">
        <f t="shared" si="86"/>
        <v>1.2058012372219602E-3</v>
      </c>
      <c r="J191" s="22">
        <f t="shared" si="86"/>
        <v>0</v>
      </c>
      <c r="K191" s="25">
        <f t="shared" si="86"/>
        <v>0</v>
      </c>
    </row>
    <row r="192" spans="1:11" x14ac:dyDescent="0.4">
      <c r="A192" s="20" t="str">
        <f>IF(AND(ISBLANK(B192),ISBLANK(C192)),"",MAX(A$6:$A191)+1)</f>
        <v/>
      </c>
    </row>
    <row r="193" spans="1:11" x14ac:dyDescent="0.4">
      <c r="A193" s="20">
        <f>IF(AND(ISBLANK(B193),ISBLANK(C193)),"",MAX(A$6:$A192)+1)</f>
        <v>137</v>
      </c>
      <c r="B193" s="78" t="s">
        <v>534</v>
      </c>
      <c r="C193" s="79"/>
      <c r="D193" s="79"/>
      <c r="E193" s="79"/>
      <c r="F193" s="79"/>
      <c r="G193" s="79"/>
      <c r="H193" s="79"/>
      <c r="I193" s="79"/>
      <c r="J193" s="79"/>
      <c r="K193" s="80"/>
    </row>
    <row r="194" spans="1:11" x14ac:dyDescent="0.4">
      <c r="A194" s="20">
        <f>IF(AND(ISBLANK(B194),ISBLANK(C194)),"",MAX(A$6:$A193)+1)</f>
        <v>138</v>
      </c>
      <c r="B194" s="85"/>
      <c r="C194" s="8" t="s">
        <v>129</v>
      </c>
      <c r="D194" s="10">
        <f>SUM(E194:K194)</f>
        <v>1917043.9600000002</v>
      </c>
      <c r="E194" s="10"/>
      <c r="F194" s="10"/>
      <c r="G194" s="10"/>
      <c r="H194" s="10"/>
      <c r="I194" s="10"/>
      <c r="J194" s="10">
        <f>Revenue!J15</f>
        <v>1668355.2300000002</v>
      </c>
      <c r="K194" s="11">
        <f>Revenue!K15</f>
        <v>248688.73</v>
      </c>
    </row>
    <row r="195" spans="1:11" x14ac:dyDescent="0.4">
      <c r="A195" s="20">
        <f>IF(AND(ISBLANK(B195),ISBLANK(C195)),"",MAX(A$6:$A194)+1)</f>
        <v>139</v>
      </c>
      <c r="B195" s="83" t="s">
        <v>537</v>
      </c>
      <c r="C195" s="84" t="str">
        <f>C194&amp;" Percent"</f>
        <v>2023 Pro Forma Transportation Revenue Percent</v>
      </c>
      <c r="D195" s="24">
        <f>SUM(E195:K195)</f>
        <v>1</v>
      </c>
      <c r="E195" s="22">
        <f t="shared" ref="E195:K195" si="87">E194/$D194</f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0.87027489447868478</v>
      </c>
      <c r="K195" s="25">
        <f t="shared" si="87"/>
        <v>0.12972510552131522</v>
      </c>
    </row>
    <row r="196" spans="1:11" x14ac:dyDescent="0.4">
      <c r="A196" s="20" t="str">
        <f>IF(AND(ISBLANK(B196),ISBLANK(C196)),"",MAX(A$6:$A195)+1)</f>
        <v/>
      </c>
    </row>
    <row r="197" spans="1:11" x14ac:dyDescent="0.4">
      <c r="A197" s="20">
        <f>IF(AND(ISBLANK(B197),ISBLANK(C197)),"",MAX(A$6:$A196)+1)</f>
        <v>140</v>
      </c>
      <c r="B197" s="77" t="s">
        <v>521</v>
      </c>
      <c r="D197" s="40"/>
      <c r="E197" s="41"/>
      <c r="F197" s="41"/>
      <c r="G197" s="41"/>
      <c r="H197" s="41"/>
      <c r="I197" s="41"/>
      <c r="J197" s="41"/>
      <c r="K197" s="41"/>
    </row>
    <row r="198" spans="1:11" x14ac:dyDescent="0.4">
      <c r="A198" s="20" t="str">
        <f>IF(AND(ISBLANK(B198),ISBLANK(C198)),"",MAX(A$6:$A197)+1)</f>
        <v/>
      </c>
      <c r="D198" s="15"/>
      <c r="E198" s="16"/>
      <c r="F198" s="16"/>
      <c r="G198" s="16"/>
      <c r="H198" s="16"/>
      <c r="I198" s="16"/>
      <c r="J198" s="16"/>
      <c r="K198" s="16"/>
    </row>
    <row r="199" spans="1:11" x14ac:dyDescent="0.4">
      <c r="A199" s="20">
        <f>IF(AND(ISBLANK(B199),ISBLANK(C199)),"",MAX(A$6:$A198)+1)</f>
        <v>141</v>
      </c>
      <c r="B199" s="78" t="s">
        <v>522</v>
      </c>
      <c r="C199" s="79"/>
      <c r="D199" s="79"/>
      <c r="E199" s="79"/>
      <c r="F199" s="79"/>
      <c r="G199" s="79"/>
      <c r="H199" s="79"/>
      <c r="I199" s="79"/>
      <c r="J199" s="79"/>
      <c r="K199" s="80"/>
    </row>
    <row r="200" spans="1:11" x14ac:dyDescent="0.4">
      <c r="A200" s="20">
        <f>IF(AND(ISBLANK(B200),ISBLANK(C200)),"",MAX(A$6:$A199)+1)</f>
        <v>142</v>
      </c>
      <c r="B200" s="81"/>
      <c r="C200" s="82" t="s">
        <v>525</v>
      </c>
      <c r="D200" s="10">
        <f>SUM(E200:K200)</f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1">
        <v>1</v>
      </c>
    </row>
    <row r="201" spans="1:11" x14ac:dyDescent="0.4">
      <c r="A201" s="20">
        <f>IF(AND(ISBLANK(B201),ISBLANK(C201)),"",MAX(A$6:$A200)+1)</f>
        <v>143</v>
      </c>
      <c r="B201" s="83" t="s">
        <v>523</v>
      </c>
      <c r="C201" s="84" t="str">
        <f>C200&amp;" Percent"</f>
        <v>Mains directly assigned to SC Percent</v>
      </c>
      <c r="D201" s="24">
        <f>SUM(E201:K201)</f>
        <v>1</v>
      </c>
      <c r="E201" s="22">
        <f>E200/$D200</f>
        <v>0</v>
      </c>
      <c r="F201" s="22">
        <f t="shared" ref="F201:K201" si="88">F200/$D200</f>
        <v>0</v>
      </c>
      <c r="G201" s="22">
        <f t="shared" si="88"/>
        <v>0</v>
      </c>
      <c r="H201" s="22">
        <f t="shared" si="88"/>
        <v>0</v>
      </c>
      <c r="I201" s="22">
        <f t="shared" si="88"/>
        <v>0</v>
      </c>
      <c r="J201" s="22">
        <f t="shared" si="88"/>
        <v>0</v>
      </c>
      <c r="K201" s="25">
        <f t="shared" si="88"/>
        <v>1</v>
      </c>
    </row>
    <row r="202" spans="1:11" x14ac:dyDescent="0.4">
      <c r="A202" s="20" t="str">
        <f>IF(AND(ISBLANK(B202),ISBLANK(C202)),"",MAX(A$6:$A201)+1)</f>
        <v/>
      </c>
      <c r="D202" s="15"/>
      <c r="E202" s="16"/>
      <c r="F202" s="16"/>
      <c r="G202" s="16"/>
      <c r="H202" s="16"/>
      <c r="I202" s="16"/>
      <c r="J202" s="16"/>
      <c r="K202" s="16"/>
    </row>
    <row r="203" spans="1:11" x14ac:dyDescent="0.4">
      <c r="A203" s="20">
        <f>IF(AND(ISBLANK(B203),ISBLANK(C203)),"",MAX(A$6:$A202)+1)</f>
        <v>144</v>
      </c>
      <c r="B203" s="78" t="s">
        <v>522</v>
      </c>
      <c r="C203" s="79"/>
      <c r="D203" s="79"/>
      <c r="E203" s="79"/>
      <c r="F203" s="79"/>
      <c r="G203" s="79"/>
      <c r="H203" s="79"/>
      <c r="I203" s="79"/>
      <c r="J203" s="79"/>
      <c r="K203" s="80"/>
    </row>
    <row r="204" spans="1:11" x14ac:dyDescent="0.4">
      <c r="A204" s="20">
        <f>IF(AND(ISBLANK(B204),ISBLANK(C204)),"",MAX(A$6:$A203)+1)</f>
        <v>145</v>
      </c>
      <c r="B204" s="81"/>
      <c r="C204" s="82" t="s">
        <v>526</v>
      </c>
      <c r="D204" s="10">
        <f>SUM(E204:K204)</f>
        <v>328315.7101814315</v>
      </c>
      <c r="E204" s="10">
        <v>0</v>
      </c>
      <c r="F204" s="10">
        <v>0</v>
      </c>
      <c r="G204" s="10">
        <v>0</v>
      </c>
      <c r="H204" s="10">
        <v>0</v>
      </c>
      <c r="I204" s="11">
        <f>'Service Costs'!I12</f>
        <v>7869.6455208385751</v>
      </c>
      <c r="J204" s="11">
        <f>'Service Costs'!J12</f>
        <v>298204.27466059296</v>
      </c>
      <c r="K204" s="11">
        <f>'Service Costs'!K12</f>
        <v>22241.79</v>
      </c>
    </row>
    <row r="205" spans="1:11" x14ac:dyDescent="0.4">
      <c r="A205" s="20">
        <f>IF(AND(ISBLANK(B205),ISBLANK(C205)),"",MAX(A$6:$A204)+1)</f>
        <v>146</v>
      </c>
      <c r="B205" s="83" t="s">
        <v>524</v>
      </c>
      <c r="C205" s="84" t="str">
        <f>C204&amp;" Percent"</f>
        <v>Services directly assigned to SC Percent</v>
      </c>
      <c r="D205" s="24">
        <f>SUM(E205:K205)</f>
        <v>1</v>
      </c>
      <c r="E205" s="22">
        <f>E204/$D204</f>
        <v>0</v>
      </c>
      <c r="F205" s="22">
        <f t="shared" ref="F205:K205" si="89">F204/$D204</f>
        <v>0</v>
      </c>
      <c r="G205" s="22">
        <f t="shared" si="89"/>
        <v>0</v>
      </c>
      <c r="H205" s="22">
        <f t="shared" si="89"/>
        <v>0</v>
      </c>
      <c r="I205" s="22">
        <f t="shared" si="89"/>
        <v>2.3969750081376574E-2</v>
      </c>
      <c r="J205" s="22">
        <f t="shared" si="89"/>
        <v>0.90828512134189809</v>
      </c>
      <c r="K205" s="25">
        <f t="shared" si="89"/>
        <v>6.7745128576725433E-2</v>
      </c>
    </row>
    <row r="206" spans="1:11" x14ac:dyDescent="0.4">
      <c r="A206" s="20" t="str">
        <f>IF(AND(ISBLANK(B206),ISBLANK(C206)),"",MAX(A$6:$A205)+1)</f>
        <v/>
      </c>
      <c r="D206" s="15"/>
      <c r="E206" s="16"/>
      <c r="F206" s="16"/>
      <c r="G206" s="16"/>
      <c r="H206" s="16"/>
      <c r="I206" s="16"/>
      <c r="J206" s="16"/>
      <c r="K206" s="16"/>
    </row>
    <row r="207" spans="1:11" x14ac:dyDescent="0.4">
      <c r="A207" s="20" t="str">
        <f>IF(AND(ISBLANK(B207),ISBLANK(C207)),"",MAX(A$6:$A206)+1)</f>
        <v/>
      </c>
      <c r="D207" s="15"/>
      <c r="E207" s="16"/>
      <c r="F207" s="16"/>
      <c r="G207" s="16"/>
      <c r="H207" s="16"/>
      <c r="I207" s="16"/>
      <c r="J207" s="16"/>
      <c r="K207" s="16"/>
    </row>
    <row r="208" spans="1:11" x14ac:dyDescent="0.4">
      <c r="A208" s="20">
        <f>IF(AND(ISBLANK(B208),ISBLANK(C208)),"",MAX(A$6:$A207)+1)</f>
        <v>147</v>
      </c>
      <c r="B208" s="86" t="s">
        <v>131</v>
      </c>
    </row>
    <row r="209" spans="1:7" x14ac:dyDescent="0.4">
      <c r="A209" s="20" t="str">
        <f>IF(AND(ISBLANK(B209),ISBLANK(C209)),"",MAX(A$6:$A208)+1)</f>
        <v/>
      </c>
      <c r="B209" s="86"/>
    </row>
    <row r="210" spans="1:7" x14ac:dyDescent="0.4">
      <c r="A210" s="20">
        <f>IF(AND(ISBLANK(B210),ISBLANK(C210)),"",MAX(A$6:$A209)+1)</f>
        <v>148</v>
      </c>
      <c r="B210" s="87" t="s">
        <v>134</v>
      </c>
      <c r="C210" s="82"/>
      <c r="D210" s="88"/>
    </row>
    <row r="211" spans="1:7" x14ac:dyDescent="0.4">
      <c r="A211" s="20">
        <f>IF(AND(ISBLANK(B211),ISBLANK(C211)),"",MAX(A$6:$A210)+1)</f>
        <v>149</v>
      </c>
      <c r="B211" s="89"/>
      <c r="C211" s="79" t="s">
        <v>132</v>
      </c>
      <c r="D211" s="13">
        <f>MIN(0.5,D134/365/D10)</f>
        <v>0.5</v>
      </c>
    </row>
    <row r="212" spans="1:7" x14ac:dyDescent="0.4">
      <c r="A212" s="20">
        <f>IF(AND(ISBLANK(B212),ISBLANK(C212)),"",MAX(A$6:$A211)+1)</f>
        <v>150</v>
      </c>
      <c r="B212" s="89" t="s">
        <v>130</v>
      </c>
      <c r="C212" s="90" t="s">
        <v>36</v>
      </c>
      <c r="D212" s="13">
        <f>1-D211</f>
        <v>0.5</v>
      </c>
      <c r="F212" s="91"/>
      <c r="G212" s="47"/>
    </row>
    <row r="213" spans="1:7" x14ac:dyDescent="0.4">
      <c r="A213" s="20" t="str">
        <f>IF(AND(ISBLANK(B213),ISBLANK(C213)),"",MAX(A$6:$A212)+1)</f>
        <v/>
      </c>
    </row>
    <row r="214" spans="1:7" x14ac:dyDescent="0.4">
      <c r="A214" s="20">
        <f>IF(AND(ISBLANK(B214),ISBLANK(C214)),"",MAX(A$6:$A213)+1)</f>
        <v>151</v>
      </c>
      <c r="B214" s="87" t="s">
        <v>136</v>
      </c>
      <c r="C214" s="82"/>
      <c r="D214" s="88"/>
    </row>
    <row r="215" spans="1:7" x14ac:dyDescent="0.4">
      <c r="A215" s="20">
        <f>IF(AND(ISBLANK(B215),ISBLANK(C215)),"",MAX(A$6:$A214)+1)</f>
        <v>152</v>
      </c>
      <c r="B215" s="89"/>
      <c r="C215" s="79" t="s">
        <v>132</v>
      </c>
      <c r="D215" s="13">
        <f>E215/SUM(E215:E216)</f>
        <v>0.65530671317704203</v>
      </c>
      <c r="E215" s="27">
        <f>'RJA-4A Gas Supply'!D47</f>
        <v>262166.01893429999</v>
      </c>
    </row>
    <row r="216" spans="1:7" x14ac:dyDescent="0.4">
      <c r="A216" s="20">
        <f>IF(AND(ISBLANK(B216),ISBLANK(C216)),"",MAX(A$6:$A215)+1)</f>
        <v>153</v>
      </c>
      <c r="B216" s="89" t="s">
        <v>135</v>
      </c>
      <c r="C216" s="90" t="s">
        <v>36</v>
      </c>
      <c r="D216" s="13">
        <f>1-D215</f>
        <v>0.34469328682295797</v>
      </c>
      <c r="E216" s="27">
        <f>'RJA-4A Gas Supply'!D42</f>
        <v>137900.10836549997</v>
      </c>
    </row>
  </sheetData>
  <phoneticPr fontId="3" type="noConversion"/>
  <pageMargins left="0.7" right="0.7" top="0.75" bottom="0.75" header="0.3" footer="0.3"/>
  <pageSetup scale="64" orientation="landscape" horizontalDpi="1200" verticalDpi="1200" r:id="rId1"/>
  <rowBreaks count="4" manualBreakCount="4">
    <brk id="44" max="10" man="1"/>
    <brk id="81" max="10" man="1"/>
    <brk id="128" max="10" man="1"/>
    <brk id="17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74D-FA56-4EFE-9F55-532BFD02EB4E}">
  <sheetPr codeName="Sheet4"/>
  <dimension ref="A1:H54"/>
  <sheetViews>
    <sheetView workbookViewId="0">
      <selection activeCell="H20" sqref="H20"/>
    </sheetView>
  </sheetViews>
  <sheetFormatPr defaultColWidth="8.69140625" defaultRowHeight="14.6" x14ac:dyDescent="0.4"/>
  <cols>
    <col min="1" max="1" width="4.69140625" style="8" bestFit="1" customWidth="1"/>
    <col min="2" max="2" width="27.84375" style="8" bestFit="1" customWidth="1"/>
    <col min="3" max="3" width="29.23046875" style="8" customWidth="1"/>
    <col min="4" max="4" width="13.69140625" style="8" bestFit="1" customWidth="1"/>
    <col min="5" max="5" width="13.53515625" style="8" bestFit="1" customWidth="1"/>
    <col min="6" max="6" width="8.69140625" style="8"/>
    <col min="7" max="7" width="17.15234375" style="8" customWidth="1"/>
    <col min="8" max="8" width="16.3828125" style="8" customWidth="1"/>
    <col min="9" max="16384" width="8.69140625" style="8"/>
  </cols>
  <sheetData>
    <row r="1" spans="1:8" x14ac:dyDescent="0.4">
      <c r="A1" s="8" t="str">
        <f>Contents!A1</f>
        <v>Cascade Natural Gas Corp.</v>
      </c>
    </row>
    <row r="2" spans="1:8" x14ac:dyDescent="0.4">
      <c r="A2" s="8" t="s">
        <v>185</v>
      </c>
    </row>
    <row r="4" spans="1:8" x14ac:dyDescent="0.4">
      <c r="A4" s="8" t="s">
        <v>186</v>
      </c>
    </row>
    <row r="6" spans="1:8" ht="34.299999999999997" x14ac:dyDescent="0.7">
      <c r="A6" s="26" t="str">
        <f>EXTERNAL!A5</f>
        <v>Line</v>
      </c>
      <c r="B6" s="50" t="s">
        <v>197</v>
      </c>
      <c r="C6" s="26" t="s">
        <v>198</v>
      </c>
      <c r="D6" s="26" t="s">
        <v>240</v>
      </c>
      <c r="E6" s="26" t="s">
        <v>241</v>
      </c>
      <c r="G6" s="26" t="s">
        <v>520</v>
      </c>
    </row>
    <row r="7" spans="1:8" x14ac:dyDescent="0.4">
      <c r="A7" s="20" t="str">
        <f>IF(ISBLANK(B7),"",MAX(A$6:$A6)+1)</f>
        <v/>
      </c>
      <c r="C7" s="18"/>
      <c r="D7" s="18"/>
      <c r="E7" s="18"/>
    </row>
    <row r="8" spans="1:8" x14ac:dyDescent="0.4">
      <c r="A8" s="20">
        <f>IF(ISBLANK(B8),"",MAX(A$6:$A7)+1)</f>
        <v>1</v>
      </c>
      <c r="B8" s="8" t="s">
        <v>190</v>
      </c>
      <c r="C8" s="21">
        <f>SUM(D8:E8)-G8</f>
        <v>257262887.53146806</v>
      </c>
      <c r="D8" s="18">
        <f>SUM(D22:D31)</f>
        <v>271213270.13146806</v>
      </c>
      <c r="E8" s="18"/>
      <c r="G8" s="18">
        <f>'Spl Contract Direct'!Q40</f>
        <v>13950382.6</v>
      </c>
    </row>
    <row r="9" spans="1:8" x14ac:dyDescent="0.4">
      <c r="A9" s="20">
        <f>IF(ISBLANK(B9),"",MAX(A$6:$A8)+1)</f>
        <v>2</v>
      </c>
      <c r="B9" s="8" t="s">
        <v>191</v>
      </c>
      <c r="C9" s="21">
        <f t="shared" ref="C9:C15" si="0">SUM(D9:E9)-G9</f>
        <v>9729541.4525282029</v>
      </c>
      <c r="D9" s="18">
        <f>SUM(D37:D39,D43)</f>
        <v>9523454.7300000004</v>
      </c>
      <c r="E9" s="18">
        <f>D9/SUM($D$9:$D$12)*SUM($D$44:$D$53)</f>
        <v>206086.72252820162</v>
      </c>
      <c r="F9" s="20"/>
      <c r="G9" s="18"/>
    </row>
    <row r="10" spans="1:8" x14ac:dyDescent="0.4">
      <c r="A10" s="20">
        <f>IF(ISBLANK(B10),"",MAX(A$6:$A9)+1)</f>
        <v>3</v>
      </c>
      <c r="B10" s="8" t="s">
        <v>192</v>
      </c>
      <c r="C10" s="21">
        <f t="shared" si="0"/>
        <v>12254704.967787653</v>
      </c>
      <c r="D10" s="18">
        <f>D42</f>
        <v>11995131.380000001</v>
      </c>
      <c r="E10" s="18">
        <f>D10/SUM($D$9:$D$12)*SUM($D$44:$D$53)</f>
        <v>259573.58778765198</v>
      </c>
      <c r="F10" s="20"/>
      <c r="G10" s="18"/>
    </row>
    <row r="11" spans="1:8" x14ac:dyDescent="0.4">
      <c r="A11" s="20">
        <f>IF(ISBLANK(B11),"",MAX(A$6:$A10)+1)</f>
        <v>4</v>
      </c>
      <c r="B11" s="8" t="s">
        <v>193</v>
      </c>
      <c r="C11" s="21">
        <f t="shared" si="0"/>
        <v>28489095.404975161</v>
      </c>
      <c r="D11" s="18">
        <f>D41</f>
        <v>27898160.320000004</v>
      </c>
      <c r="E11" s="18">
        <f>D11/SUM($D$9:$D$12)*SUM($D$44:$D$53)</f>
        <v>603713.73497515696</v>
      </c>
      <c r="F11" s="20"/>
      <c r="G11" s="18">
        <f>'Spl Contract Direct'!Q9+'Spl Contract Direct'!Q12+'Spl Contract Direct'!Q33</f>
        <v>12778.650000000001</v>
      </c>
    </row>
    <row r="12" spans="1:8" x14ac:dyDescent="0.4">
      <c r="A12" s="20">
        <f>IF(ISBLANK(B12),"",MAX(A$6:$A11)+1)</f>
        <v>5</v>
      </c>
      <c r="B12" s="8" t="s">
        <v>194</v>
      </c>
      <c r="C12" s="21">
        <f t="shared" si="0"/>
        <v>76247521.87470898</v>
      </c>
      <c r="D12" s="18">
        <f>D40</f>
        <v>74632481.539999992</v>
      </c>
      <c r="E12" s="18">
        <f>D12/SUM($D$9:$D$12)*SUM($D$44:$D$53)</f>
        <v>1615040.3347089894</v>
      </c>
      <c r="F12" s="20"/>
    </row>
    <row r="13" spans="1:8" x14ac:dyDescent="0.4">
      <c r="A13" s="20">
        <f>IF(ISBLANK(B13),"",MAX(A$6:$A12)+1)</f>
        <v>6</v>
      </c>
      <c r="B13" s="8" t="s">
        <v>239</v>
      </c>
      <c r="C13" s="21">
        <f t="shared" si="0"/>
        <v>28689677.237810187</v>
      </c>
      <c r="D13" s="18">
        <f>SUM(D34:D35)</f>
        <v>28059054.247078013</v>
      </c>
      <c r="E13" s="18">
        <f>D13/SUM($D$13:$D$15)*$D$36</f>
        <v>630622.99073217518</v>
      </c>
      <c r="F13" s="20"/>
    </row>
    <row r="14" spans="1:8" x14ac:dyDescent="0.4">
      <c r="A14" s="20">
        <f>IF(ISBLANK(B14),"",MAX(A$6:$A13)+1)</f>
        <v>7</v>
      </c>
      <c r="B14" s="8" t="s">
        <v>195</v>
      </c>
      <c r="C14" s="21">
        <f t="shared" si="0"/>
        <v>49201903.337466307</v>
      </c>
      <c r="D14" s="18">
        <f>D33</f>
        <v>48120404.539999992</v>
      </c>
      <c r="E14" s="18">
        <f>D14/SUM($D$13:$D$15)*$D$36</f>
        <v>1081498.7974663137</v>
      </c>
      <c r="F14" s="20"/>
    </row>
    <row r="15" spans="1:8" ht="17.149999999999999" x14ac:dyDescent="0.7">
      <c r="A15" s="20">
        <f>IF(ISBLANK(B15),"",MAX(A$6:$A14)+1)</f>
        <v>8</v>
      </c>
      <c r="B15" s="8" t="s">
        <v>196</v>
      </c>
      <c r="C15" s="92">
        <f t="shared" si="0"/>
        <v>127952414.35180141</v>
      </c>
      <c r="D15" s="29">
        <f>D32</f>
        <v>125139913.7599999</v>
      </c>
      <c r="E15" s="29">
        <f>D15/SUM($D$13:$D$15)*$D$36</f>
        <v>2812500.5918015111</v>
      </c>
      <c r="F15" s="20"/>
    </row>
    <row r="16" spans="1:8" x14ac:dyDescent="0.4">
      <c r="A16" s="20">
        <f>IF(ISBLANK(B16),"",MAX(A$6:$A15)+1)</f>
        <v>9</v>
      </c>
      <c r="B16" s="8" t="s">
        <v>235</v>
      </c>
      <c r="C16" s="21">
        <f>SUM(C8:C15)</f>
        <v>589827746.15854597</v>
      </c>
      <c r="D16" s="21">
        <f>SUM(D8:D15)</f>
        <v>596581870.64854598</v>
      </c>
      <c r="E16" s="21">
        <f>SUM(E8:E15)</f>
        <v>7209036.7599999998</v>
      </c>
      <c r="G16" s="21">
        <f>SUM(G8:G15)</f>
        <v>13963161.25</v>
      </c>
      <c r="H16" s="21">
        <f>G16+C16</f>
        <v>603790907.40854597</v>
      </c>
    </row>
    <row r="17" spans="1:8" x14ac:dyDescent="0.4">
      <c r="A17" s="20" t="str">
        <f>IF(ISBLANK(B17),"",MAX(A$6:$A16)+1)</f>
        <v/>
      </c>
      <c r="D17" s="57"/>
      <c r="E17" s="57">
        <f>E16/$C$16</f>
        <v>1.2222274735210927E-2</v>
      </c>
    </row>
    <row r="18" spans="1:8" x14ac:dyDescent="0.4">
      <c r="A18" s="20">
        <f>IF(ISBLANK(B18),"",MAX(A$6:$A17)+1)</f>
        <v>10</v>
      </c>
      <c r="B18" s="8" t="s">
        <v>199</v>
      </c>
    </row>
    <row r="19" spans="1:8" x14ac:dyDescent="0.4">
      <c r="A19" s="20" t="str">
        <f>IF(ISBLANK(B19),"",MAX(A$6:$A18)+1)</f>
        <v/>
      </c>
    </row>
    <row r="20" spans="1:8" ht="17.149999999999999" x14ac:dyDescent="0.7">
      <c r="A20" s="20">
        <f>IF(ISBLANK(B20),"",MAX(A$6:$A19)+1)</f>
        <v>11</v>
      </c>
      <c r="B20" s="50" t="s">
        <v>232</v>
      </c>
      <c r="C20" s="26" t="s">
        <v>233</v>
      </c>
      <c r="D20" s="26" t="s">
        <v>189</v>
      </c>
      <c r="E20" s="26" t="s">
        <v>187</v>
      </c>
      <c r="F20" s="26" t="s">
        <v>188</v>
      </c>
      <c r="H20" s="8" t="s">
        <v>234</v>
      </c>
    </row>
    <row r="21" spans="1:8" x14ac:dyDescent="0.4">
      <c r="A21" s="20" t="str">
        <f>IF(ISBLANK(B21),"",MAX(A$6:$A20)+1)</f>
        <v/>
      </c>
    </row>
    <row r="22" spans="1:8" x14ac:dyDescent="0.4">
      <c r="A22" s="20">
        <f>IF(ISBLANK(B22),"",MAX(A$6:$A21)+1)</f>
        <v>12</v>
      </c>
      <c r="B22" s="8" t="s">
        <v>200</v>
      </c>
      <c r="C22" s="8" t="s">
        <v>201</v>
      </c>
      <c r="D22" s="7">
        <v>3417032.96</v>
      </c>
      <c r="E22" s="20" t="str">
        <f t="shared" ref="E22:E43" si="1">_xlfn.TEXTBEFORE(C22," ",)</f>
        <v>10"</v>
      </c>
      <c r="F22" s="20" t="s">
        <v>236</v>
      </c>
    </row>
    <row r="23" spans="1:8" x14ac:dyDescent="0.4">
      <c r="A23" s="20">
        <f>IF(ISBLANK(B23),"",MAX(A$6:$A22)+1)</f>
        <v>13</v>
      </c>
      <c r="B23" s="8" t="s">
        <v>200</v>
      </c>
      <c r="C23" s="8" t="s">
        <v>202</v>
      </c>
      <c r="D23" s="7">
        <v>86096804.840000018</v>
      </c>
      <c r="E23" s="20" t="str">
        <f t="shared" si="1"/>
        <v>12"</v>
      </c>
      <c r="F23" s="20" t="s">
        <v>236</v>
      </c>
    </row>
    <row r="24" spans="1:8" x14ac:dyDescent="0.4">
      <c r="A24" s="20">
        <f>IF(ISBLANK(B24),"",MAX(A$6:$A23)+1)</f>
        <v>14</v>
      </c>
      <c r="B24" s="8" t="s">
        <v>200</v>
      </c>
      <c r="C24" s="8" t="s">
        <v>203</v>
      </c>
      <c r="D24" s="7">
        <v>11393580.6</v>
      </c>
      <c r="E24" s="20" t="str">
        <f t="shared" si="1"/>
        <v>16"</v>
      </c>
      <c r="F24" s="20" t="s">
        <v>236</v>
      </c>
    </row>
    <row r="25" spans="1:8" x14ac:dyDescent="0.4">
      <c r="A25" s="20">
        <f>IF(ISBLANK(B25),"",MAX(A$6:$A24)+1)</f>
        <v>15</v>
      </c>
      <c r="B25" s="8" t="s">
        <v>200</v>
      </c>
      <c r="C25" s="8" t="s">
        <v>204</v>
      </c>
      <c r="D25" s="7">
        <v>2373799.7300000009</v>
      </c>
      <c r="E25" s="20" t="str">
        <f t="shared" si="1"/>
        <v>2"</v>
      </c>
      <c r="F25" s="20" t="s">
        <v>236</v>
      </c>
    </row>
    <row r="26" spans="1:8" x14ac:dyDescent="0.4">
      <c r="A26" s="20">
        <f>IF(ISBLANK(B26),"",MAX(A$6:$A25)+1)</f>
        <v>16</v>
      </c>
      <c r="B26" s="8" t="s">
        <v>200</v>
      </c>
      <c r="C26" s="8" t="s">
        <v>205</v>
      </c>
      <c r="D26" s="7">
        <v>8293101.75</v>
      </c>
      <c r="E26" s="20" t="str">
        <f t="shared" si="1"/>
        <v>20"</v>
      </c>
      <c r="F26" s="20" t="s">
        <v>236</v>
      </c>
    </row>
    <row r="27" spans="1:8" x14ac:dyDescent="0.4">
      <c r="A27" s="20">
        <f>IF(ISBLANK(B27),"",MAX(A$6:$A26)+1)</f>
        <v>17</v>
      </c>
      <c r="B27" s="8" t="s">
        <v>200</v>
      </c>
      <c r="C27" s="8" t="s">
        <v>206</v>
      </c>
      <c r="D27" s="7">
        <v>24777492.061468009</v>
      </c>
      <c r="E27" s="20" t="str">
        <f t="shared" si="1"/>
        <v>4"</v>
      </c>
      <c r="F27" s="20" t="s">
        <v>236</v>
      </c>
    </row>
    <row r="28" spans="1:8" x14ac:dyDescent="0.4">
      <c r="A28" s="20">
        <f>IF(ISBLANK(B28),"",MAX(A$6:$A27)+1)</f>
        <v>18</v>
      </c>
      <c r="B28" s="8" t="s">
        <v>200</v>
      </c>
      <c r="C28" s="8" t="s">
        <v>207</v>
      </c>
      <c r="D28" s="7">
        <v>52905628.889999993</v>
      </c>
      <c r="E28" s="20" t="str">
        <f t="shared" si="1"/>
        <v>6"</v>
      </c>
      <c r="F28" s="20" t="s">
        <v>236</v>
      </c>
    </row>
    <row r="29" spans="1:8" x14ac:dyDescent="0.4">
      <c r="A29" s="20">
        <f>IF(ISBLANK(B29),"",MAX(A$6:$A28)+1)</f>
        <v>19</v>
      </c>
      <c r="B29" s="8" t="s">
        <v>200</v>
      </c>
      <c r="C29" s="8" t="s">
        <v>208</v>
      </c>
      <c r="D29" s="7">
        <v>55419783.740000002</v>
      </c>
      <c r="E29" s="20" t="str">
        <f t="shared" si="1"/>
        <v>8"</v>
      </c>
      <c r="F29" s="20" t="s">
        <v>236</v>
      </c>
    </row>
    <row r="30" spans="1:8" x14ac:dyDescent="0.4">
      <c r="A30" s="20">
        <f>IF(ISBLANK(B30),"",MAX(A$6:$A29)+1)</f>
        <v>20</v>
      </c>
      <c r="B30" s="8" t="s">
        <v>200</v>
      </c>
      <c r="C30" s="8" t="s">
        <v>210</v>
      </c>
      <c r="D30" s="7">
        <v>2659.55</v>
      </c>
      <c r="E30" s="20"/>
      <c r="F30" s="20" t="s">
        <v>236</v>
      </c>
    </row>
    <row r="31" spans="1:8" x14ac:dyDescent="0.4">
      <c r="A31" s="20">
        <f>IF(ISBLANK(B31),"",MAX(A$6:$A30)+1)</f>
        <v>21</v>
      </c>
      <c r="B31" s="8" t="s">
        <v>200</v>
      </c>
      <c r="C31" s="8" t="s">
        <v>212</v>
      </c>
      <c r="D31" s="7">
        <v>26533386.010000002</v>
      </c>
      <c r="E31" s="20"/>
      <c r="F31" s="20" t="s">
        <v>236</v>
      </c>
    </row>
    <row r="32" spans="1:8" x14ac:dyDescent="0.4">
      <c r="A32" s="20">
        <f>IF(ISBLANK(B32),"",MAX(A$6:$A31)+1)</f>
        <v>22</v>
      </c>
      <c r="B32" s="8" t="s">
        <v>213</v>
      </c>
      <c r="C32" s="8" t="s">
        <v>214</v>
      </c>
      <c r="D32" s="7">
        <v>125139913.7599999</v>
      </c>
      <c r="E32" s="20" t="str">
        <f t="shared" si="1"/>
        <v>2"</v>
      </c>
      <c r="F32" s="20" t="s">
        <v>237</v>
      </c>
    </row>
    <row r="33" spans="1:6" x14ac:dyDescent="0.4">
      <c r="A33" s="20">
        <f>IF(ISBLANK(B33),"",MAX(A$6:$A32)+1)</f>
        <v>23</v>
      </c>
      <c r="B33" s="8" t="s">
        <v>213</v>
      </c>
      <c r="C33" s="8" t="s">
        <v>215</v>
      </c>
      <c r="D33" s="7">
        <v>48120404.539999992</v>
      </c>
      <c r="E33" s="20" t="str">
        <f t="shared" si="1"/>
        <v>4"</v>
      </c>
      <c r="F33" s="20" t="s">
        <v>237</v>
      </c>
    </row>
    <row r="34" spans="1:6" x14ac:dyDescent="0.4">
      <c r="A34" s="20">
        <f>IF(ISBLANK(B34),"",MAX(A$6:$A33)+1)</f>
        <v>24</v>
      </c>
      <c r="B34" s="8" t="s">
        <v>213</v>
      </c>
      <c r="C34" s="8" t="s">
        <v>216</v>
      </c>
      <c r="D34" s="7">
        <v>27683481.727078013</v>
      </c>
      <c r="E34" s="20" t="str">
        <f t="shared" si="1"/>
        <v>6"</v>
      </c>
      <c r="F34" s="20" t="s">
        <v>237</v>
      </c>
    </row>
    <row r="35" spans="1:6" x14ac:dyDescent="0.4">
      <c r="A35" s="20">
        <f>IF(ISBLANK(B35),"",MAX(A$6:$A34)+1)</f>
        <v>25</v>
      </c>
      <c r="B35" s="8" t="s">
        <v>213</v>
      </c>
      <c r="C35" s="8" t="s">
        <v>217</v>
      </c>
      <c r="D35" s="7">
        <v>375572.52</v>
      </c>
      <c r="E35" s="20" t="str">
        <f t="shared" si="1"/>
        <v>8"</v>
      </c>
      <c r="F35" s="20" t="s">
        <v>237</v>
      </c>
    </row>
    <row r="36" spans="1:6" x14ac:dyDescent="0.4">
      <c r="A36" s="20">
        <f>IF(ISBLANK(B36),"",MAX(A$6:$A35)+1)</f>
        <v>26</v>
      </c>
      <c r="B36" s="8" t="s">
        <v>213</v>
      </c>
      <c r="C36" s="8" t="s">
        <v>212</v>
      </c>
      <c r="D36" s="7">
        <v>4524622.38</v>
      </c>
      <c r="E36" s="20"/>
      <c r="F36" s="20" t="s">
        <v>237</v>
      </c>
    </row>
    <row r="37" spans="1:6" x14ac:dyDescent="0.4">
      <c r="A37" s="20">
        <f>IF(ISBLANK(B37),"",MAX(A$6:$A36)+1)</f>
        <v>27</v>
      </c>
      <c r="B37" s="8" t="s">
        <v>218</v>
      </c>
      <c r="C37" s="8" t="s">
        <v>219</v>
      </c>
      <c r="D37" s="7">
        <v>179075.33000000002</v>
      </c>
      <c r="E37" s="20" t="str">
        <f t="shared" si="1"/>
        <v>10"</v>
      </c>
      <c r="F37" s="20" t="s">
        <v>238</v>
      </c>
    </row>
    <row r="38" spans="1:6" x14ac:dyDescent="0.4">
      <c r="A38" s="20">
        <f>IF(ISBLANK(B38),"",MAX(A$6:$A37)+1)</f>
        <v>28</v>
      </c>
      <c r="B38" s="8" t="s">
        <v>218</v>
      </c>
      <c r="C38" s="8" t="s">
        <v>220</v>
      </c>
      <c r="D38" s="7">
        <v>1641351.5599999998</v>
      </c>
      <c r="E38" s="20" t="str">
        <f t="shared" si="1"/>
        <v>12"</v>
      </c>
      <c r="F38" s="20" t="s">
        <v>238</v>
      </c>
    </row>
    <row r="39" spans="1:6" x14ac:dyDescent="0.4">
      <c r="A39" s="20">
        <f>IF(ISBLANK(B39),"",MAX(A$6:$A38)+1)</f>
        <v>29</v>
      </c>
      <c r="B39" s="8" t="s">
        <v>218</v>
      </c>
      <c r="C39" s="8" t="s">
        <v>221</v>
      </c>
      <c r="D39" s="7">
        <v>42209.32</v>
      </c>
      <c r="E39" s="20" t="str">
        <f t="shared" si="1"/>
        <v>16"</v>
      </c>
      <c r="F39" s="20" t="s">
        <v>238</v>
      </c>
    </row>
    <row r="40" spans="1:6" x14ac:dyDescent="0.4">
      <c r="A40" s="20">
        <f>IF(ISBLANK(B40),"",MAX(A$6:$A39)+1)</f>
        <v>30</v>
      </c>
      <c r="B40" s="8" t="s">
        <v>218</v>
      </c>
      <c r="C40" s="8" t="s">
        <v>222</v>
      </c>
      <c r="D40" s="7">
        <v>74632481.539999992</v>
      </c>
      <c r="E40" s="20" t="str">
        <f t="shared" si="1"/>
        <v>2"</v>
      </c>
      <c r="F40" s="20" t="s">
        <v>238</v>
      </c>
    </row>
    <row r="41" spans="1:6" x14ac:dyDescent="0.4">
      <c r="A41" s="20">
        <f>IF(ISBLANK(B41),"",MAX(A$6:$A40)+1)</f>
        <v>31</v>
      </c>
      <c r="B41" s="8" t="s">
        <v>218</v>
      </c>
      <c r="C41" s="8" t="s">
        <v>223</v>
      </c>
      <c r="D41" s="7">
        <v>27898160.320000004</v>
      </c>
      <c r="E41" s="20" t="str">
        <f t="shared" si="1"/>
        <v>4"</v>
      </c>
      <c r="F41" s="20" t="s">
        <v>238</v>
      </c>
    </row>
    <row r="42" spans="1:6" x14ac:dyDescent="0.4">
      <c r="A42" s="20">
        <f>IF(ISBLANK(B42),"",MAX(A$6:$A41)+1)</f>
        <v>32</v>
      </c>
      <c r="B42" s="8" t="s">
        <v>218</v>
      </c>
      <c r="C42" s="8" t="s">
        <v>224</v>
      </c>
      <c r="D42" s="7">
        <v>11995131.380000001</v>
      </c>
      <c r="E42" s="20" t="str">
        <f t="shared" si="1"/>
        <v>6"</v>
      </c>
      <c r="F42" s="20" t="s">
        <v>238</v>
      </c>
    </row>
    <row r="43" spans="1:6" x14ac:dyDescent="0.4">
      <c r="A43" s="20">
        <f>IF(ISBLANK(B43),"",MAX(A$6:$A42)+1)</f>
        <v>33</v>
      </c>
      <c r="B43" s="8" t="s">
        <v>218</v>
      </c>
      <c r="C43" s="8" t="s">
        <v>209</v>
      </c>
      <c r="D43" s="7">
        <v>7660818.5199999996</v>
      </c>
      <c r="E43" s="20" t="str">
        <f t="shared" si="1"/>
        <v>8"</v>
      </c>
      <c r="F43" s="20" t="s">
        <v>238</v>
      </c>
    </row>
    <row r="44" spans="1:6" x14ac:dyDescent="0.4">
      <c r="A44" s="20">
        <f>IF(ISBLANK(B44),"",MAX(A$6:$A43)+1)</f>
        <v>34</v>
      </c>
      <c r="B44" s="8" t="s">
        <v>218</v>
      </c>
      <c r="C44" s="8" t="s">
        <v>225</v>
      </c>
      <c r="D44" s="7">
        <v>3814.8</v>
      </c>
      <c r="E44" s="20"/>
      <c r="F44" s="20" t="s">
        <v>238</v>
      </c>
    </row>
    <row r="45" spans="1:6" x14ac:dyDescent="0.4">
      <c r="A45" s="20">
        <f>IF(ISBLANK(B45),"",MAX(A$6:$A44)+1)</f>
        <v>35</v>
      </c>
      <c r="B45" s="8" t="s">
        <v>218</v>
      </c>
      <c r="C45" s="8" t="s">
        <v>210</v>
      </c>
      <c r="D45" s="7">
        <v>13057.25</v>
      </c>
      <c r="E45" s="20"/>
      <c r="F45" s="20" t="s">
        <v>238</v>
      </c>
    </row>
    <row r="46" spans="1:6" x14ac:dyDescent="0.4">
      <c r="A46" s="20">
        <f>IF(ISBLANK(B46),"",MAX(A$6:$A45)+1)</f>
        <v>36</v>
      </c>
      <c r="B46" s="8" t="s">
        <v>218</v>
      </c>
      <c r="C46" s="8" t="s">
        <v>226</v>
      </c>
      <c r="D46" s="7">
        <v>971547.54</v>
      </c>
      <c r="E46" s="20"/>
      <c r="F46" s="20" t="s">
        <v>238</v>
      </c>
    </row>
    <row r="47" spans="1:6" x14ac:dyDescent="0.4">
      <c r="A47" s="20">
        <f>IF(ISBLANK(B47),"",MAX(A$6:$A46)+1)</f>
        <v>37</v>
      </c>
      <c r="B47" s="8" t="s">
        <v>218</v>
      </c>
      <c r="C47" s="8" t="s">
        <v>227</v>
      </c>
      <c r="D47" s="7">
        <v>46563.64</v>
      </c>
      <c r="E47" s="20"/>
      <c r="F47" s="20" t="s">
        <v>238</v>
      </c>
    </row>
    <row r="48" spans="1:6" x14ac:dyDescent="0.4">
      <c r="A48" s="20">
        <f>IF(ISBLANK(B48),"",MAX(A$6:$A47)+1)</f>
        <v>38</v>
      </c>
      <c r="B48" s="8" t="s">
        <v>218</v>
      </c>
      <c r="C48" s="8" t="s">
        <v>211</v>
      </c>
      <c r="D48" s="7">
        <v>2313.44</v>
      </c>
      <c r="E48" s="20"/>
      <c r="F48" s="20" t="s">
        <v>238</v>
      </c>
    </row>
    <row r="49" spans="1:6" x14ac:dyDescent="0.4">
      <c r="A49" s="20">
        <f>IF(ISBLANK(B49),"",MAX(A$6:$A48)+1)</f>
        <v>39</v>
      </c>
      <c r="B49" s="8" t="s">
        <v>218</v>
      </c>
      <c r="C49" s="8" t="s">
        <v>228</v>
      </c>
      <c r="D49" s="7">
        <v>4068.09</v>
      </c>
      <c r="E49" s="20"/>
      <c r="F49" s="20" t="s">
        <v>238</v>
      </c>
    </row>
    <row r="50" spans="1:6" x14ac:dyDescent="0.4">
      <c r="A50" s="20">
        <f>IF(ISBLANK(B50),"",MAX(A$6:$A49)+1)</f>
        <v>40</v>
      </c>
      <c r="B50" s="8" t="s">
        <v>218</v>
      </c>
      <c r="C50" s="8" t="s">
        <v>229</v>
      </c>
      <c r="D50" s="7">
        <v>708130.57000000007</v>
      </c>
      <c r="E50" s="20"/>
      <c r="F50" s="20" t="s">
        <v>238</v>
      </c>
    </row>
    <row r="51" spans="1:6" x14ac:dyDescent="0.4">
      <c r="A51" s="20">
        <f>IF(ISBLANK(B51),"",MAX(A$6:$A50)+1)</f>
        <v>41</v>
      </c>
      <c r="B51" s="8" t="s">
        <v>218</v>
      </c>
      <c r="C51" s="8" t="s">
        <v>212</v>
      </c>
      <c r="D51" s="7">
        <v>485659.40000000008</v>
      </c>
      <c r="E51" s="20"/>
      <c r="F51" s="20" t="s">
        <v>238</v>
      </c>
    </row>
    <row r="52" spans="1:6" x14ac:dyDescent="0.4">
      <c r="A52" s="20">
        <f>IF(ISBLANK(B52),"",MAX(A$6:$A51)+1)</f>
        <v>42</v>
      </c>
      <c r="B52" s="8" t="s">
        <v>218</v>
      </c>
      <c r="C52" s="8" t="s">
        <v>230</v>
      </c>
      <c r="D52" s="7">
        <v>50207.350000000006</v>
      </c>
      <c r="E52" s="20"/>
      <c r="F52" s="20" t="s">
        <v>238</v>
      </c>
    </row>
    <row r="53" spans="1:6" x14ac:dyDescent="0.4">
      <c r="A53" s="20">
        <f>IF(ISBLANK(B53),"",MAX(A$6:$A52)+1)</f>
        <v>43</v>
      </c>
      <c r="B53" s="8" t="s">
        <v>218</v>
      </c>
      <c r="C53" s="8" t="s">
        <v>231</v>
      </c>
      <c r="D53" s="7">
        <v>399052.30000000005</v>
      </c>
      <c r="E53" s="20"/>
      <c r="F53" s="20" t="s">
        <v>238</v>
      </c>
    </row>
    <row r="54" spans="1:6" x14ac:dyDescent="0.4">
      <c r="A54" s="20">
        <f>IF(ISBLANK(B54),"",MAX(A$6:$A53)+1)</f>
        <v>44</v>
      </c>
      <c r="B54" s="8" t="s">
        <v>235</v>
      </c>
      <c r="D54" s="7">
        <v>603790907.40854585</v>
      </c>
      <c r="E54" s="20"/>
    </row>
  </sheetData>
  <pageMargins left="0.7" right="0.7" top="0.75" bottom="0.75" header="0.3" footer="0.3"/>
  <pageSetup scale="8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D2BC-C1C0-4C80-8172-06B958EF4C99}">
  <sheetPr codeName="Sheet5"/>
  <dimension ref="A1:K164"/>
  <sheetViews>
    <sheetView workbookViewId="0">
      <selection activeCell="D28" sqref="D28"/>
    </sheetView>
  </sheetViews>
  <sheetFormatPr defaultColWidth="8.69140625" defaultRowHeight="14.6" x14ac:dyDescent="0.4"/>
  <cols>
    <col min="1" max="1" width="4.69140625" style="8" bestFit="1" customWidth="1"/>
    <col min="2" max="2" width="17.3828125" style="8" bestFit="1" customWidth="1"/>
    <col min="3" max="3" width="29.23046875" style="8" bestFit="1" customWidth="1"/>
    <col min="4" max="4" width="13.15234375" style="8" bestFit="1" customWidth="1"/>
    <col min="5" max="5" width="13.53515625" style="8" bestFit="1" customWidth="1"/>
    <col min="6" max="6" width="12.3828125" style="8" customWidth="1"/>
    <col min="7" max="7" width="8.69140625" style="8"/>
    <col min="8" max="8" width="11.23046875" style="8" customWidth="1"/>
    <col min="9" max="16384" width="8.69140625" style="8"/>
  </cols>
  <sheetData>
    <row r="1" spans="1:11" x14ac:dyDescent="0.4">
      <c r="A1" s="8" t="str">
        <f>Contents!A1</f>
        <v>Cascade Natural Gas Corp.</v>
      </c>
    </row>
    <row r="2" spans="1:11" x14ac:dyDescent="0.4">
      <c r="A2" s="8" t="s">
        <v>261</v>
      </c>
    </row>
    <row r="4" spans="1:11" x14ac:dyDescent="0.4">
      <c r="A4" s="8" t="s">
        <v>262</v>
      </c>
    </row>
    <row r="6" spans="1:11" ht="17.149999999999999" x14ac:dyDescent="0.7">
      <c r="A6" s="26" t="str">
        <f>EXTERNAL!A5</f>
        <v>Line</v>
      </c>
      <c r="B6" s="50" t="s">
        <v>400</v>
      </c>
      <c r="C6" s="26" t="s">
        <v>198</v>
      </c>
      <c r="D6" s="26" t="s">
        <v>407</v>
      </c>
      <c r="E6" s="26" t="s">
        <v>408</v>
      </c>
      <c r="F6" s="26" t="s">
        <v>408</v>
      </c>
    </row>
    <row r="7" spans="1:11" x14ac:dyDescent="0.4">
      <c r="A7" s="20" t="str">
        <f>IF(ISBLANK(B7),"",MAX(A$6:$A6)+1)</f>
        <v/>
      </c>
      <c r="C7" s="18"/>
      <c r="D7" s="18"/>
      <c r="E7" s="18"/>
    </row>
    <row r="8" spans="1:11" x14ac:dyDescent="0.4">
      <c r="A8" s="20">
        <f>IF(ISBLANK(B8),"",MAX(A$6:$A7)+1)</f>
        <v>1</v>
      </c>
      <c r="B8" s="8" t="s">
        <v>399</v>
      </c>
      <c r="C8" s="21">
        <f>SUMIFS($E$17:$E$164,$F$17:$F$164,_xlfn.TEXTBEFORE(B8," "))</f>
        <v>35749947.643839002</v>
      </c>
      <c r="D8" s="18">
        <f>C8/SUM($C$8:$C$10)*$C$11</f>
        <v>848539.81922138948</v>
      </c>
      <c r="E8" s="18">
        <f>SUM(C8:D8)</f>
        <v>36598487.463060394</v>
      </c>
    </row>
    <row r="9" spans="1:11" x14ac:dyDescent="0.4">
      <c r="A9" s="20">
        <f>IF(ISBLANK(B9),"",MAX(A$6:$A8)+1)</f>
        <v>2</v>
      </c>
      <c r="B9" s="8" t="s">
        <v>402</v>
      </c>
      <c r="C9" s="21">
        <f t="shared" ref="C9:C10" si="0">SUMIFS($E$17:$E$164,$F$17:$F$164,_xlfn.TEXTBEFORE(B9," "))</f>
        <v>1374462.2227150002</v>
      </c>
      <c r="D9" s="18">
        <f t="shared" ref="D9:D10" si="1">C9/SUM($C$8:$C$10)*$C$11</f>
        <v>32623.430322427568</v>
      </c>
      <c r="E9" s="18">
        <f t="shared" ref="E9:E11" si="2">SUM(C9:D9)</f>
        <v>1407085.6530374277</v>
      </c>
      <c r="F9" s="20"/>
    </row>
    <row r="10" spans="1:11" x14ac:dyDescent="0.4">
      <c r="A10" s="20">
        <f>IF(ISBLANK(B10),"",MAX(A$6:$A9)+1)</f>
        <v>3</v>
      </c>
      <c r="B10" s="8" t="s">
        <v>401</v>
      </c>
      <c r="C10" s="21">
        <f t="shared" si="0"/>
        <v>18560486.757803999</v>
      </c>
      <c r="D10" s="18">
        <f t="shared" si="1"/>
        <v>440540.84316518344</v>
      </c>
      <c r="E10" s="18">
        <f t="shared" si="2"/>
        <v>19001027.60096918</v>
      </c>
      <c r="F10" s="20"/>
    </row>
    <row r="11" spans="1:11" ht="17.149999999999999" x14ac:dyDescent="0.7">
      <c r="A11" s="20">
        <f>IF(ISBLANK(B11),"",MAX(A$6:$A10)+1)</f>
        <v>4</v>
      </c>
      <c r="B11" s="8" t="s">
        <v>409</v>
      </c>
      <c r="C11" s="21">
        <f>SUMIFS($E$17:$E$164,$F$17:$F$164,_xlfn.TEXTBEFORE(B11," "))</f>
        <v>1321704.0927090005</v>
      </c>
      <c r="D11" s="92">
        <f>-C11</f>
        <v>-1321704.0927090005</v>
      </c>
      <c r="E11" s="92">
        <f t="shared" si="2"/>
        <v>0</v>
      </c>
      <c r="F11" s="20"/>
    </row>
    <row r="12" spans="1:11" x14ac:dyDescent="0.4">
      <c r="A12" s="20">
        <f>IF(ISBLANK(B12),"",MAX(A$6:$A11)+1)</f>
        <v>5</v>
      </c>
      <c r="B12" s="8" t="s">
        <v>235</v>
      </c>
      <c r="C12" s="21">
        <f>SUM(C8:C11)</f>
        <v>57006600.717066996</v>
      </c>
      <c r="D12" s="21">
        <f>SUM(D8:D11)</f>
        <v>0</v>
      </c>
      <c r="E12" s="21">
        <f>SUM(E8:E11)</f>
        <v>57006600.717067003</v>
      </c>
    </row>
    <row r="13" spans="1:11" x14ac:dyDescent="0.4">
      <c r="A13" s="20" t="str">
        <f>IF(ISBLANK(B13),"",MAX(A$6:$A12)+1)</f>
        <v/>
      </c>
      <c r="D13" s="57"/>
      <c r="E13" s="57"/>
    </row>
    <row r="14" spans="1:11" x14ac:dyDescent="0.4">
      <c r="A14" s="20" t="str">
        <f>IF(ISBLANK(B14),"",MAX(A$6:$A13)+1)</f>
        <v/>
      </c>
    </row>
    <row r="15" spans="1:11" x14ac:dyDescent="0.4">
      <c r="A15" s="20">
        <f>IF(ISBLANK(B15),"",MAX(A$6:$A14)+1)</f>
        <v>6</v>
      </c>
      <c r="B15" s="8" t="s">
        <v>199</v>
      </c>
    </row>
    <row r="16" spans="1:11" ht="34.299999999999997" x14ac:dyDescent="0.7">
      <c r="A16" s="20">
        <f>IF(ISBLANK(B16),"",MAX(A$6:$A15)+1)</f>
        <v>7</v>
      </c>
      <c r="B16" s="50" t="s">
        <v>398</v>
      </c>
      <c r="C16" s="26" t="s">
        <v>2</v>
      </c>
      <c r="D16" s="26" t="s">
        <v>189</v>
      </c>
      <c r="E16" s="26" t="s">
        <v>263</v>
      </c>
      <c r="F16" s="26" t="s">
        <v>404</v>
      </c>
      <c r="G16" s="26" t="s">
        <v>401</v>
      </c>
      <c r="H16" s="26" t="s">
        <v>402</v>
      </c>
      <c r="I16" s="26" t="s">
        <v>175</v>
      </c>
      <c r="K16" s="8" t="s">
        <v>397</v>
      </c>
    </row>
    <row r="17" spans="1:9" x14ac:dyDescent="0.4">
      <c r="A17" s="20">
        <f>IF(ISBLANK(B17),"",MAX(A$6:$A16)+1)</f>
        <v>8</v>
      </c>
      <c r="B17" s="20">
        <v>357506165</v>
      </c>
      <c r="C17" s="8" t="s">
        <v>342</v>
      </c>
      <c r="D17" s="7">
        <v>63525.310000000005</v>
      </c>
      <c r="E17" s="7">
        <v>47688.450217000005</v>
      </c>
      <c r="F17" s="58" t="s">
        <v>405</v>
      </c>
      <c r="G17" s="7"/>
      <c r="H17" s="7"/>
      <c r="I17" s="7"/>
    </row>
    <row r="18" spans="1:9" x14ac:dyDescent="0.4">
      <c r="A18" s="20">
        <f>IF(ISBLANK(B18),"",MAX(A$6:$A17)+1)</f>
        <v>9</v>
      </c>
      <c r="B18" s="20">
        <v>233855568</v>
      </c>
      <c r="C18" s="8" t="s">
        <v>308</v>
      </c>
      <c r="D18" s="7">
        <v>971523.08000000007</v>
      </c>
      <c r="E18" s="7">
        <v>729322.37615600007</v>
      </c>
      <c r="F18" s="58" t="s">
        <v>405</v>
      </c>
      <c r="G18" s="7"/>
      <c r="H18" s="7"/>
      <c r="I18" s="7"/>
    </row>
    <row r="19" spans="1:9" x14ac:dyDescent="0.4">
      <c r="A19" s="20">
        <f>IF(ISBLANK(B19),"",MAX(A$6:$A18)+1)</f>
        <v>10</v>
      </c>
      <c r="B19" s="20">
        <v>260595579</v>
      </c>
      <c r="C19" s="8" t="s">
        <v>327</v>
      </c>
      <c r="D19" s="7">
        <v>236379.06</v>
      </c>
      <c r="E19" s="7">
        <v>177449.76034199999</v>
      </c>
      <c r="F19" s="58" t="s">
        <v>405</v>
      </c>
      <c r="G19" s="7"/>
      <c r="H19" s="7"/>
      <c r="I19" s="7"/>
    </row>
    <row r="20" spans="1:9" x14ac:dyDescent="0.4">
      <c r="A20" s="20">
        <f>IF(ISBLANK(B20),"",MAX(A$6:$A19)+1)</f>
        <v>11</v>
      </c>
      <c r="B20" s="20">
        <v>81076177</v>
      </c>
      <c r="C20" s="8" t="s">
        <v>299</v>
      </c>
      <c r="D20" s="7">
        <v>695173.17</v>
      </c>
      <c r="E20" s="7">
        <v>521866.49871900008</v>
      </c>
      <c r="F20" s="58" t="s">
        <v>405</v>
      </c>
      <c r="G20" s="7"/>
      <c r="H20" s="7"/>
      <c r="I20" s="7"/>
    </row>
    <row r="21" spans="1:9" x14ac:dyDescent="0.4">
      <c r="A21" s="20">
        <f>IF(ISBLANK(B21),"",MAX(A$6:$A20)+1)</f>
        <v>12</v>
      </c>
      <c r="B21" s="20">
        <v>81076133</v>
      </c>
      <c r="C21" s="8" t="s">
        <v>380</v>
      </c>
      <c r="D21" s="7">
        <v>3845179.74</v>
      </c>
      <c r="E21" s="7">
        <v>2886576.4308180003</v>
      </c>
      <c r="F21" s="58" t="s">
        <v>405</v>
      </c>
      <c r="G21" s="7"/>
      <c r="H21" s="7"/>
      <c r="I21" s="7"/>
    </row>
    <row r="22" spans="1:9" x14ac:dyDescent="0.4">
      <c r="A22" s="20">
        <f>IF(ISBLANK(B22),"",MAX(A$6:$A21)+1)</f>
        <v>13</v>
      </c>
      <c r="B22" s="20">
        <v>81076221</v>
      </c>
      <c r="C22" s="8" t="s">
        <v>347</v>
      </c>
      <c r="D22" s="7">
        <v>14611757.16</v>
      </c>
      <c r="E22" s="7">
        <v>10969046.100012001</v>
      </c>
      <c r="F22" s="58" t="s">
        <v>405</v>
      </c>
      <c r="G22" s="7"/>
      <c r="H22" s="7"/>
      <c r="I22" s="7"/>
    </row>
    <row r="23" spans="1:9" x14ac:dyDescent="0.4">
      <c r="A23" s="20">
        <f>IF(ISBLANK(B23),"",MAX(A$6:$A22)+1)</f>
        <v>14</v>
      </c>
      <c r="B23" s="20">
        <v>81076166</v>
      </c>
      <c r="C23" s="8" t="s">
        <v>381</v>
      </c>
      <c r="D23" s="7">
        <v>1461483.87</v>
      </c>
      <c r="E23" s="7">
        <v>1097135.9412090001</v>
      </c>
      <c r="F23" s="58" t="s">
        <v>405</v>
      </c>
      <c r="G23" s="7"/>
      <c r="H23" s="7"/>
      <c r="I23" s="7"/>
    </row>
    <row r="24" spans="1:9" x14ac:dyDescent="0.4">
      <c r="A24" s="20">
        <f>IF(ISBLANK(B24),"",MAX(A$6:$A23)+1)</f>
        <v>15</v>
      </c>
      <c r="B24" s="20">
        <v>124113583</v>
      </c>
      <c r="C24" s="8" t="s">
        <v>309</v>
      </c>
      <c r="D24" s="7">
        <v>274380.34999999998</v>
      </c>
      <c r="E24" s="7">
        <v>205977.32874500001</v>
      </c>
      <c r="F24" s="58" t="s">
        <v>405</v>
      </c>
      <c r="G24" s="7"/>
      <c r="H24" s="7"/>
      <c r="I24" s="7"/>
    </row>
    <row r="25" spans="1:9" x14ac:dyDescent="0.4">
      <c r="A25" s="20">
        <f>IF(ISBLANK(B25),"",MAX(A$6:$A24)+1)</f>
        <v>16</v>
      </c>
      <c r="B25" s="20">
        <v>309777614</v>
      </c>
      <c r="C25" s="8" t="s">
        <v>309</v>
      </c>
      <c r="D25" s="7">
        <v>332151.89</v>
      </c>
      <c r="E25" s="7">
        <v>249346.42382300002</v>
      </c>
      <c r="F25" s="58" t="s">
        <v>405</v>
      </c>
      <c r="G25" s="7"/>
      <c r="H25" s="7"/>
      <c r="I25" s="7"/>
    </row>
    <row r="26" spans="1:9" x14ac:dyDescent="0.4">
      <c r="A26" s="20">
        <f>IF(ISBLANK(B26),"",MAX(A$6:$A25)+1)</f>
        <v>17</v>
      </c>
      <c r="B26" s="20">
        <v>232334227</v>
      </c>
      <c r="C26" s="8" t="s">
        <v>395</v>
      </c>
      <c r="D26" s="7">
        <v>831557.87</v>
      </c>
      <c r="E26" s="7">
        <v>831557.87</v>
      </c>
      <c r="F26" s="58" t="s">
        <v>403</v>
      </c>
      <c r="G26" s="7"/>
      <c r="H26" s="7"/>
      <c r="I26" s="7"/>
    </row>
    <row r="27" spans="1:9" x14ac:dyDescent="0.4">
      <c r="A27" s="20">
        <f>IF(ISBLANK(B27),"",MAX(A$6:$A26)+1)</f>
        <v>18</v>
      </c>
      <c r="B27" s="20">
        <v>81075533</v>
      </c>
      <c r="C27" s="8" t="s">
        <v>275</v>
      </c>
      <c r="D27" s="7">
        <v>113374.44</v>
      </c>
      <c r="E27" s="7">
        <v>0</v>
      </c>
      <c r="F27" s="58" t="s">
        <v>403</v>
      </c>
      <c r="G27" s="7"/>
      <c r="H27" s="7"/>
      <c r="I27" s="7"/>
    </row>
    <row r="28" spans="1:9" x14ac:dyDescent="0.4">
      <c r="A28" s="20">
        <f>IF(ISBLANK(B28),"",MAX(A$6:$A27)+1)</f>
        <v>19</v>
      </c>
      <c r="B28" s="20">
        <v>81075542</v>
      </c>
      <c r="C28" s="8" t="s">
        <v>296</v>
      </c>
      <c r="D28" s="7">
        <v>1218966.19</v>
      </c>
      <c r="E28" s="7">
        <v>1218966.19</v>
      </c>
      <c r="F28" s="58" t="s">
        <v>403</v>
      </c>
      <c r="G28" s="7"/>
      <c r="H28" s="7"/>
      <c r="I28" s="7"/>
    </row>
    <row r="29" spans="1:9" x14ac:dyDescent="0.4">
      <c r="A29" s="20">
        <f>IF(ISBLANK(B29),"",MAX(A$6:$A28)+1)</f>
        <v>20</v>
      </c>
      <c r="B29" s="20">
        <v>81075551</v>
      </c>
      <c r="C29" s="8" t="s">
        <v>333</v>
      </c>
      <c r="D29" s="7">
        <v>45037.37</v>
      </c>
      <c r="E29" s="7">
        <v>45037.37</v>
      </c>
      <c r="F29" s="58" t="s">
        <v>403</v>
      </c>
      <c r="G29" s="7"/>
      <c r="H29" s="7"/>
      <c r="I29" s="7"/>
    </row>
    <row r="30" spans="1:9" x14ac:dyDescent="0.4">
      <c r="A30" s="20">
        <f>IF(ISBLANK(B30),"",MAX(A$6:$A29)+1)</f>
        <v>21</v>
      </c>
      <c r="B30" s="20">
        <v>232334208</v>
      </c>
      <c r="C30" s="8" t="s">
        <v>294</v>
      </c>
      <c r="D30" s="7">
        <v>1398045.27</v>
      </c>
      <c r="E30" s="7">
        <v>1398045.27</v>
      </c>
      <c r="F30" s="58" t="s">
        <v>403</v>
      </c>
      <c r="G30" s="7"/>
      <c r="H30" s="7"/>
      <c r="I30" s="7"/>
    </row>
    <row r="31" spans="1:9" x14ac:dyDescent="0.4">
      <c r="A31" s="20">
        <f>IF(ISBLANK(B31),"",MAX(A$6:$A30)+1)</f>
        <v>22</v>
      </c>
      <c r="B31" s="20">
        <v>232334205</v>
      </c>
      <c r="C31" s="8" t="s">
        <v>316</v>
      </c>
      <c r="D31" s="7">
        <v>3288469.6</v>
      </c>
      <c r="E31" s="7">
        <v>3288469.6</v>
      </c>
      <c r="F31" s="58" t="s">
        <v>403</v>
      </c>
      <c r="G31" s="7"/>
      <c r="H31" s="7"/>
      <c r="I31" s="7"/>
    </row>
    <row r="32" spans="1:9" x14ac:dyDescent="0.4">
      <c r="A32" s="20">
        <f>IF(ISBLANK(B32),"",MAX(A$6:$A31)+1)</f>
        <v>23</v>
      </c>
      <c r="B32" s="20">
        <v>272698104</v>
      </c>
      <c r="C32" s="8" t="s">
        <v>393</v>
      </c>
      <c r="D32" s="7">
        <v>2839132.67</v>
      </c>
      <c r="E32" s="7">
        <v>2839132.67</v>
      </c>
      <c r="F32" s="58" t="s">
        <v>403</v>
      </c>
      <c r="G32" s="7"/>
      <c r="H32" s="7"/>
      <c r="I32" s="7"/>
    </row>
    <row r="33" spans="1:9" x14ac:dyDescent="0.4">
      <c r="A33" s="20">
        <f>IF(ISBLANK(B33),"",MAX(A$6:$A32)+1)</f>
        <v>24</v>
      </c>
      <c r="B33" s="20">
        <v>104293075</v>
      </c>
      <c r="C33" s="8" t="s">
        <v>293</v>
      </c>
      <c r="D33" s="7">
        <v>1684.8500000000001</v>
      </c>
      <c r="E33" s="7">
        <v>1684.8500000000001</v>
      </c>
      <c r="F33" s="58" t="s">
        <v>403</v>
      </c>
      <c r="G33" s="7"/>
      <c r="H33" s="7"/>
      <c r="I33" s="7"/>
    </row>
    <row r="34" spans="1:9" x14ac:dyDescent="0.4">
      <c r="A34" s="20">
        <f>IF(ISBLANK(B34),"",MAX(A$6:$A33)+1)</f>
        <v>25</v>
      </c>
      <c r="B34" s="20">
        <v>223914527</v>
      </c>
      <c r="C34" s="8" t="s">
        <v>394</v>
      </c>
      <c r="D34" s="7">
        <v>114138.94</v>
      </c>
      <c r="E34" s="7">
        <v>114138.94</v>
      </c>
      <c r="F34" s="58" t="s">
        <v>403</v>
      </c>
      <c r="G34" s="7"/>
      <c r="H34" s="7"/>
      <c r="I34" s="7"/>
    </row>
    <row r="35" spans="1:9" x14ac:dyDescent="0.4">
      <c r="A35" s="20">
        <f>IF(ISBLANK(B35),"",MAX(A$6:$A34)+1)</f>
        <v>26</v>
      </c>
      <c r="B35" s="20">
        <v>146567580</v>
      </c>
      <c r="C35" s="8" t="s">
        <v>297</v>
      </c>
      <c r="D35" s="7">
        <v>5944.9800000000005</v>
      </c>
      <c r="E35" s="7">
        <v>5944.9800000000005</v>
      </c>
      <c r="F35" s="58" t="s">
        <v>403</v>
      </c>
      <c r="G35" s="7"/>
      <c r="H35" s="7"/>
      <c r="I35" s="7"/>
    </row>
    <row r="36" spans="1:9" x14ac:dyDescent="0.4">
      <c r="A36" s="20">
        <f>IF(ISBLANK(B36),"",MAX(A$6:$A35)+1)</f>
        <v>27</v>
      </c>
      <c r="B36" s="20">
        <v>104293378</v>
      </c>
      <c r="C36" s="8" t="s">
        <v>274</v>
      </c>
      <c r="D36" s="7">
        <v>5127.68</v>
      </c>
      <c r="E36" s="7">
        <v>5127.68</v>
      </c>
      <c r="F36" s="58" t="s">
        <v>403</v>
      </c>
      <c r="G36" s="7"/>
      <c r="H36" s="7"/>
      <c r="I36" s="7"/>
    </row>
    <row r="37" spans="1:9" x14ac:dyDescent="0.4">
      <c r="A37" s="20">
        <f>IF(ISBLANK(B37),"",MAX(A$6:$A36)+1)</f>
        <v>28</v>
      </c>
      <c r="B37" s="20">
        <v>104293072</v>
      </c>
      <c r="C37" s="8" t="s">
        <v>331</v>
      </c>
      <c r="D37" s="7">
        <v>5834.92</v>
      </c>
      <c r="E37" s="7">
        <v>5834.92</v>
      </c>
      <c r="F37" s="58" t="s">
        <v>403</v>
      </c>
      <c r="G37" s="7"/>
      <c r="H37" s="7"/>
      <c r="I37" s="7"/>
    </row>
    <row r="38" spans="1:9" x14ac:dyDescent="0.4">
      <c r="A38" s="20">
        <f>IF(ISBLANK(B38),"",MAX(A$6:$A37)+1)</f>
        <v>29</v>
      </c>
      <c r="B38" s="20">
        <v>146567583</v>
      </c>
      <c r="C38" s="8" t="s">
        <v>298</v>
      </c>
      <c r="D38" s="7">
        <v>2055.92</v>
      </c>
      <c r="E38" s="7">
        <v>2055.92</v>
      </c>
      <c r="F38" s="58" t="s">
        <v>403</v>
      </c>
      <c r="G38" s="7"/>
      <c r="H38" s="7"/>
      <c r="I38" s="7"/>
    </row>
    <row r="39" spans="1:9" x14ac:dyDescent="0.4">
      <c r="A39" s="20">
        <f>IF(ISBLANK(B39),"",MAX(A$6:$A38)+1)</f>
        <v>30</v>
      </c>
      <c r="B39" s="20">
        <v>232334202</v>
      </c>
      <c r="C39" s="8" t="s">
        <v>377</v>
      </c>
      <c r="D39" s="7">
        <v>1227239.3400000001</v>
      </c>
      <c r="E39" s="7">
        <v>1227239.3400000001</v>
      </c>
      <c r="F39" s="58" t="s">
        <v>403</v>
      </c>
      <c r="G39" s="7"/>
      <c r="H39" s="7"/>
      <c r="I39" s="7"/>
    </row>
    <row r="40" spans="1:9" x14ac:dyDescent="0.4">
      <c r="A40" s="20">
        <f>IF(ISBLANK(B40),"",MAX(A$6:$A39)+1)</f>
        <v>31</v>
      </c>
      <c r="B40" s="20">
        <v>114954216</v>
      </c>
      <c r="C40" s="8" t="s">
        <v>348</v>
      </c>
      <c r="D40" s="7">
        <v>1016861.1</v>
      </c>
      <c r="E40" s="7">
        <v>0</v>
      </c>
      <c r="F40" s="58" t="s">
        <v>403</v>
      </c>
      <c r="G40" s="7"/>
      <c r="H40" s="7"/>
      <c r="I40" s="7"/>
    </row>
    <row r="41" spans="1:9" x14ac:dyDescent="0.4">
      <c r="A41" s="20">
        <f>IF(ISBLANK(B41),"",MAX(A$6:$A40)+1)</f>
        <v>32</v>
      </c>
      <c r="B41" s="20">
        <v>124117197</v>
      </c>
      <c r="C41" s="8" t="s">
        <v>378</v>
      </c>
      <c r="D41" s="7">
        <v>1562843.6099999999</v>
      </c>
      <c r="E41" s="7">
        <v>1562843.6099999999</v>
      </c>
      <c r="F41" s="58" t="s">
        <v>403</v>
      </c>
      <c r="G41" s="7"/>
      <c r="H41" s="7"/>
      <c r="I41" s="7"/>
    </row>
    <row r="42" spans="1:9" x14ac:dyDescent="0.4">
      <c r="A42" s="20">
        <f>IF(ISBLANK(B42),"",MAX(A$6:$A41)+1)</f>
        <v>33</v>
      </c>
      <c r="B42" s="20">
        <v>138724264</v>
      </c>
      <c r="C42" s="8" t="s">
        <v>332</v>
      </c>
      <c r="D42" s="7">
        <v>104590.93000000001</v>
      </c>
      <c r="E42" s="7">
        <v>104590.93000000001</v>
      </c>
      <c r="F42" s="58" t="s">
        <v>403</v>
      </c>
      <c r="G42" s="7"/>
      <c r="H42" s="7"/>
      <c r="I42" s="7"/>
    </row>
    <row r="43" spans="1:9" x14ac:dyDescent="0.4">
      <c r="A43" s="20">
        <f>IF(ISBLANK(B43),"",MAX(A$6:$A42)+1)</f>
        <v>34</v>
      </c>
      <c r="B43" s="20">
        <v>124117204</v>
      </c>
      <c r="C43" s="8" t="s">
        <v>365</v>
      </c>
      <c r="D43" s="7">
        <v>665804.99</v>
      </c>
      <c r="E43" s="7">
        <v>665804.99</v>
      </c>
      <c r="F43" s="58" t="s">
        <v>403</v>
      </c>
      <c r="G43" s="7"/>
      <c r="H43" s="7"/>
      <c r="I43" s="7"/>
    </row>
    <row r="44" spans="1:9" x14ac:dyDescent="0.4">
      <c r="A44" s="20">
        <f>IF(ISBLANK(B44),"",MAX(A$6:$A43)+1)</f>
        <v>35</v>
      </c>
      <c r="B44" s="20">
        <v>124117201</v>
      </c>
      <c r="C44" s="8" t="s">
        <v>295</v>
      </c>
      <c r="D44" s="7">
        <v>1817585.2000000002</v>
      </c>
      <c r="E44" s="7">
        <v>0</v>
      </c>
      <c r="F44" s="58" t="s">
        <v>403</v>
      </c>
      <c r="G44" s="7"/>
      <c r="H44" s="7"/>
      <c r="I44" s="7"/>
    </row>
    <row r="45" spans="1:9" x14ac:dyDescent="0.4">
      <c r="A45" s="20">
        <f>IF(ISBLANK(B45),"",MAX(A$6:$A44)+1)</f>
        <v>36</v>
      </c>
      <c r="B45" s="20">
        <v>233855556</v>
      </c>
      <c r="C45" s="8" t="s">
        <v>335</v>
      </c>
      <c r="D45" s="7">
        <v>5460016.0099999998</v>
      </c>
      <c r="E45" s="7">
        <v>5460016.0099999998</v>
      </c>
      <c r="F45" s="58" t="s">
        <v>403</v>
      </c>
      <c r="G45" s="7"/>
      <c r="H45" s="7"/>
      <c r="I45" s="7"/>
    </row>
    <row r="46" spans="1:9" x14ac:dyDescent="0.4">
      <c r="A46" s="20">
        <f>IF(ISBLANK(B46),"",MAX(A$6:$A45)+1)</f>
        <v>37</v>
      </c>
      <c r="B46" s="20">
        <v>309777643</v>
      </c>
      <c r="C46" s="8" t="s">
        <v>334</v>
      </c>
      <c r="D46" s="7">
        <v>1584485.78</v>
      </c>
      <c r="E46" s="7">
        <v>1584485.78</v>
      </c>
      <c r="F46" s="58" t="s">
        <v>403</v>
      </c>
      <c r="G46" s="7"/>
      <c r="H46" s="7"/>
      <c r="I46" s="7"/>
    </row>
    <row r="47" spans="1:9" x14ac:dyDescent="0.4">
      <c r="A47" s="20">
        <f>IF(ISBLANK(B47),"",MAX(A$6:$A46)+1)</f>
        <v>38</v>
      </c>
      <c r="B47" s="20">
        <v>81076042</v>
      </c>
      <c r="C47" s="8" t="s">
        <v>358</v>
      </c>
      <c r="D47" s="7">
        <v>131168.49</v>
      </c>
      <c r="E47" s="7">
        <v>98468.185442999995</v>
      </c>
      <c r="F47" s="58" t="s">
        <v>403</v>
      </c>
      <c r="G47" s="7"/>
      <c r="H47" s="7"/>
      <c r="I47" s="7"/>
    </row>
    <row r="48" spans="1:9" x14ac:dyDescent="0.4">
      <c r="A48" s="20">
        <f>IF(ISBLANK(B48),"",MAX(A$6:$A47)+1)</f>
        <v>39</v>
      </c>
      <c r="B48" s="20">
        <v>81076188</v>
      </c>
      <c r="C48" s="8" t="s">
        <v>376</v>
      </c>
      <c r="D48" s="7">
        <v>541240.59</v>
      </c>
      <c r="E48" s="7">
        <v>406309.31091300002</v>
      </c>
      <c r="F48" s="58" t="s">
        <v>403</v>
      </c>
      <c r="G48" s="7"/>
      <c r="H48" s="7"/>
      <c r="I48" s="7"/>
    </row>
    <row r="49" spans="1:9" x14ac:dyDescent="0.4">
      <c r="A49" s="20">
        <f>IF(ISBLANK(B49),"",MAX(A$6:$A48)+1)</f>
        <v>40</v>
      </c>
      <c r="B49" s="20">
        <v>81076011</v>
      </c>
      <c r="C49" s="8" t="s">
        <v>270</v>
      </c>
      <c r="D49" s="7">
        <v>760941.69000000006</v>
      </c>
      <c r="E49" s="7">
        <v>571238.92668300006</v>
      </c>
      <c r="F49" s="58" t="s">
        <v>403</v>
      </c>
      <c r="G49" s="7"/>
      <c r="H49" s="7"/>
      <c r="I49" s="7"/>
    </row>
    <row r="50" spans="1:9" x14ac:dyDescent="0.4">
      <c r="A50" s="20">
        <f>IF(ISBLANK(B50),"",MAX(A$6:$A49)+1)</f>
        <v>41</v>
      </c>
      <c r="B50" s="20">
        <v>81076000</v>
      </c>
      <c r="C50" s="8" t="s">
        <v>326</v>
      </c>
      <c r="D50" s="7">
        <v>1398379.8900000001</v>
      </c>
      <c r="E50" s="7">
        <v>1049763.7834230002</v>
      </c>
      <c r="F50" s="58" t="s">
        <v>403</v>
      </c>
      <c r="G50" s="7"/>
      <c r="H50" s="7"/>
      <c r="I50" s="7"/>
    </row>
    <row r="51" spans="1:9" x14ac:dyDescent="0.4">
      <c r="A51" s="20">
        <f>IF(ISBLANK(B51),"",MAX(A$6:$A50)+1)</f>
        <v>42</v>
      </c>
      <c r="B51" s="20">
        <v>233882956</v>
      </c>
      <c r="C51" s="8" t="s">
        <v>310</v>
      </c>
      <c r="D51" s="7">
        <v>118200.88</v>
      </c>
      <c r="E51" s="7">
        <v>88733.400616000014</v>
      </c>
      <c r="F51" s="58" t="s">
        <v>403</v>
      </c>
      <c r="G51" s="7"/>
      <c r="H51" s="7"/>
      <c r="I51" s="7"/>
    </row>
    <row r="52" spans="1:9" x14ac:dyDescent="0.4">
      <c r="A52" s="20">
        <f>IF(ISBLANK(B52),"",MAX(A$6:$A51)+1)</f>
        <v>43</v>
      </c>
      <c r="B52" s="20">
        <v>157891542</v>
      </c>
      <c r="C52" s="8" t="s">
        <v>265</v>
      </c>
      <c r="D52" s="7">
        <v>77908.990000000005</v>
      </c>
      <c r="E52" s="7">
        <v>58486.278793000005</v>
      </c>
      <c r="F52" s="58" t="s">
        <v>403</v>
      </c>
      <c r="G52" s="7"/>
      <c r="H52" s="7"/>
      <c r="I52" s="7"/>
    </row>
    <row r="53" spans="1:9" x14ac:dyDescent="0.4">
      <c r="A53" s="20">
        <f>IF(ISBLANK(B53),"",MAX(A$6:$A52)+1)</f>
        <v>44</v>
      </c>
      <c r="B53" s="20">
        <v>81075966</v>
      </c>
      <c r="C53" s="8" t="s">
        <v>265</v>
      </c>
      <c r="D53" s="7">
        <v>182264.72</v>
      </c>
      <c r="E53" s="7">
        <v>136826.12530400002</v>
      </c>
      <c r="F53" s="58" t="s">
        <v>403</v>
      </c>
      <c r="G53" s="7"/>
      <c r="H53" s="7"/>
      <c r="I53" s="7"/>
    </row>
    <row r="54" spans="1:9" x14ac:dyDescent="0.4">
      <c r="A54" s="20">
        <f>IF(ISBLANK(B54),"",MAX(A$6:$A53)+1)</f>
        <v>45</v>
      </c>
      <c r="B54" s="20">
        <v>272744341</v>
      </c>
      <c r="C54" s="8" t="s">
        <v>265</v>
      </c>
      <c r="D54" s="7">
        <v>36908.83</v>
      </c>
      <c r="E54" s="7">
        <v>27707.458681000004</v>
      </c>
      <c r="F54" s="58" t="s">
        <v>403</v>
      </c>
      <c r="G54" s="7"/>
      <c r="H54" s="7"/>
      <c r="I54" s="7"/>
    </row>
    <row r="55" spans="1:9" x14ac:dyDescent="0.4">
      <c r="A55" s="20">
        <f>IF(ISBLANK(B55),"",MAX(A$6:$A54)+1)</f>
        <v>46</v>
      </c>
      <c r="B55" s="20">
        <v>92123195</v>
      </c>
      <c r="C55" s="8" t="s">
        <v>272</v>
      </c>
      <c r="D55" s="7">
        <v>732.29</v>
      </c>
      <c r="E55" s="7">
        <v>549.73010299999999</v>
      </c>
      <c r="F55" s="58" t="s">
        <v>403</v>
      </c>
      <c r="G55" s="7"/>
      <c r="H55" s="7"/>
      <c r="I55" s="7"/>
    </row>
    <row r="56" spans="1:9" x14ac:dyDescent="0.4">
      <c r="A56" s="20">
        <f>IF(ISBLANK(B56),"",MAX(A$6:$A55)+1)</f>
        <v>47</v>
      </c>
      <c r="B56" s="20">
        <v>81076071</v>
      </c>
      <c r="C56" s="8" t="s">
        <v>272</v>
      </c>
      <c r="D56" s="7">
        <v>153134.17000000001</v>
      </c>
      <c r="E56" s="7">
        <v>114957.82141900001</v>
      </c>
      <c r="F56" s="58" t="s">
        <v>403</v>
      </c>
      <c r="G56" s="7"/>
      <c r="H56" s="7"/>
      <c r="I56" s="7"/>
    </row>
    <row r="57" spans="1:9" x14ac:dyDescent="0.4">
      <c r="A57" s="20">
        <f>IF(ISBLANK(B57),"",MAX(A$6:$A56)+1)</f>
        <v>48</v>
      </c>
      <c r="B57" s="20">
        <v>99893703</v>
      </c>
      <c r="C57" s="8" t="s">
        <v>322</v>
      </c>
      <c r="D57" s="7">
        <v>100763.64</v>
      </c>
      <c r="E57" s="7">
        <v>75643.264548000006</v>
      </c>
      <c r="F57" s="58" t="s">
        <v>403</v>
      </c>
      <c r="G57" s="7"/>
      <c r="H57" s="7"/>
      <c r="I57" s="7"/>
    </row>
    <row r="58" spans="1:9" x14ac:dyDescent="0.4">
      <c r="A58" s="20">
        <f>IF(ISBLANK(B58),"",MAX(A$6:$A57)+1)</f>
        <v>49</v>
      </c>
      <c r="B58" s="20">
        <v>124113589</v>
      </c>
      <c r="C58" s="8" t="s">
        <v>343</v>
      </c>
      <c r="D58" s="7">
        <v>102398.32</v>
      </c>
      <c r="E58" s="7">
        <v>76870.418824000008</v>
      </c>
      <c r="F58" s="58" t="s">
        <v>403</v>
      </c>
      <c r="G58" s="7"/>
      <c r="H58" s="7"/>
      <c r="I58" s="7"/>
    </row>
    <row r="59" spans="1:9" x14ac:dyDescent="0.4">
      <c r="A59" s="20">
        <f>IF(ISBLANK(B59),"",MAX(A$6:$A58)+1)</f>
        <v>50</v>
      </c>
      <c r="B59" s="20">
        <v>233882933</v>
      </c>
      <c r="C59" s="8" t="s">
        <v>271</v>
      </c>
      <c r="D59" s="7">
        <v>143533.31</v>
      </c>
      <c r="E59" s="7">
        <v>107750.45581700001</v>
      </c>
      <c r="F59" s="58" t="s">
        <v>403</v>
      </c>
      <c r="G59" s="7"/>
      <c r="H59" s="7"/>
      <c r="I59" s="7"/>
    </row>
    <row r="60" spans="1:9" x14ac:dyDescent="0.4">
      <c r="A60" s="20">
        <f>IF(ISBLANK(B60),"",MAX(A$6:$A59)+1)</f>
        <v>51</v>
      </c>
      <c r="B60" s="20">
        <v>272744338</v>
      </c>
      <c r="C60" s="8" t="s">
        <v>312</v>
      </c>
      <c r="D60" s="7">
        <v>285218.82</v>
      </c>
      <c r="E60" s="7">
        <v>214113.76817400003</v>
      </c>
      <c r="F60" s="58" t="s">
        <v>403</v>
      </c>
      <c r="G60" s="7"/>
      <c r="H60" s="7"/>
      <c r="I60" s="7"/>
    </row>
    <row r="61" spans="1:9" x14ac:dyDescent="0.4">
      <c r="A61" s="20">
        <f>IF(ISBLANK(B61),"",MAX(A$6:$A60)+1)</f>
        <v>52</v>
      </c>
      <c r="B61" s="20">
        <v>81076210</v>
      </c>
      <c r="C61" s="8" t="s">
        <v>292</v>
      </c>
      <c r="D61" s="7">
        <v>880406.97</v>
      </c>
      <c r="E61" s="7">
        <v>660921.51237899996</v>
      </c>
      <c r="F61" s="58" t="s">
        <v>403</v>
      </c>
      <c r="G61" s="7"/>
      <c r="H61" s="7"/>
      <c r="I61" s="7"/>
    </row>
    <row r="62" spans="1:9" x14ac:dyDescent="0.4">
      <c r="A62" s="20">
        <f>IF(ISBLANK(B62),"",MAX(A$6:$A61)+1)</f>
        <v>53</v>
      </c>
      <c r="B62" s="20">
        <v>81076155</v>
      </c>
      <c r="C62" s="8" t="s">
        <v>318</v>
      </c>
      <c r="D62" s="7">
        <v>270056.2</v>
      </c>
      <c r="E62" s="7">
        <v>202731.18934000001</v>
      </c>
      <c r="F62" s="58" t="s">
        <v>403</v>
      </c>
      <c r="G62" s="7"/>
      <c r="H62" s="7"/>
      <c r="I62" s="7"/>
    </row>
    <row r="63" spans="1:9" x14ac:dyDescent="0.4">
      <c r="A63" s="20">
        <f>IF(ISBLANK(B63),"",MAX(A$6:$A62)+1)</f>
        <v>54</v>
      </c>
      <c r="B63" s="20">
        <v>81076111</v>
      </c>
      <c r="C63" s="8" t="s">
        <v>396</v>
      </c>
      <c r="D63" s="7">
        <v>33684.26</v>
      </c>
      <c r="E63" s="7">
        <v>25286.773982000002</v>
      </c>
      <c r="F63" s="58" t="s">
        <v>403</v>
      </c>
      <c r="G63" s="7"/>
      <c r="H63" s="7"/>
      <c r="I63" s="7"/>
    </row>
    <row r="64" spans="1:9" x14ac:dyDescent="0.4">
      <c r="A64" s="20">
        <f>IF(ISBLANK(B64),"",MAX(A$6:$A63)+1)</f>
        <v>55</v>
      </c>
      <c r="B64" s="20">
        <v>81075978</v>
      </c>
      <c r="C64" s="8" t="s">
        <v>388</v>
      </c>
      <c r="D64" s="7">
        <v>70367.63</v>
      </c>
      <c r="E64" s="7">
        <v>52824.979841000008</v>
      </c>
      <c r="F64" s="58" t="s">
        <v>403</v>
      </c>
      <c r="G64" s="7"/>
      <c r="H64" s="7"/>
      <c r="I64" s="7"/>
    </row>
    <row r="65" spans="1:9" x14ac:dyDescent="0.4">
      <c r="A65" s="20">
        <f>IF(ISBLANK(B65),"",MAX(A$6:$A64)+1)</f>
        <v>56</v>
      </c>
      <c r="B65" s="20">
        <v>194074119</v>
      </c>
      <c r="C65" s="8" t="s">
        <v>355</v>
      </c>
      <c r="D65" s="7">
        <v>34112.79</v>
      </c>
      <c r="E65" s="7">
        <v>25608.471453000002</v>
      </c>
      <c r="F65" s="58" t="s">
        <v>403</v>
      </c>
      <c r="G65" s="7"/>
      <c r="H65" s="7"/>
      <c r="I65" s="7"/>
    </row>
    <row r="66" spans="1:9" x14ac:dyDescent="0.4">
      <c r="A66" s="20">
        <f>IF(ISBLANK(B66),"",MAX(A$6:$A65)+1)</f>
        <v>57</v>
      </c>
      <c r="B66" s="20">
        <v>99881319</v>
      </c>
      <c r="C66" s="8" t="s">
        <v>387</v>
      </c>
      <c r="D66" s="7">
        <v>1230701.8600000001</v>
      </c>
      <c r="E66" s="7">
        <v>923887.88630200014</v>
      </c>
      <c r="F66" s="58" t="s">
        <v>403</v>
      </c>
      <c r="G66" s="7"/>
      <c r="H66" s="7"/>
      <c r="I66" s="7"/>
    </row>
    <row r="67" spans="1:9" x14ac:dyDescent="0.4">
      <c r="A67" s="20">
        <f>IF(ISBLANK(B67),"",MAX(A$6:$A66)+1)</f>
        <v>58</v>
      </c>
      <c r="B67" s="20">
        <v>124113586</v>
      </c>
      <c r="C67" s="8" t="s">
        <v>313</v>
      </c>
      <c r="D67" s="7">
        <v>113503.06</v>
      </c>
      <c r="E67" s="7">
        <v>85206.747142000007</v>
      </c>
      <c r="F67" s="58" t="s">
        <v>403</v>
      </c>
      <c r="G67" s="7"/>
      <c r="H67" s="7"/>
      <c r="I67" s="7"/>
    </row>
    <row r="68" spans="1:9" x14ac:dyDescent="0.4">
      <c r="A68" s="20">
        <f>IF(ISBLANK(B68),"",MAX(A$6:$A67)+1)</f>
        <v>59</v>
      </c>
      <c r="B68" s="20">
        <v>157877850</v>
      </c>
      <c r="C68" s="8" t="s">
        <v>356</v>
      </c>
      <c r="D68" s="7">
        <v>57180.24</v>
      </c>
      <c r="E68" s="7">
        <v>42925.206167999997</v>
      </c>
      <c r="F68" s="58" t="s">
        <v>403</v>
      </c>
      <c r="G68" s="7"/>
      <c r="H68" s="7"/>
      <c r="I68" s="7"/>
    </row>
    <row r="69" spans="1:9" x14ac:dyDescent="0.4">
      <c r="A69" s="20">
        <f>IF(ISBLANK(B69),"",MAX(A$6:$A68)+1)</f>
        <v>60</v>
      </c>
      <c r="B69" s="20">
        <v>93903337</v>
      </c>
      <c r="C69" s="8" t="s">
        <v>290</v>
      </c>
      <c r="D69" s="7">
        <v>23658.03</v>
      </c>
      <c r="E69" s="7">
        <v>17760.083121</v>
      </c>
      <c r="F69" s="7" t="s">
        <v>406</v>
      </c>
      <c r="G69" s="7"/>
      <c r="H69" s="7"/>
      <c r="I69" s="7"/>
    </row>
    <row r="70" spans="1:9" x14ac:dyDescent="0.4">
      <c r="A70" s="20">
        <f>IF(ISBLANK(B70),"",MAX(A$6:$A69)+1)</f>
        <v>61</v>
      </c>
      <c r="B70" s="20">
        <v>81076080</v>
      </c>
      <c r="C70" s="8" t="s">
        <v>290</v>
      </c>
      <c r="D70" s="7">
        <v>1782627.76</v>
      </c>
      <c r="E70" s="7">
        <v>1338218.659432</v>
      </c>
      <c r="F70" s="7" t="s">
        <v>406</v>
      </c>
      <c r="G70" s="7"/>
      <c r="H70" s="7"/>
      <c r="I70" s="7"/>
    </row>
    <row r="71" spans="1:9" x14ac:dyDescent="0.4">
      <c r="A71" s="20">
        <f>IF(ISBLANK(B71),"",MAX(A$6:$A70)+1)</f>
        <v>62</v>
      </c>
      <c r="B71" s="20">
        <v>92123248</v>
      </c>
      <c r="C71" s="8" t="s">
        <v>290</v>
      </c>
      <c r="D71" s="7">
        <v>5001.66</v>
      </c>
      <c r="E71" s="7">
        <v>3754.7461619999999</v>
      </c>
      <c r="F71" s="7" t="s">
        <v>406</v>
      </c>
      <c r="G71" s="7"/>
      <c r="H71" s="7"/>
      <c r="I71" s="7"/>
    </row>
    <row r="72" spans="1:9" x14ac:dyDescent="0.4">
      <c r="A72" s="20">
        <f>IF(ISBLANK(B72),"",MAX(A$6:$A71)+1)</f>
        <v>63</v>
      </c>
      <c r="B72" s="20">
        <v>264631977</v>
      </c>
      <c r="C72" s="8" t="s">
        <v>367</v>
      </c>
      <c r="D72" s="7">
        <v>19620</v>
      </c>
      <c r="E72" s="7">
        <v>14728.734</v>
      </c>
      <c r="F72" s="7" t="s">
        <v>406</v>
      </c>
      <c r="G72" s="7"/>
      <c r="H72" s="7"/>
      <c r="I72" s="7"/>
    </row>
    <row r="73" spans="1:9" x14ac:dyDescent="0.4">
      <c r="A73" s="20">
        <f>IF(ISBLANK(B73),"",MAX(A$6:$A72)+1)</f>
        <v>64</v>
      </c>
      <c r="B73" s="20">
        <v>157887440</v>
      </c>
      <c r="C73" s="8" t="s">
        <v>385</v>
      </c>
      <c r="D73" s="7">
        <v>644763.63</v>
      </c>
      <c r="E73" s="7">
        <v>484024.05704100005</v>
      </c>
      <c r="F73" s="58" t="s">
        <v>403</v>
      </c>
      <c r="G73" s="7"/>
      <c r="H73" s="7"/>
      <c r="I73" s="7"/>
    </row>
    <row r="74" spans="1:9" x14ac:dyDescent="0.4">
      <c r="A74" s="20">
        <f>IF(ISBLANK(B74),"",MAX(A$6:$A73)+1)</f>
        <v>65</v>
      </c>
      <c r="B74" s="20">
        <v>357494522</v>
      </c>
      <c r="C74" s="8" t="s">
        <v>273</v>
      </c>
      <c r="D74" s="7">
        <v>133550.21</v>
      </c>
      <c r="E74" s="7">
        <v>100256.142647</v>
      </c>
      <c r="F74" s="58" t="s">
        <v>405</v>
      </c>
      <c r="G74" s="7"/>
      <c r="H74" s="7"/>
      <c r="I74" s="7"/>
    </row>
    <row r="75" spans="1:9" x14ac:dyDescent="0.4">
      <c r="A75" s="20">
        <f>IF(ISBLANK(B75),"",MAX(A$6:$A74)+1)</f>
        <v>66</v>
      </c>
      <c r="B75" s="20">
        <v>309809737</v>
      </c>
      <c r="C75" s="8" t="s">
        <v>273</v>
      </c>
      <c r="D75" s="7">
        <v>117445.24</v>
      </c>
      <c r="E75" s="7">
        <v>88166.141668000011</v>
      </c>
      <c r="F75" s="58" t="s">
        <v>405</v>
      </c>
      <c r="G75" s="7"/>
      <c r="H75" s="7"/>
      <c r="I75" s="7"/>
    </row>
    <row r="76" spans="1:9" x14ac:dyDescent="0.4">
      <c r="A76" s="20">
        <f>IF(ISBLANK(B76),"",MAX(A$6:$A75)+1)</f>
        <v>67</v>
      </c>
      <c r="B76" s="20">
        <v>233883014</v>
      </c>
      <c r="C76" s="8" t="s">
        <v>353</v>
      </c>
      <c r="D76" s="7">
        <v>79127.290000000008</v>
      </c>
      <c r="E76" s="7">
        <v>59400.856603000007</v>
      </c>
      <c r="F76" s="58" t="s">
        <v>405</v>
      </c>
      <c r="G76" s="7"/>
      <c r="H76" s="7"/>
      <c r="I76" s="7"/>
    </row>
    <row r="77" spans="1:9" x14ac:dyDescent="0.4">
      <c r="A77" s="20">
        <f>IF(ISBLANK(B77),"",MAX(A$6:$A76)+1)</f>
        <v>68</v>
      </c>
      <c r="B77" s="20">
        <v>124119022</v>
      </c>
      <c r="C77" s="8" t="s">
        <v>363</v>
      </c>
      <c r="D77" s="7">
        <v>430112.44</v>
      </c>
      <c r="E77" s="7">
        <v>322885.40870800003</v>
      </c>
      <c r="F77" s="58" t="s">
        <v>405</v>
      </c>
      <c r="G77" s="7"/>
      <c r="H77" s="7"/>
      <c r="I77" s="7"/>
    </row>
    <row r="78" spans="1:9" x14ac:dyDescent="0.4">
      <c r="A78" s="20">
        <f>IF(ISBLANK(B78),"",MAX(A$6:$A77)+1)</f>
        <v>69</v>
      </c>
      <c r="B78" s="20">
        <v>272736799</v>
      </c>
      <c r="C78" s="8" t="s">
        <v>391</v>
      </c>
      <c r="D78" s="7">
        <v>103352.29000000001</v>
      </c>
      <c r="E78" s="7">
        <v>77586.564103000012</v>
      </c>
      <c r="F78" s="58" t="s">
        <v>405</v>
      </c>
      <c r="G78" s="7"/>
      <c r="H78" s="7"/>
      <c r="I78" s="7"/>
    </row>
    <row r="79" spans="1:9" x14ac:dyDescent="0.4">
      <c r="A79" s="20">
        <f>IF(ISBLANK(B79),"",MAX(A$6:$A78)+1)</f>
        <v>70</v>
      </c>
      <c r="B79" s="20">
        <v>157889704</v>
      </c>
      <c r="C79" s="8" t="s">
        <v>264</v>
      </c>
      <c r="D79" s="7">
        <v>173397.65</v>
      </c>
      <c r="E79" s="7">
        <v>130169.615855</v>
      </c>
      <c r="F79" s="58" t="s">
        <v>405</v>
      </c>
      <c r="G79" s="7"/>
      <c r="H79" s="7"/>
      <c r="I79" s="7"/>
    </row>
    <row r="80" spans="1:9" x14ac:dyDescent="0.4">
      <c r="A80" s="20">
        <f>IF(ISBLANK(B80),"",MAX(A$6:$A79)+1)</f>
        <v>71</v>
      </c>
      <c r="B80" s="20">
        <v>194058263</v>
      </c>
      <c r="C80" s="8" t="s">
        <v>311</v>
      </c>
      <c r="D80" s="7">
        <v>109662.46</v>
      </c>
      <c r="E80" s="7">
        <v>82323.608722000004</v>
      </c>
      <c r="F80" s="58" t="s">
        <v>405</v>
      </c>
      <c r="G80" s="7"/>
      <c r="H80" s="7"/>
      <c r="I80" s="7"/>
    </row>
    <row r="81" spans="1:9" x14ac:dyDescent="0.4">
      <c r="A81" s="20">
        <f>IF(ISBLANK(B81),"",MAX(A$6:$A80)+1)</f>
        <v>72</v>
      </c>
      <c r="B81" s="20">
        <v>99881316</v>
      </c>
      <c r="C81" s="8" t="s">
        <v>311</v>
      </c>
      <c r="D81" s="7">
        <v>1086038.51</v>
      </c>
      <c r="E81" s="7">
        <v>815289.10945700004</v>
      </c>
      <c r="F81" s="58" t="s">
        <v>405</v>
      </c>
      <c r="G81" s="7"/>
      <c r="H81" s="7"/>
      <c r="I81" s="7"/>
    </row>
    <row r="82" spans="1:9" x14ac:dyDescent="0.4">
      <c r="A82" s="20">
        <f>IF(ISBLANK(B82),"",MAX(A$6:$A81)+1)</f>
        <v>73</v>
      </c>
      <c r="B82" s="20">
        <v>94841227</v>
      </c>
      <c r="C82" s="8" t="s">
        <v>392</v>
      </c>
      <c r="D82" s="7">
        <v>14664.050000000001</v>
      </c>
      <c r="E82" s="7">
        <v>11008.302335000002</v>
      </c>
      <c r="F82" s="58" t="s">
        <v>403</v>
      </c>
      <c r="G82" s="7"/>
      <c r="H82" s="7"/>
      <c r="I82" s="7"/>
    </row>
    <row r="83" spans="1:9" x14ac:dyDescent="0.4">
      <c r="A83" s="20">
        <f>IF(ISBLANK(B83),"",MAX(A$6:$A82)+1)</f>
        <v>74</v>
      </c>
      <c r="B83" s="20">
        <v>264631890</v>
      </c>
      <c r="C83" s="8" t="s">
        <v>279</v>
      </c>
      <c r="D83" s="7">
        <v>35186.17</v>
      </c>
      <c r="E83" s="7">
        <v>26414.257818999999</v>
      </c>
      <c r="F83" s="58" t="s">
        <v>403</v>
      </c>
      <c r="G83" s="7"/>
      <c r="H83" s="7"/>
      <c r="I83" s="7"/>
    </row>
    <row r="84" spans="1:9" x14ac:dyDescent="0.4">
      <c r="A84" s="20">
        <f>IF(ISBLANK(B84),"",MAX(A$6:$A83)+1)</f>
        <v>75</v>
      </c>
      <c r="B84" s="20">
        <v>264631856</v>
      </c>
      <c r="C84" s="8" t="s">
        <v>279</v>
      </c>
      <c r="D84" s="7">
        <v>2076458.45</v>
      </c>
      <c r="E84" s="7">
        <v>1558797.3584150001</v>
      </c>
      <c r="F84" s="58" t="s">
        <v>403</v>
      </c>
      <c r="G84" s="7"/>
      <c r="H84" s="7"/>
      <c r="I84" s="7"/>
    </row>
    <row r="85" spans="1:9" x14ac:dyDescent="0.4">
      <c r="A85" s="20">
        <f>IF(ISBLANK(B85),"",MAX(A$6:$A84)+1)</f>
        <v>76</v>
      </c>
      <c r="B85" s="20">
        <v>355566382</v>
      </c>
      <c r="C85" s="8" t="s">
        <v>291</v>
      </c>
      <c r="D85" s="7">
        <v>685086.95000000007</v>
      </c>
      <c r="E85" s="7">
        <v>514294.77336500009</v>
      </c>
      <c r="F85" s="58" t="s">
        <v>403</v>
      </c>
      <c r="G85" s="7"/>
      <c r="H85" s="7"/>
      <c r="I85" s="7"/>
    </row>
    <row r="86" spans="1:9" x14ac:dyDescent="0.4">
      <c r="A86" s="20">
        <f>IF(ISBLANK(B86),"",MAX(A$6:$A85)+1)</f>
        <v>77</v>
      </c>
      <c r="B86" s="20">
        <v>232333336</v>
      </c>
      <c r="C86" s="8" t="s">
        <v>291</v>
      </c>
      <c r="D86" s="7">
        <v>25432.04</v>
      </c>
      <c r="E86" s="7">
        <v>19091.832428000002</v>
      </c>
      <c r="F86" s="58" t="s">
        <v>403</v>
      </c>
      <c r="G86" s="7"/>
      <c r="H86" s="7"/>
      <c r="I86" s="7"/>
    </row>
    <row r="87" spans="1:9" x14ac:dyDescent="0.4">
      <c r="A87" s="20">
        <f>IF(ISBLANK(B87),"",MAX(A$6:$A86)+1)</f>
        <v>78</v>
      </c>
      <c r="B87" s="20">
        <v>248706240</v>
      </c>
      <c r="C87" s="8" t="s">
        <v>339</v>
      </c>
      <c r="D87" s="7">
        <v>1329604.3599999999</v>
      </c>
      <c r="E87" s="7">
        <v>998133.99305199995</v>
      </c>
      <c r="F87" s="58" t="s">
        <v>403</v>
      </c>
      <c r="G87" s="7"/>
      <c r="H87" s="7"/>
      <c r="I87" s="7"/>
    </row>
    <row r="88" spans="1:9" x14ac:dyDescent="0.4">
      <c r="A88" s="20">
        <f>IF(ISBLANK(B88),"",MAX(A$6:$A87)+1)</f>
        <v>79</v>
      </c>
      <c r="B88" s="20">
        <v>188119508</v>
      </c>
      <c r="C88" s="8" t="s">
        <v>383</v>
      </c>
      <c r="D88" s="7">
        <v>603382.80000000005</v>
      </c>
      <c r="E88" s="7">
        <v>452959.46796000004</v>
      </c>
      <c r="F88" s="58" t="s">
        <v>403</v>
      </c>
      <c r="G88" s="7"/>
      <c r="H88" s="7"/>
      <c r="I88" s="7"/>
    </row>
    <row r="89" spans="1:9" x14ac:dyDescent="0.4">
      <c r="A89" s="20">
        <f>IF(ISBLANK(B89),"",MAX(A$6:$A88)+1)</f>
        <v>80</v>
      </c>
      <c r="B89" s="20">
        <v>200150323</v>
      </c>
      <c r="C89" s="8" t="s">
        <v>300</v>
      </c>
      <c r="D89" s="7">
        <v>488059.23</v>
      </c>
      <c r="E89" s="7">
        <v>366386.06396100001</v>
      </c>
      <c r="F89" s="58" t="s">
        <v>403</v>
      </c>
      <c r="G89" s="7"/>
      <c r="H89" s="7"/>
      <c r="I89" s="7"/>
    </row>
    <row r="90" spans="1:9" x14ac:dyDescent="0.4">
      <c r="A90" s="20">
        <f>IF(ISBLANK(B90),"",MAX(A$6:$A89)+1)</f>
        <v>81</v>
      </c>
      <c r="B90" s="20">
        <v>192767164</v>
      </c>
      <c r="C90" s="8" t="s">
        <v>382</v>
      </c>
      <c r="D90" s="7">
        <v>587870.28</v>
      </c>
      <c r="E90" s="7">
        <v>441314.21919600002</v>
      </c>
      <c r="F90" s="58" t="s">
        <v>403</v>
      </c>
      <c r="G90" s="7"/>
      <c r="H90" s="7"/>
      <c r="I90" s="7"/>
    </row>
    <row r="91" spans="1:9" x14ac:dyDescent="0.4">
      <c r="A91" s="20">
        <f>IF(ISBLANK(B91),"",MAX(A$6:$A90)+1)</f>
        <v>82</v>
      </c>
      <c r="B91" s="20">
        <v>214696158</v>
      </c>
      <c r="C91" s="8" t="s">
        <v>319</v>
      </c>
      <c r="D91" s="7">
        <v>383367.66000000003</v>
      </c>
      <c r="E91" s="7">
        <v>287794.10236200003</v>
      </c>
      <c r="F91" s="58" t="s">
        <v>403</v>
      </c>
      <c r="G91" s="7"/>
      <c r="H91" s="7"/>
      <c r="I91" s="7"/>
    </row>
    <row r="92" spans="1:9" x14ac:dyDescent="0.4">
      <c r="A92" s="20">
        <f>IF(ISBLANK(B92),"",MAX(A$6:$A91)+1)</f>
        <v>83</v>
      </c>
      <c r="B92" s="20">
        <v>230835012</v>
      </c>
      <c r="C92" s="8" t="s">
        <v>360</v>
      </c>
      <c r="D92" s="7">
        <v>8476.31</v>
      </c>
      <c r="E92" s="7">
        <v>6363.1659170000003</v>
      </c>
      <c r="F92" s="58" t="s">
        <v>403</v>
      </c>
      <c r="G92" s="7"/>
      <c r="H92" s="7"/>
      <c r="I92" s="7"/>
    </row>
    <row r="93" spans="1:9" x14ac:dyDescent="0.4">
      <c r="A93" s="20">
        <f>IF(ISBLANK(B93),"",MAX(A$6:$A92)+1)</f>
        <v>84</v>
      </c>
      <c r="B93" s="20">
        <v>264631822</v>
      </c>
      <c r="C93" s="8" t="s">
        <v>369</v>
      </c>
      <c r="D93" s="7">
        <v>5804.25</v>
      </c>
      <c r="E93" s="7">
        <v>4357.2504749999998</v>
      </c>
      <c r="F93" s="58" t="s">
        <v>403</v>
      </c>
      <c r="G93" s="7"/>
      <c r="H93" s="7"/>
      <c r="I93" s="7"/>
    </row>
    <row r="94" spans="1:9" x14ac:dyDescent="0.4">
      <c r="A94" s="20">
        <f>IF(ISBLANK(B94),"",MAX(A$6:$A93)+1)</f>
        <v>85</v>
      </c>
      <c r="B94" s="20">
        <v>264632011</v>
      </c>
      <c r="C94" s="8" t="s">
        <v>301</v>
      </c>
      <c r="D94" s="7">
        <v>11972.56</v>
      </c>
      <c r="E94" s="7">
        <v>8987.800792</v>
      </c>
      <c r="F94" s="58" t="s">
        <v>403</v>
      </c>
      <c r="G94" s="7"/>
      <c r="H94" s="7"/>
      <c r="I94" s="7"/>
    </row>
    <row r="95" spans="1:9" x14ac:dyDescent="0.4">
      <c r="A95" s="20">
        <f>IF(ISBLANK(B95),"",MAX(A$6:$A94)+1)</f>
        <v>86</v>
      </c>
      <c r="B95" s="20">
        <v>264631805</v>
      </c>
      <c r="C95" s="8" t="s">
        <v>384</v>
      </c>
      <c r="D95" s="7">
        <v>2392.5500000000002</v>
      </c>
      <c r="E95" s="7">
        <v>1796.0872850000003</v>
      </c>
      <c r="F95" s="58" t="s">
        <v>403</v>
      </c>
      <c r="G95" s="7"/>
      <c r="H95" s="7"/>
      <c r="I95" s="7"/>
    </row>
    <row r="96" spans="1:9" x14ac:dyDescent="0.4">
      <c r="A96" s="20">
        <f>IF(ISBLANK(B96),"",MAX(A$6:$A95)+1)</f>
        <v>87</v>
      </c>
      <c r="B96" s="20">
        <v>230835015</v>
      </c>
      <c r="C96" s="8" t="s">
        <v>372</v>
      </c>
      <c r="D96" s="7">
        <v>5058.78</v>
      </c>
      <c r="E96" s="7">
        <v>3797.6261460000001</v>
      </c>
      <c r="F96" s="58" t="s">
        <v>403</v>
      </c>
      <c r="G96" s="7"/>
      <c r="H96" s="7"/>
      <c r="I96" s="7"/>
    </row>
    <row r="97" spans="1:9" x14ac:dyDescent="0.4">
      <c r="A97" s="20">
        <f>IF(ISBLANK(B97),"",MAX(A$6:$A96)+1)</f>
        <v>88</v>
      </c>
      <c r="B97" s="20">
        <v>357506159</v>
      </c>
      <c r="C97" s="8" t="s">
        <v>354</v>
      </c>
      <c r="D97" s="7">
        <v>50460.55</v>
      </c>
      <c r="E97" s="7">
        <v>37880.734885000005</v>
      </c>
      <c r="F97" s="58" t="s">
        <v>403</v>
      </c>
      <c r="G97" s="7"/>
      <c r="H97" s="7"/>
      <c r="I97" s="7"/>
    </row>
    <row r="98" spans="1:9" x14ac:dyDescent="0.4">
      <c r="A98" s="20">
        <f>IF(ISBLANK(B98),"",MAX(A$6:$A97)+1)</f>
        <v>89</v>
      </c>
      <c r="B98" s="20">
        <v>81075933</v>
      </c>
      <c r="C98" s="8" t="s">
        <v>285</v>
      </c>
      <c r="D98" s="7">
        <v>14271.5</v>
      </c>
      <c r="E98" s="7">
        <v>10713.61505</v>
      </c>
      <c r="F98" s="58" t="s">
        <v>403</v>
      </c>
      <c r="G98" s="7"/>
      <c r="H98" s="7"/>
      <c r="I98" s="7"/>
    </row>
    <row r="99" spans="1:9" x14ac:dyDescent="0.4">
      <c r="A99" s="20">
        <f>IF(ISBLANK(B99),"",MAX(A$6:$A98)+1)</f>
        <v>90</v>
      </c>
      <c r="B99" s="20">
        <v>81076022</v>
      </c>
      <c r="C99" s="8" t="s">
        <v>287</v>
      </c>
      <c r="D99" s="7">
        <v>0</v>
      </c>
      <c r="E99" s="7">
        <v>0</v>
      </c>
      <c r="F99" s="7" t="s">
        <v>406</v>
      </c>
      <c r="G99" s="7"/>
      <c r="H99" s="7"/>
      <c r="I99" s="7"/>
    </row>
    <row r="100" spans="1:9" x14ac:dyDescent="0.4">
      <c r="A100" s="20">
        <f>IF(ISBLANK(B100),"",MAX(A$6:$A99)+1)</f>
        <v>91</v>
      </c>
      <c r="B100" s="20">
        <v>81075944</v>
      </c>
      <c r="C100" s="8" t="s">
        <v>344</v>
      </c>
      <c r="D100" s="7">
        <v>20560.650000000001</v>
      </c>
      <c r="E100" s="7">
        <v>15434.879955000002</v>
      </c>
      <c r="F100" s="58" t="s">
        <v>175</v>
      </c>
      <c r="G100" s="7"/>
      <c r="H100" s="7"/>
      <c r="I100" s="7"/>
    </row>
    <row r="101" spans="1:9" x14ac:dyDescent="0.4">
      <c r="A101" s="20">
        <f>IF(ISBLANK(B101),"",MAX(A$6:$A100)+1)</f>
        <v>92</v>
      </c>
      <c r="B101" s="20">
        <v>179883153</v>
      </c>
      <c r="C101" s="8" t="s">
        <v>346</v>
      </c>
      <c r="D101" s="7">
        <v>17601.03</v>
      </c>
      <c r="E101" s="7">
        <v>13213.093220999999</v>
      </c>
      <c r="F101" s="58" t="s">
        <v>403</v>
      </c>
      <c r="G101" s="7"/>
      <c r="H101" s="7"/>
      <c r="I101" s="7"/>
    </row>
    <row r="102" spans="1:9" x14ac:dyDescent="0.4">
      <c r="A102" s="20">
        <f>IF(ISBLANK(B102),"",MAX(A$6:$A101)+1)</f>
        <v>93</v>
      </c>
      <c r="B102" s="20">
        <v>318791140</v>
      </c>
      <c r="C102" s="8" t="s">
        <v>379</v>
      </c>
      <c r="D102" s="7">
        <v>130643.83</v>
      </c>
      <c r="E102" s="7">
        <v>98074.323181</v>
      </c>
      <c r="F102" s="58" t="s">
        <v>403</v>
      </c>
      <c r="G102" s="7"/>
      <c r="H102" s="7"/>
      <c r="I102" s="7"/>
    </row>
    <row r="103" spans="1:9" x14ac:dyDescent="0.4">
      <c r="A103" s="20">
        <f>IF(ISBLANK(B103),"",MAX(A$6:$A102)+1)</f>
        <v>94</v>
      </c>
      <c r="B103" s="20">
        <v>357506162</v>
      </c>
      <c r="C103" s="8" t="s">
        <v>307</v>
      </c>
      <c r="D103" s="7">
        <v>19772.39</v>
      </c>
      <c r="E103" s="7">
        <v>14843.133173</v>
      </c>
      <c r="F103" s="58" t="s">
        <v>403</v>
      </c>
      <c r="G103" s="7"/>
      <c r="H103" s="7"/>
      <c r="I103" s="7"/>
    </row>
    <row r="104" spans="1:9" x14ac:dyDescent="0.4">
      <c r="A104" s="20">
        <f>IF(ISBLANK(B104),"",MAX(A$6:$A103)+1)</f>
        <v>95</v>
      </c>
      <c r="B104" s="20">
        <v>301170699</v>
      </c>
      <c r="C104" s="8" t="s">
        <v>282</v>
      </c>
      <c r="D104" s="7">
        <v>127789</v>
      </c>
      <c r="E104" s="7">
        <v>95931.202300000004</v>
      </c>
      <c r="F104" s="58" t="s">
        <v>175</v>
      </c>
      <c r="G104" s="7"/>
      <c r="H104" s="7"/>
      <c r="I104" s="7"/>
    </row>
    <row r="105" spans="1:9" x14ac:dyDescent="0.4">
      <c r="A105" s="20">
        <f>IF(ISBLANK(B105),"",MAX(A$6:$A104)+1)</f>
        <v>96</v>
      </c>
      <c r="B105" s="20">
        <v>157804863</v>
      </c>
      <c r="C105" s="8" t="s">
        <v>390</v>
      </c>
      <c r="D105" s="7">
        <v>9993.85</v>
      </c>
      <c r="E105" s="7">
        <v>7502.3831950000003</v>
      </c>
      <c r="F105" s="58" t="s">
        <v>175</v>
      </c>
      <c r="G105" s="7"/>
      <c r="H105" s="7"/>
      <c r="I105" s="7"/>
    </row>
    <row r="106" spans="1:9" x14ac:dyDescent="0.4">
      <c r="A106" s="20">
        <f>IF(ISBLANK(B106),"",MAX(A$6:$A105)+1)</f>
        <v>97</v>
      </c>
      <c r="B106" s="20">
        <v>271050004</v>
      </c>
      <c r="C106" s="8" t="s">
        <v>281</v>
      </c>
      <c r="D106" s="7">
        <v>56230.520000000004</v>
      </c>
      <c r="E106" s="7">
        <v>42212.251364000003</v>
      </c>
      <c r="F106" s="58" t="s">
        <v>175</v>
      </c>
      <c r="G106" s="7"/>
      <c r="H106" s="7"/>
      <c r="I106" s="7"/>
    </row>
    <row r="107" spans="1:9" x14ac:dyDescent="0.4">
      <c r="A107" s="20">
        <f>IF(ISBLANK(B107),"",MAX(A$6:$A106)+1)</f>
        <v>98</v>
      </c>
      <c r="B107" s="20">
        <v>233882930</v>
      </c>
      <c r="C107" s="8" t="s">
        <v>305</v>
      </c>
      <c r="D107" s="7">
        <v>42365.200000000004</v>
      </c>
      <c r="E107" s="7">
        <v>31803.555640000006</v>
      </c>
      <c r="F107" s="58" t="s">
        <v>175</v>
      </c>
      <c r="G107" s="7"/>
      <c r="H107" s="7"/>
      <c r="I107" s="7"/>
    </row>
    <row r="108" spans="1:9" x14ac:dyDescent="0.4">
      <c r="A108" s="20">
        <f>IF(ISBLANK(B108),"",MAX(A$6:$A107)+1)</f>
        <v>99</v>
      </c>
      <c r="B108" s="20">
        <v>81075955</v>
      </c>
      <c r="C108" s="8" t="s">
        <v>359</v>
      </c>
      <c r="D108" s="7">
        <v>196928.11000000002</v>
      </c>
      <c r="E108" s="7">
        <v>147833.93217700001</v>
      </c>
      <c r="F108" s="58" t="s">
        <v>403</v>
      </c>
      <c r="G108" s="7"/>
      <c r="H108" s="7"/>
      <c r="I108" s="7"/>
    </row>
    <row r="109" spans="1:9" x14ac:dyDescent="0.4">
      <c r="A109" s="20">
        <f>IF(ISBLANK(B109),"",MAX(A$6:$A108)+1)</f>
        <v>100</v>
      </c>
      <c r="B109" s="20">
        <v>240090037</v>
      </c>
      <c r="C109" s="8" t="s">
        <v>284</v>
      </c>
      <c r="D109" s="7">
        <v>23204.63</v>
      </c>
      <c r="E109" s="7">
        <v>17419.715741</v>
      </c>
      <c r="F109" s="58" t="s">
        <v>403</v>
      </c>
      <c r="G109" s="7"/>
      <c r="H109" s="7"/>
      <c r="I109" s="7"/>
    </row>
    <row r="110" spans="1:9" x14ac:dyDescent="0.4">
      <c r="A110" s="20">
        <f>IF(ISBLANK(B110),"",MAX(A$6:$A109)+1)</f>
        <v>101</v>
      </c>
      <c r="B110" s="20">
        <v>81075922</v>
      </c>
      <c r="C110" s="8" t="s">
        <v>276</v>
      </c>
      <c r="D110" s="7">
        <v>7720.22</v>
      </c>
      <c r="E110" s="7">
        <v>5795.5691540000007</v>
      </c>
      <c r="F110" s="58" t="s">
        <v>175</v>
      </c>
      <c r="G110" s="7"/>
      <c r="H110" s="7"/>
      <c r="I110" s="7"/>
    </row>
    <row r="111" spans="1:9" x14ac:dyDescent="0.4">
      <c r="A111" s="20">
        <f>IF(ISBLANK(B111),"",MAX(A$6:$A110)+1)</f>
        <v>102</v>
      </c>
      <c r="B111" s="20">
        <v>264631941</v>
      </c>
      <c r="C111" s="8" t="s">
        <v>277</v>
      </c>
      <c r="D111" s="7">
        <v>24936.920000000002</v>
      </c>
      <c r="E111" s="7">
        <v>18720.145844000002</v>
      </c>
      <c r="F111" s="58" t="s">
        <v>403</v>
      </c>
      <c r="G111" s="7"/>
      <c r="H111" s="7"/>
      <c r="I111" s="7"/>
    </row>
    <row r="112" spans="1:9" x14ac:dyDescent="0.4">
      <c r="A112" s="20">
        <f>IF(ISBLANK(B112),"",MAX(A$6:$A111)+1)</f>
        <v>103</v>
      </c>
      <c r="B112" s="20">
        <v>155611426</v>
      </c>
      <c r="C112" s="8" t="s">
        <v>315</v>
      </c>
      <c r="D112" s="7">
        <v>55564.55</v>
      </c>
      <c r="E112" s="7">
        <v>41712.307685000007</v>
      </c>
      <c r="F112" s="58" t="s">
        <v>175</v>
      </c>
      <c r="G112" s="7"/>
      <c r="H112" s="7"/>
      <c r="I112" s="7"/>
    </row>
    <row r="113" spans="1:9" x14ac:dyDescent="0.4">
      <c r="A113" s="20">
        <f>IF(ISBLANK(B113),"",MAX(A$6:$A112)+1)</f>
        <v>104</v>
      </c>
      <c r="B113" s="20">
        <v>272771452</v>
      </c>
      <c r="C113" s="8" t="s">
        <v>317</v>
      </c>
      <c r="D113" s="7">
        <v>12321.51</v>
      </c>
      <c r="E113" s="7">
        <v>9249.7575570000008</v>
      </c>
      <c r="F113" s="58" t="s">
        <v>403</v>
      </c>
      <c r="G113" s="7"/>
      <c r="H113" s="7"/>
      <c r="I113" s="7"/>
    </row>
    <row r="114" spans="1:9" x14ac:dyDescent="0.4">
      <c r="A114" s="20">
        <f>IF(ISBLANK(B114),"",MAX(A$6:$A113)+1)</f>
        <v>105</v>
      </c>
      <c r="B114" s="20">
        <v>241704776</v>
      </c>
      <c r="C114" s="8" t="s">
        <v>324</v>
      </c>
      <c r="D114" s="7">
        <v>24574.38</v>
      </c>
      <c r="E114" s="7">
        <v>18447.987066000002</v>
      </c>
      <c r="F114" s="58" t="s">
        <v>403</v>
      </c>
      <c r="G114" s="7"/>
      <c r="H114" s="7"/>
      <c r="I114" s="7"/>
    </row>
    <row r="115" spans="1:9" x14ac:dyDescent="0.4">
      <c r="A115" s="20">
        <f>IF(ISBLANK(B115),"",MAX(A$6:$A114)+1)</f>
        <v>106</v>
      </c>
      <c r="B115" s="20">
        <v>357506153</v>
      </c>
      <c r="C115" s="8" t="s">
        <v>306</v>
      </c>
      <c r="D115" s="7">
        <v>11773.36</v>
      </c>
      <c r="E115" s="7">
        <v>8838.2613520000014</v>
      </c>
      <c r="F115" s="58" t="s">
        <v>403</v>
      </c>
      <c r="G115" s="7"/>
      <c r="H115" s="7"/>
      <c r="I115" s="7"/>
    </row>
    <row r="116" spans="1:9" x14ac:dyDescent="0.4">
      <c r="A116" s="20">
        <f>IF(ISBLANK(B116),"",MAX(A$6:$A115)+1)</f>
        <v>107</v>
      </c>
      <c r="B116" s="20">
        <v>194076485</v>
      </c>
      <c r="C116" s="8" t="s">
        <v>283</v>
      </c>
      <c r="D116" s="7">
        <v>16039.15</v>
      </c>
      <c r="E116" s="7">
        <v>12040.589905000001</v>
      </c>
      <c r="F116" s="58" t="s">
        <v>175</v>
      </c>
      <c r="G116" s="7"/>
      <c r="H116" s="7"/>
      <c r="I116" s="7"/>
    </row>
    <row r="117" spans="1:9" x14ac:dyDescent="0.4">
      <c r="A117" s="20">
        <f>IF(ISBLANK(B117),"",MAX(A$6:$A116)+1)</f>
        <v>108</v>
      </c>
      <c r="B117" s="20">
        <v>264631960</v>
      </c>
      <c r="C117" s="8" t="s">
        <v>351</v>
      </c>
      <c r="D117" s="7">
        <v>14577.93</v>
      </c>
      <c r="E117" s="7">
        <v>10943.652051000001</v>
      </c>
      <c r="F117" s="58" t="s">
        <v>175</v>
      </c>
      <c r="G117" s="7"/>
      <c r="H117" s="7"/>
      <c r="I117" s="7"/>
    </row>
    <row r="118" spans="1:9" x14ac:dyDescent="0.4">
      <c r="A118" s="20">
        <f>IF(ISBLANK(B118),"",MAX(A$6:$A117)+1)</f>
        <v>109</v>
      </c>
      <c r="B118" s="20">
        <v>264631839</v>
      </c>
      <c r="C118" s="8" t="s">
        <v>302</v>
      </c>
      <c r="D118" s="7">
        <v>175132.91</v>
      </c>
      <c r="E118" s="7">
        <v>131472.27553700001</v>
      </c>
      <c r="F118" s="58" t="s">
        <v>175</v>
      </c>
      <c r="G118" s="7"/>
      <c r="H118" s="7"/>
      <c r="I118" s="7"/>
    </row>
    <row r="119" spans="1:9" x14ac:dyDescent="0.4">
      <c r="A119" s="20">
        <f>IF(ISBLANK(B119),"",MAX(A$6:$A118)+1)</f>
        <v>110</v>
      </c>
      <c r="B119" s="20">
        <v>264632028</v>
      </c>
      <c r="C119" s="8" t="s">
        <v>278</v>
      </c>
      <c r="D119" s="7">
        <v>22516.850000000002</v>
      </c>
      <c r="E119" s="7">
        <v>16903.399295000003</v>
      </c>
      <c r="F119" s="58" t="s">
        <v>175</v>
      </c>
      <c r="G119" s="7"/>
      <c r="H119" s="7"/>
      <c r="I119" s="7"/>
    </row>
    <row r="120" spans="1:9" x14ac:dyDescent="0.4">
      <c r="A120" s="20">
        <f>IF(ISBLANK(B120),"",MAX(A$6:$A119)+1)</f>
        <v>111</v>
      </c>
      <c r="B120" s="20">
        <v>81075989</v>
      </c>
      <c r="C120" s="8" t="s">
        <v>373</v>
      </c>
      <c r="D120" s="7">
        <v>135584.43</v>
      </c>
      <c r="E120" s="7">
        <v>101783.23160099999</v>
      </c>
      <c r="F120" s="58" t="s">
        <v>175</v>
      </c>
      <c r="G120" s="7"/>
      <c r="H120" s="7"/>
      <c r="I120" s="7"/>
    </row>
    <row r="121" spans="1:9" x14ac:dyDescent="0.4">
      <c r="A121" s="20">
        <f>IF(ISBLANK(B121),"",MAX(A$6:$A120)+1)</f>
        <v>112</v>
      </c>
      <c r="B121" s="20">
        <v>104293368</v>
      </c>
      <c r="C121" s="8" t="s">
        <v>366</v>
      </c>
      <c r="D121" s="7">
        <v>30627.77</v>
      </c>
      <c r="E121" s="7">
        <v>22992.266939000001</v>
      </c>
      <c r="F121" s="58" t="s">
        <v>175</v>
      </c>
      <c r="G121" s="7"/>
      <c r="H121" s="7"/>
      <c r="I121" s="7"/>
    </row>
    <row r="122" spans="1:9" x14ac:dyDescent="0.4">
      <c r="A122" s="20">
        <f>IF(ISBLANK(B122),"",MAX(A$6:$A121)+1)</f>
        <v>113</v>
      </c>
      <c r="B122" s="20">
        <v>194074012</v>
      </c>
      <c r="C122" s="8" t="s">
        <v>357</v>
      </c>
      <c r="D122" s="7">
        <v>1168.27</v>
      </c>
      <c r="E122" s="7">
        <v>877.02028900000005</v>
      </c>
      <c r="F122" s="58" t="s">
        <v>175</v>
      </c>
      <c r="G122" s="7"/>
      <c r="H122" s="7"/>
      <c r="I122" s="7"/>
    </row>
    <row r="123" spans="1:9" x14ac:dyDescent="0.4">
      <c r="A123" s="20">
        <f>IF(ISBLANK(B123),"",MAX(A$6:$A122)+1)</f>
        <v>114</v>
      </c>
      <c r="B123" s="20">
        <v>94840286</v>
      </c>
      <c r="C123" s="8" t="s">
        <v>328</v>
      </c>
      <c r="D123" s="7">
        <v>86446.06</v>
      </c>
      <c r="E123" s="7">
        <v>64895.057242000003</v>
      </c>
      <c r="F123" s="58" t="s">
        <v>175</v>
      </c>
      <c r="G123" s="7"/>
      <c r="H123" s="7"/>
      <c r="I123" s="7"/>
    </row>
    <row r="124" spans="1:9" x14ac:dyDescent="0.4">
      <c r="A124" s="20">
        <f>IF(ISBLANK(B124),"",MAX(A$6:$A123)+1)</f>
        <v>115</v>
      </c>
      <c r="B124" s="20">
        <v>81076033</v>
      </c>
      <c r="C124" s="8" t="s">
        <v>268</v>
      </c>
      <c r="D124" s="7">
        <v>360578.3</v>
      </c>
      <c r="E124" s="7">
        <v>270686.12981000001</v>
      </c>
      <c r="F124" s="58" t="s">
        <v>403</v>
      </c>
      <c r="G124" s="7"/>
      <c r="H124" s="7"/>
      <c r="I124" s="7"/>
    </row>
    <row r="125" spans="1:9" x14ac:dyDescent="0.4">
      <c r="A125" s="20">
        <f>IF(ISBLANK(B125),"",MAX(A$6:$A124)+1)</f>
        <v>116</v>
      </c>
      <c r="B125" s="20">
        <v>230835009</v>
      </c>
      <c r="C125" s="8" t="s">
        <v>325</v>
      </c>
      <c r="D125" s="7">
        <v>21082.9</v>
      </c>
      <c r="E125" s="7">
        <v>15826.933030000002</v>
      </c>
      <c r="F125" s="58" t="s">
        <v>403</v>
      </c>
      <c r="G125" s="7"/>
      <c r="H125" s="7"/>
      <c r="I125" s="7"/>
    </row>
    <row r="126" spans="1:9" x14ac:dyDescent="0.4">
      <c r="A126" s="20">
        <f>IF(ISBLANK(B126),"",MAX(A$6:$A125)+1)</f>
        <v>117</v>
      </c>
      <c r="B126" s="20">
        <v>232293116</v>
      </c>
      <c r="C126" s="8" t="s">
        <v>336</v>
      </c>
      <c r="D126" s="7">
        <v>28347.38</v>
      </c>
      <c r="E126" s="7">
        <v>21280.378166000002</v>
      </c>
      <c r="F126" s="58" t="s">
        <v>403</v>
      </c>
      <c r="G126" s="7"/>
      <c r="H126" s="7"/>
      <c r="I126" s="7"/>
    </row>
    <row r="127" spans="1:9" x14ac:dyDescent="0.4">
      <c r="A127" s="20">
        <f>IF(ISBLANK(B127),"",MAX(A$6:$A126)+1)</f>
        <v>118</v>
      </c>
      <c r="B127" s="20">
        <v>81076199</v>
      </c>
      <c r="C127" s="8" t="s">
        <v>330</v>
      </c>
      <c r="D127" s="7">
        <v>1571423.0899999999</v>
      </c>
      <c r="E127" s="7">
        <v>1179667.313663</v>
      </c>
      <c r="F127" s="58" t="s">
        <v>403</v>
      </c>
      <c r="G127" s="7"/>
      <c r="H127" s="7"/>
      <c r="I127" s="7"/>
    </row>
    <row r="128" spans="1:9" x14ac:dyDescent="0.4">
      <c r="A128" s="20">
        <f>IF(ISBLANK(B128),"",MAX(A$6:$A127)+1)</f>
        <v>119</v>
      </c>
      <c r="B128" s="20">
        <v>81076144</v>
      </c>
      <c r="C128" s="8" t="s">
        <v>338</v>
      </c>
      <c r="D128" s="7">
        <v>306430.78999999998</v>
      </c>
      <c r="E128" s="7">
        <v>230037.59405300001</v>
      </c>
      <c r="F128" s="58" t="s">
        <v>403</v>
      </c>
      <c r="G128" s="7"/>
      <c r="H128" s="7"/>
      <c r="I128" s="7"/>
    </row>
    <row r="129" spans="1:9" x14ac:dyDescent="0.4">
      <c r="A129" s="20">
        <f>IF(ISBLANK(B129),"",MAX(A$6:$A128)+1)</f>
        <v>120</v>
      </c>
      <c r="B129" s="20">
        <v>81076122</v>
      </c>
      <c r="C129" s="8" t="s">
        <v>349</v>
      </c>
      <c r="D129" s="7">
        <v>309282.93</v>
      </c>
      <c r="E129" s="7">
        <v>232178.69555100001</v>
      </c>
      <c r="F129" s="58" t="s">
        <v>403</v>
      </c>
      <c r="G129" s="7"/>
      <c r="H129" s="7"/>
      <c r="I129" s="7"/>
    </row>
    <row r="130" spans="1:9" x14ac:dyDescent="0.4">
      <c r="A130" s="20">
        <f>IF(ISBLANK(B130),"",MAX(A$6:$A129)+1)</f>
        <v>121</v>
      </c>
      <c r="B130" s="20">
        <v>191365060</v>
      </c>
      <c r="C130" s="8" t="s">
        <v>350</v>
      </c>
      <c r="D130" s="7">
        <v>0</v>
      </c>
      <c r="E130" s="7">
        <v>0</v>
      </c>
      <c r="F130" s="58" t="s">
        <v>403</v>
      </c>
      <c r="G130" s="7"/>
      <c r="H130" s="7"/>
      <c r="I130" s="7"/>
    </row>
    <row r="131" spans="1:9" x14ac:dyDescent="0.4">
      <c r="A131" s="20">
        <f>IF(ISBLANK(B131),"",MAX(A$6:$A130)+1)</f>
        <v>122</v>
      </c>
      <c r="B131" s="20">
        <v>272703505</v>
      </c>
      <c r="C131" s="8" t="s">
        <v>350</v>
      </c>
      <c r="D131" s="7">
        <v>166354.96</v>
      </c>
      <c r="E131" s="7">
        <v>124882.668472</v>
      </c>
      <c r="F131" s="58" t="s">
        <v>403</v>
      </c>
      <c r="G131" s="7"/>
      <c r="H131" s="7"/>
      <c r="I131" s="7"/>
    </row>
    <row r="132" spans="1:9" x14ac:dyDescent="0.4">
      <c r="A132" s="20">
        <f>IF(ISBLANK(B132),"",MAX(A$6:$A131)+1)</f>
        <v>123</v>
      </c>
      <c r="B132" s="20">
        <v>271047084</v>
      </c>
      <c r="C132" s="8" t="s">
        <v>352</v>
      </c>
      <c r="D132" s="7">
        <v>204677.27000000002</v>
      </c>
      <c r="E132" s="7">
        <v>153651.22658900003</v>
      </c>
      <c r="F132" s="58" t="s">
        <v>403</v>
      </c>
      <c r="G132" s="7"/>
      <c r="H132" s="7"/>
      <c r="I132" s="7"/>
    </row>
    <row r="133" spans="1:9" x14ac:dyDescent="0.4">
      <c r="A133" s="20">
        <f>IF(ISBLANK(B133),"",MAX(A$6:$A132)+1)</f>
        <v>124</v>
      </c>
      <c r="B133" s="20">
        <v>124043322</v>
      </c>
      <c r="C133" s="8" t="s">
        <v>286</v>
      </c>
      <c r="D133" s="7">
        <v>246280.73</v>
      </c>
      <c r="E133" s="7">
        <v>184882.94401100001</v>
      </c>
      <c r="F133" s="58" t="s">
        <v>403</v>
      </c>
      <c r="G133" s="7"/>
      <c r="H133" s="7"/>
      <c r="I133" s="7"/>
    </row>
    <row r="134" spans="1:9" x14ac:dyDescent="0.4">
      <c r="A134" s="20">
        <f>IF(ISBLANK(B134),"",MAX(A$6:$A133)+1)</f>
        <v>125</v>
      </c>
      <c r="B134" s="20">
        <v>81076100</v>
      </c>
      <c r="C134" s="8" t="s">
        <v>374</v>
      </c>
      <c r="D134" s="7">
        <v>0</v>
      </c>
      <c r="E134" s="7">
        <v>0</v>
      </c>
      <c r="F134" s="58" t="s">
        <v>403</v>
      </c>
      <c r="G134" s="7"/>
      <c r="H134" s="7"/>
      <c r="I134" s="7"/>
    </row>
    <row r="135" spans="1:9" x14ac:dyDescent="0.4">
      <c r="A135" s="20">
        <f>IF(ISBLANK(B135),"",MAX(A$6:$A134)+1)</f>
        <v>126</v>
      </c>
      <c r="B135" s="20">
        <v>357506168</v>
      </c>
      <c r="C135" s="8" t="s">
        <v>288</v>
      </c>
      <c r="D135" s="7">
        <v>88054.97</v>
      </c>
      <c r="E135" s="7">
        <v>66102.865979000009</v>
      </c>
      <c r="F135" s="58" t="s">
        <v>403</v>
      </c>
      <c r="G135" s="7"/>
      <c r="H135" s="7"/>
      <c r="I135" s="7"/>
    </row>
    <row r="136" spans="1:9" x14ac:dyDescent="0.4">
      <c r="A136" s="20">
        <f>IF(ISBLANK(B136),"",MAX(A$6:$A135)+1)</f>
        <v>127</v>
      </c>
      <c r="B136" s="20">
        <v>94841224</v>
      </c>
      <c r="C136" s="8" t="s">
        <v>314</v>
      </c>
      <c r="D136" s="7">
        <v>0</v>
      </c>
      <c r="E136" s="7">
        <v>0</v>
      </c>
      <c r="F136" s="58" t="s">
        <v>403</v>
      </c>
      <c r="G136" s="7"/>
      <c r="H136" s="7"/>
      <c r="I136" s="7"/>
    </row>
    <row r="137" spans="1:9" x14ac:dyDescent="0.4">
      <c r="A137" s="20">
        <f>IF(ISBLANK(B137),"",MAX(A$6:$A136)+1)</f>
        <v>128</v>
      </c>
      <c r="B137" s="20">
        <v>94841220</v>
      </c>
      <c r="C137" s="8" t="s">
        <v>361</v>
      </c>
      <c r="D137" s="7">
        <v>0</v>
      </c>
      <c r="E137" s="7">
        <v>0</v>
      </c>
      <c r="F137" s="58" t="s">
        <v>403</v>
      </c>
      <c r="G137" s="7"/>
      <c r="H137" s="7"/>
      <c r="I137" s="7"/>
    </row>
    <row r="138" spans="1:9" x14ac:dyDescent="0.4">
      <c r="A138" s="20">
        <f>IF(ISBLANK(B138),"",MAX(A$6:$A137)+1)</f>
        <v>129</v>
      </c>
      <c r="B138" s="20">
        <v>194034814</v>
      </c>
      <c r="C138" s="8" t="s">
        <v>340</v>
      </c>
      <c r="D138" s="7">
        <v>101353.47</v>
      </c>
      <c r="E138" s="7">
        <v>76086.049929000001</v>
      </c>
      <c r="F138" s="58" t="s">
        <v>403</v>
      </c>
      <c r="G138" s="7"/>
      <c r="H138" s="7"/>
      <c r="I138" s="7"/>
    </row>
    <row r="139" spans="1:9" x14ac:dyDescent="0.4">
      <c r="A139" s="20">
        <f>IF(ISBLANK(B139),"",MAX(A$6:$A138)+1)</f>
        <v>130</v>
      </c>
      <c r="B139" s="20">
        <v>194034729</v>
      </c>
      <c r="C139" s="8" t="s">
        <v>321</v>
      </c>
      <c r="D139" s="7">
        <v>1826757.9</v>
      </c>
      <c r="E139" s="7">
        <v>1371347.1555300001</v>
      </c>
      <c r="F139" s="58" t="s">
        <v>403</v>
      </c>
      <c r="G139" s="7"/>
      <c r="H139" s="7"/>
      <c r="I139" s="7"/>
    </row>
    <row r="140" spans="1:9" x14ac:dyDescent="0.4">
      <c r="A140" s="20">
        <f>IF(ISBLANK(B140),"",MAX(A$6:$A139)+1)</f>
        <v>131</v>
      </c>
      <c r="B140" s="20">
        <v>194034797</v>
      </c>
      <c r="C140" s="8" t="s">
        <v>304</v>
      </c>
      <c r="D140" s="7">
        <v>8146.41</v>
      </c>
      <c r="E140" s="7">
        <v>6115.5099870000004</v>
      </c>
      <c r="F140" s="58" t="s">
        <v>403</v>
      </c>
      <c r="G140" s="7"/>
      <c r="H140" s="7"/>
      <c r="I140" s="7"/>
    </row>
    <row r="141" spans="1:9" x14ac:dyDescent="0.4">
      <c r="A141" s="20">
        <f>IF(ISBLANK(B141),"",MAX(A$6:$A140)+1)</f>
        <v>132</v>
      </c>
      <c r="B141" s="20">
        <v>194034780</v>
      </c>
      <c r="C141" s="8" t="s">
        <v>370</v>
      </c>
      <c r="D141" s="7">
        <v>679581.03</v>
      </c>
      <c r="E141" s="7">
        <v>510161.47922100005</v>
      </c>
      <c r="F141" s="58" t="s">
        <v>403</v>
      </c>
      <c r="G141" s="7"/>
      <c r="H141" s="7"/>
      <c r="I141" s="7"/>
    </row>
    <row r="142" spans="1:9" x14ac:dyDescent="0.4">
      <c r="A142" s="20">
        <f>IF(ISBLANK(B142),"",MAX(A$6:$A141)+1)</f>
        <v>133</v>
      </c>
      <c r="B142" s="20">
        <v>302937426</v>
      </c>
      <c r="C142" s="8" t="s">
        <v>389</v>
      </c>
      <c r="D142" s="7">
        <v>26555.87</v>
      </c>
      <c r="E142" s="7">
        <v>19935.491609000001</v>
      </c>
      <c r="F142" s="58" t="s">
        <v>403</v>
      </c>
      <c r="G142" s="7"/>
      <c r="H142" s="7"/>
      <c r="I142" s="7"/>
    </row>
    <row r="143" spans="1:9" x14ac:dyDescent="0.4">
      <c r="A143" s="20">
        <f>IF(ISBLANK(B143),"",MAX(A$6:$A142)+1)</f>
        <v>134</v>
      </c>
      <c r="B143" s="20">
        <v>194022282</v>
      </c>
      <c r="C143" s="8" t="s">
        <v>323</v>
      </c>
      <c r="D143" s="7">
        <v>170347.76</v>
      </c>
      <c r="E143" s="7">
        <v>127880.06343200001</v>
      </c>
      <c r="F143" s="58" t="s">
        <v>403</v>
      </c>
      <c r="G143" s="7"/>
      <c r="H143" s="7"/>
      <c r="I143" s="7"/>
    </row>
    <row r="144" spans="1:9" x14ac:dyDescent="0.4">
      <c r="A144" s="20">
        <f>IF(ISBLANK(B144),"",MAX(A$6:$A143)+1)</f>
        <v>135</v>
      </c>
      <c r="B144" s="20">
        <v>166695457</v>
      </c>
      <c r="C144" s="8" t="s">
        <v>364</v>
      </c>
      <c r="D144" s="7">
        <v>0</v>
      </c>
      <c r="E144" s="7">
        <v>0</v>
      </c>
      <c r="F144" s="58" t="s">
        <v>403</v>
      </c>
      <c r="G144" s="7"/>
      <c r="H144" s="7"/>
      <c r="I144" s="7"/>
    </row>
    <row r="145" spans="1:9" x14ac:dyDescent="0.4">
      <c r="A145" s="20">
        <f>IF(ISBLANK(B145),"",MAX(A$6:$A144)+1)</f>
        <v>136</v>
      </c>
      <c r="B145" s="20">
        <v>124113649</v>
      </c>
      <c r="C145" s="8" t="s">
        <v>386</v>
      </c>
      <c r="D145" s="7">
        <v>19986.600000000002</v>
      </c>
      <c r="E145" s="7">
        <v>15003.940620000003</v>
      </c>
      <c r="F145" s="58" t="s">
        <v>403</v>
      </c>
      <c r="G145" s="7"/>
      <c r="H145" s="7"/>
      <c r="I145" s="7"/>
    </row>
    <row r="146" spans="1:9" x14ac:dyDescent="0.4">
      <c r="A146" s="20">
        <f>IF(ISBLANK(B146),"",MAX(A$6:$A145)+1)</f>
        <v>137</v>
      </c>
      <c r="B146" s="20">
        <v>81076053</v>
      </c>
      <c r="C146" s="8" t="s">
        <v>362</v>
      </c>
      <c r="D146" s="7">
        <v>22031.66</v>
      </c>
      <c r="E146" s="7">
        <v>16539.167162000002</v>
      </c>
      <c r="F146" s="58" t="s">
        <v>403</v>
      </c>
      <c r="G146" s="7"/>
      <c r="H146" s="7"/>
      <c r="I146" s="7"/>
    </row>
    <row r="147" spans="1:9" x14ac:dyDescent="0.4">
      <c r="A147" s="20">
        <f>IF(ISBLANK(B147),"",MAX(A$6:$A146)+1)</f>
        <v>138</v>
      </c>
      <c r="B147" s="20">
        <v>233855565</v>
      </c>
      <c r="C147" s="8" t="s">
        <v>267</v>
      </c>
      <c r="D147" s="7">
        <v>96865.13</v>
      </c>
      <c r="E147" s="7">
        <v>72716.653091</v>
      </c>
      <c r="F147" s="58" t="s">
        <v>403</v>
      </c>
      <c r="G147" s="7"/>
      <c r="H147" s="7"/>
      <c r="I147" s="7"/>
    </row>
    <row r="148" spans="1:9" x14ac:dyDescent="0.4">
      <c r="A148" s="20">
        <f>IF(ISBLANK(B148),"",MAX(A$6:$A147)+1)</f>
        <v>139</v>
      </c>
      <c r="B148" s="20">
        <v>99893700</v>
      </c>
      <c r="C148" s="8" t="s">
        <v>371</v>
      </c>
      <c r="D148" s="7">
        <v>16101.300000000001</v>
      </c>
      <c r="E148" s="7">
        <v>12087.245910000001</v>
      </c>
      <c r="F148" s="58" t="s">
        <v>403</v>
      </c>
      <c r="G148" s="7"/>
      <c r="H148" s="7"/>
      <c r="I148" s="7"/>
    </row>
    <row r="149" spans="1:9" x14ac:dyDescent="0.4">
      <c r="A149" s="20">
        <f>IF(ISBLANK(B149),"",MAX(A$6:$A148)+1)</f>
        <v>140</v>
      </c>
      <c r="B149" s="20">
        <v>194057677</v>
      </c>
      <c r="C149" s="8" t="s">
        <v>289</v>
      </c>
      <c r="D149" s="7">
        <v>33159.520000000004</v>
      </c>
      <c r="E149" s="7">
        <v>24892.851664000005</v>
      </c>
      <c r="F149" s="58" t="s">
        <v>403</v>
      </c>
      <c r="G149" s="7"/>
      <c r="H149" s="7"/>
      <c r="I149" s="7"/>
    </row>
    <row r="150" spans="1:9" x14ac:dyDescent="0.4">
      <c r="A150" s="20">
        <f>IF(ISBLANK(B150),"",MAX(A$6:$A149)+1)</f>
        <v>141</v>
      </c>
      <c r="B150" s="20">
        <v>284627270</v>
      </c>
      <c r="C150" s="8" t="s">
        <v>341</v>
      </c>
      <c r="D150" s="7">
        <v>39218.879999999997</v>
      </c>
      <c r="E150" s="7">
        <v>29441.613215999998</v>
      </c>
      <c r="F150" s="58" t="s">
        <v>403</v>
      </c>
      <c r="G150" s="7"/>
      <c r="H150" s="7"/>
      <c r="I150" s="7"/>
    </row>
    <row r="151" spans="1:9" x14ac:dyDescent="0.4">
      <c r="A151" s="20">
        <f>IF(ISBLANK(B151),"",MAX(A$6:$A150)+1)</f>
        <v>142</v>
      </c>
      <c r="B151" s="20">
        <v>81076089</v>
      </c>
      <c r="C151" s="8" t="s">
        <v>345</v>
      </c>
      <c r="D151" s="7">
        <v>0</v>
      </c>
      <c r="E151" s="7">
        <v>0</v>
      </c>
      <c r="F151" s="58" t="s">
        <v>175</v>
      </c>
      <c r="G151" s="7"/>
      <c r="H151" s="7"/>
      <c r="I151" s="7"/>
    </row>
    <row r="152" spans="1:9" x14ac:dyDescent="0.4">
      <c r="A152" s="20">
        <f>IF(ISBLANK(B152),"",MAX(A$6:$A151)+1)</f>
        <v>143</v>
      </c>
      <c r="B152" s="20">
        <v>81076062</v>
      </c>
      <c r="C152" s="8" t="s">
        <v>329</v>
      </c>
      <c r="D152" s="7">
        <v>0</v>
      </c>
      <c r="E152" s="7">
        <v>0</v>
      </c>
      <c r="F152" s="58" t="s">
        <v>175</v>
      </c>
      <c r="G152" s="7"/>
      <c r="H152" s="7"/>
      <c r="I152" s="7"/>
    </row>
    <row r="153" spans="1:9" x14ac:dyDescent="0.4">
      <c r="A153" s="20">
        <f>IF(ISBLANK(B153),"",MAX(A$6:$A152)+1)</f>
        <v>144</v>
      </c>
      <c r="B153" s="20">
        <v>309777922</v>
      </c>
      <c r="C153" s="8" t="s">
        <v>266</v>
      </c>
      <c r="D153" s="7">
        <v>44590.94</v>
      </c>
      <c r="E153" s="7">
        <v>33474.418658000002</v>
      </c>
      <c r="F153" s="58" t="s">
        <v>175</v>
      </c>
      <c r="G153" s="7"/>
      <c r="H153" s="7"/>
      <c r="I153" s="7"/>
    </row>
    <row r="154" spans="1:9" x14ac:dyDescent="0.4">
      <c r="A154" s="20">
        <f>IF(ISBLANK(B154),"",MAX(A$6:$A153)+1)</f>
        <v>145</v>
      </c>
      <c r="B154" s="20">
        <v>194058259</v>
      </c>
      <c r="C154" s="8" t="s">
        <v>269</v>
      </c>
      <c r="D154" s="7">
        <v>79798.59</v>
      </c>
      <c r="E154" s="7">
        <v>59904.801512999999</v>
      </c>
      <c r="F154" s="58" t="s">
        <v>175</v>
      </c>
      <c r="G154" s="7"/>
      <c r="H154" s="7"/>
      <c r="I154" s="7"/>
    </row>
    <row r="155" spans="1:9" x14ac:dyDescent="0.4">
      <c r="A155" s="20">
        <f>IF(ISBLANK(B155),"",MAX(A$6:$A154)+1)</f>
        <v>146</v>
      </c>
      <c r="B155" s="20">
        <v>357506156</v>
      </c>
      <c r="C155" s="8" t="s">
        <v>269</v>
      </c>
      <c r="D155" s="7">
        <v>37840.5</v>
      </c>
      <c r="E155" s="7">
        <v>28406.86335</v>
      </c>
      <c r="F155" s="58" t="s">
        <v>175</v>
      </c>
      <c r="G155" s="7"/>
      <c r="H155" s="7"/>
      <c r="I155" s="7"/>
    </row>
    <row r="156" spans="1:9" x14ac:dyDescent="0.4">
      <c r="A156" s="20">
        <f>IF(ISBLANK(B156),"",MAX(A$6:$A155)+1)</f>
        <v>147</v>
      </c>
      <c r="B156" s="20">
        <v>157889707</v>
      </c>
      <c r="C156" s="8" t="s">
        <v>269</v>
      </c>
      <c r="D156" s="7">
        <v>56396.97</v>
      </c>
      <c r="E156" s="7">
        <v>42337.205379000006</v>
      </c>
      <c r="F156" s="58" t="s">
        <v>175</v>
      </c>
      <c r="G156" s="7"/>
      <c r="H156" s="7"/>
      <c r="I156" s="7"/>
    </row>
    <row r="157" spans="1:9" x14ac:dyDescent="0.4">
      <c r="A157" s="20">
        <f>IF(ISBLANK(B157),"",MAX(A$6:$A156)+1)</f>
        <v>148</v>
      </c>
      <c r="B157" s="20">
        <v>124118012</v>
      </c>
      <c r="C157" s="8" t="s">
        <v>375</v>
      </c>
      <c r="D157" s="7">
        <v>0</v>
      </c>
      <c r="E157" s="7">
        <v>0</v>
      </c>
      <c r="F157" s="58" t="s">
        <v>175</v>
      </c>
      <c r="G157" s="7"/>
      <c r="H157" s="7"/>
      <c r="I157" s="7"/>
    </row>
    <row r="158" spans="1:9" x14ac:dyDescent="0.4">
      <c r="A158" s="20">
        <f>IF(ISBLANK(B158),"",MAX(A$6:$A157)+1)</f>
        <v>149</v>
      </c>
      <c r="B158" s="20">
        <v>272703485</v>
      </c>
      <c r="C158" s="8" t="s">
        <v>375</v>
      </c>
      <c r="D158" s="7">
        <v>133873.49</v>
      </c>
      <c r="E158" s="7">
        <v>100498.828943</v>
      </c>
      <c r="F158" s="58" t="s">
        <v>175</v>
      </c>
      <c r="G158" s="7"/>
      <c r="H158" s="7"/>
      <c r="I158" s="7"/>
    </row>
    <row r="159" spans="1:9" x14ac:dyDescent="0.4">
      <c r="A159" s="20">
        <f>IF(ISBLANK(B159),"",MAX(A$6:$A158)+1)</f>
        <v>150</v>
      </c>
      <c r="B159" s="20">
        <v>264631924</v>
      </c>
      <c r="C159" s="8" t="s">
        <v>368</v>
      </c>
      <c r="D159" s="7">
        <v>13518.16</v>
      </c>
      <c r="E159" s="7">
        <v>10148.082711999999</v>
      </c>
      <c r="F159" s="58" t="s">
        <v>175</v>
      </c>
      <c r="G159" s="7"/>
      <c r="H159" s="7"/>
      <c r="I159" s="7"/>
    </row>
    <row r="160" spans="1:9" x14ac:dyDescent="0.4">
      <c r="A160" s="20">
        <f>IF(ISBLANK(B160),"",MAX(A$6:$A159)+1)</f>
        <v>151</v>
      </c>
      <c r="B160" s="20">
        <v>264631994</v>
      </c>
      <c r="C160" s="8" t="s">
        <v>303</v>
      </c>
      <c r="D160" s="7">
        <v>382504.06</v>
      </c>
      <c r="E160" s="7">
        <v>287145.79784200003</v>
      </c>
      <c r="F160" s="58" t="s">
        <v>175</v>
      </c>
      <c r="G160" s="7"/>
      <c r="H160" s="7"/>
      <c r="I160" s="7"/>
    </row>
    <row r="161" spans="1:9" x14ac:dyDescent="0.4">
      <c r="A161" s="20">
        <f>IF(ISBLANK(B161),"",MAX(A$6:$A160)+1)</f>
        <v>152</v>
      </c>
      <c r="B161" s="20">
        <v>264631873</v>
      </c>
      <c r="C161" s="8" t="s">
        <v>280</v>
      </c>
      <c r="D161" s="7">
        <v>185758.64</v>
      </c>
      <c r="E161" s="7">
        <v>139449.01104800001</v>
      </c>
      <c r="F161" s="58" t="s">
        <v>175</v>
      </c>
      <c r="G161" s="7"/>
      <c r="H161" s="7"/>
      <c r="I161" s="7"/>
    </row>
    <row r="162" spans="1:9" x14ac:dyDescent="0.4">
      <c r="A162" s="20">
        <f>IF(ISBLANK(B162),"",MAX(A$6:$A161)+1)</f>
        <v>153</v>
      </c>
      <c r="B162" s="20">
        <v>264631907</v>
      </c>
      <c r="C162" s="8" t="s">
        <v>320</v>
      </c>
      <c r="D162" s="7">
        <v>24030.16</v>
      </c>
      <c r="E162" s="7">
        <v>18039.441112</v>
      </c>
      <c r="F162" s="58" t="s">
        <v>175</v>
      </c>
      <c r="G162" s="7"/>
      <c r="H162" s="7"/>
      <c r="I162" s="7"/>
    </row>
    <row r="163" spans="1:9" x14ac:dyDescent="0.4">
      <c r="A163" s="20">
        <f>IF(ISBLANK(B163),"",MAX(A$6:$A162)+1)</f>
        <v>154</v>
      </c>
      <c r="B163" s="20">
        <v>230835018</v>
      </c>
      <c r="C163" s="8" t="s">
        <v>337</v>
      </c>
      <c r="D163" s="7">
        <v>0</v>
      </c>
      <c r="E163" s="7">
        <v>0</v>
      </c>
      <c r="F163" s="58" t="s">
        <v>175</v>
      </c>
      <c r="G163" s="7"/>
      <c r="H163" s="7"/>
      <c r="I163" s="7"/>
    </row>
    <row r="164" spans="1:9" x14ac:dyDescent="0.4">
      <c r="A164" s="20" t="str">
        <f>IF(ISBLANK(B164),"",MAX(A$6:$A163)+1)</f>
        <v/>
      </c>
      <c r="D164" s="7">
        <v>72124068.469999999</v>
      </c>
      <c r="E164" s="7">
        <v>57006600.717067011</v>
      </c>
      <c r="F164" s="58" t="s">
        <v>235</v>
      </c>
      <c r="G164" s="7"/>
      <c r="H164" s="7"/>
      <c r="I164" s="7"/>
    </row>
  </sheetData>
  <sortState xmlns:xlrd2="http://schemas.microsoft.com/office/spreadsheetml/2017/richdata2" ref="B17:F163">
    <sortCondition ref="C17:C163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7481-7A6F-44A5-9645-D18871ED262F}">
  <sheetPr codeName="Sheet22">
    <tabColor rgb="FFFFFF00"/>
  </sheetPr>
  <dimension ref="A1:X57"/>
  <sheetViews>
    <sheetView zoomScale="80" zoomScaleNormal="80" workbookViewId="0">
      <selection activeCell="C2" sqref="C2"/>
    </sheetView>
  </sheetViews>
  <sheetFormatPr defaultColWidth="9.15234375" defaultRowHeight="14.6" x14ac:dyDescent="0.4"/>
  <cols>
    <col min="1" max="1" width="21.15234375" style="8" customWidth="1"/>
    <col min="2" max="2" width="9.15234375" style="8"/>
    <col min="3" max="3" width="12.3828125" style="8" bestFit="1" customWidth="1"/>
    <col min="4" max="4" width="27.84375" style="8" customWidth="1"/>
    <col min="5" max="5" width="57.84375" style="8" bestFit="1" customWidth="1"/>
    <col min="6" max="6" width="17.53515625" style="93" customWidth="1"/>
    <col min="7" max="7" width="12.69140625" style="94" customWidth="1"/>
    <col min="8" max="8" width="13.3828125" style="94" customWidth="1"/>
    <col min="9" max="9" width="16.69140625" style="94" customWidth="1"/>
    <col min="10" max="10" width="12" style="94" customWidth="1"/>
    <col min="11" max="11" width="11.69140625" style="94" customWidth="1"/>
    <col min="12" max="12" width="15.15234375" style="94" bestFit="1" customWidth="1"/>
    <col min="13" max="13" width="21.53515625" style="94" customWidth="1"/>
    <col min="14" max="14" width="22" style="94" bestFit="1" customWidth="1"/>
    <col min="15" max="15" width="25.69140625" style="94" customWidth="1"/>
    <col min="16" max="16" width="1" style="8" customWidth="1"/>
    <col min="17" max="17" width="21.3828125" style="17" customWidth="1"/>
    <col min="18" max="18" width="35.53515625" style="8" customWidth="1"/>
    <col min="19" max="16384" width="9.15234375" style="8"/>
  </cols>
  <sheetData>
    <row r="1" spans="1:24" x14ac:dyDescent="0.4">
      <c r="A1" s="8" t="str">
        <f>Contents!A1</f>
        <v>Cascade Natural Gas Corp.</v>
      </c>
      <c r="C1" s="117" t="s">
        <v>640</v>
      </c>
    </row>
    <row r="2" spans="1:24" ht="15" thickBot="1" x14ac:dyDescent="0.45">
      <c r="A2" s="8" t="s">
        <v>605</v>
      </c>
    </row>
    <row r="3" spans="1:24" ht="34.5" customHeight="1" thickBot="1" x14ac:dyDescent="0.45">
      <c r="A3" s="95"/>
      <c r="B3" s="96"/>
      <c r="C3" s="96"/>
      <c r="D3" s="96"/>
      <c r="E3" s="206" t="s">
        <v>495</v>
      </c>
      <c r="F3" s="208" t="s">
        <v>494</v>
      </c>
      <c r="G3" s="210" t="s">
        <v>493</v>
      </c>
      <c r="H3" s="211"/>
      <c r="I3" s="212"/>
      <c r="J3" s="210" t="s">
        <v>492</v>
      </c>
      <c r="K3" s="211"/>
      <c r="L3" s="212"/>
      <c r="M3" s="97" t="s">
        <v>491</v>
      </c>
      <c r="N3" s="227" t="s">
        <v>490</v>
      </c>
      <c r="O3" s="227" t="s">
        <v>489</v>
      </c>
      <c r="Q3" s="213" t="s">
        <v>488</v>
      </c>
      <c r="R3" s="213" t="s">
        <v>487</v>
      </c>
    </row>
    <row r="4" spans="1:24" ht="51" customHeight="1" x14ac:dyDescent="0.4">
      <c r="A4" s="114"/>
      <c r="B4" s="115" t="s">
        <v>486</v>
      </c>
      <c r="C4" s="115" t="s">
        <v>485</v>
      </c>
      <c r="D4" s="115" t="s">
        <v>484</v>
      </c>
      <c r="E4" s="207"/>
      <c r="F4" s="209"/>
      <c r="G4" s="116" t="s">
        <v>483</v>
      </c>
      <c r="H4" s="116" t="s">
        <v>482</v>
      </c>
      <c r="I4" s="116" t="s">
        <v>481</v>
      </c>
      <c r="J4" s="116" t="s">
        <v>483</v>
      </c>
      <c r="K4" s="116" t="s">
        <v>482</v>
      </c>
      <c r="L4" s="116" t="s">
        <v>481</v>
      </c>
      <c r="M4" s="116" t="s">
        <v>480</v>
      </c>
      <c r="N4" s="228"/>
      <c r="O4" s="228"/>
      <c r="P4" s="84"/>
      <c r="Q4" s="214"/>
      <c r="R4" s="214"/>
      <c r="X4" s="77"/>
    </row>
    <row r="5" spans="1:24" ht="20.149999999999999" customHeight="1" x14ac:dyDescent="0.4">
      <c r="E5" s="111"/>
      <c r="F5" s="112"/>
      <c r="G5" s="113" t="s">
        <v>429</v>
      </c>
      <c r="H5" s="113" t="s">
        <v>238</v>
      </c>
      <c r="I5" s="113" t="s">
        <v>479</v>
      </c>
      <c r="J5" s="113" t="s">
        <v>429</v>
      </c>
      <c r="K5" s="113" t="s">
        <v>238</v>
      </c>
      <c r="L5" s="113" t="s">
        <v>478</v>
      </c>
      <c r="M5" s="113"/>
      <c r="N5" s="113" t="s">
        <v>477</v>
      </c>
      <c r="O5" s="113" t="s">
        <v>421</v>
      </c>
      <c r="Q5" s="17">
        <v>5633.6</v>
      </c>
    </row>
    <row r="6" spans="1:24" ht="20.149999999999999" customHeight="1" x14ac:dyDescent="0.4">
      <c r="J6" s="100" t="s">
        <v>429</v>
      </c>
      <c r="K6" s="100" t="s">
        <v>238</v>
      </c>
      <c r="L6" s="100" t="s">
        <v>476</v>
      </c>
      <c r="M6" s="100"/>
      <c r="N6" s="100" t="s">
        <v>475</v>
      </c>
      <c r="O6" s="100" t="s">
        <v>423</v>
      </c>
      <c r="Q6" s="39">
        <v>14560.64</v>
      </c>
    </row>
    <row r="7" spans="1:24" ht="20.149999999999999" customHeight="1" x14ac:dyDescent="0.4">
      <c r="G7" s="100" t="s">
        <v>429</v>
      </c>
      <c r="H7" s="100" t="s">
        <v>238</v>
      </c>
      <c r="I7" s="100" t="s">
        <v>474</v>
      </c>
      <c r="J7" s="100"/>
      <c r="K7" s="100"/>
      <c r="L7" s="100"/>
      <c r="M7" s="100"/>
      <c r="N7" s="100" t="s">
        <v>473</v>
      </c>
      <c r="O7" s="100" t="s">
        <v>420</v>
      </c>
      <c r="Q7" s="39">
        <v>5615.79</v>
      </c>
    </row>
    <row r="8" spans="1:24" ht="20.149999999999999" customHeight="1" x14ac:dyDescent="0.4"/>
    <row r="9" spans="1:24" ht="20.149999999999999" customHeight="1" x14ac:dyDescent="0.4">
      <c r="E9" s="98"/>
      <c r="F9" s="99"/>
      <c r="G9" s="100" t="s">
        <v>429</v>
      </c>
      <c r="H9" s="100" t="s">
        <v>238</v>
      </c>
      <c r="I9" s="100" t="s">
        <v>470</v>
      </c>
      <c r="J9" s="100" t="s">
        <v>429</v>
      </c>
      <c r="K9" s="100" t="s">
        <v>238</v>
      </c>
      <c r="L9" s="100" t="s">
        <v>472</v>
      </c>
      <c r="M9" s="100"/>
      <c r="N9" s="100" t="s">
        <v>471</v>
      </c>
      <c r="O9" s="101" t="s">
        <v>422</v>
      </c>
      <c r="Q9" s="17">
        <f>829.01+19.07</f>
        <v>848.08</v>
      </c>
    </row>
    <row r="10" spans="1:24" ht="20.149999999999999" customHeight="1" x14ac:dyDescent="0.4">
      <c r="G10" s="100" t="s">
        <v>429</v>
      </c>
      <c r="H10" s="100" t="s">
        <v>238</v>
      </c>
      <c r="I10" s="100" t="s">
        <v>470</v>
      </c>
      <c r="J10" s="100"/>
      <c r="K10" s="100"/>
      <c r="L10" s="100"/>
      <c r="M10" s="100"/>
      <c r="N10" s="100" t="s">
        <v>469</v>
      </c>
      <c r="O10" s="100" t="s">
        <v>420</v>
      </c>
      <c r="Q10" s="39">
        <v>7076.73</v>
      </c>
    </row>
    <row r="11" spans="1:24" ht="20.149999999999999" customHeight="1" x14ac:dyDescent="0.4">
      <c r="J11" s="100" t="s">
        <v>429</v>
      </c>
      <c r="K11" s="100" t="s">
        <v>238</v>
      </c>
      <c r="L11" s="100" t="s">
        <v>468</v>
      </c>
      <c r="M11" s="100"/>
      <c r="N11" s="100" t="s">
        <v>466</v>
      </c>
      <c r="O11" s="100" t="s">
        <v>421</v>
      </c>
      <c r="Q11" s="17">
        <v>13985.83</v>
      </c>
    </row>
    <row r="12" spans="1:24" ht="20.149999999999999" customHeight="1" x14ac:dyDescent="0.4">
      <c r="J12" s="100" t="s">
        <v>429</v>
      </c>
      <c r="K12" s="100" t="s">
        <v>238</v>
      </c>
      <c r="L12" s="100" t="s">
        <v>467</v>
      </c>
      <c r="M12" s="100"/>
      <c r="N12" s="100" t="s">
        <v>466</v>
      </c>
      <c r="O12" s="101" t="s">
        <v>422</v>
      </c>
      <c r="Q12" s="17">
        <f>23760.99-Q11</f>
        <v>9775.1600000000017</v>
      </c>
    </row>
    <row r="13" spans="1:24" ht="20.149999999999999" customHeight="1" x14ac:dyDescent="0.4">
      <c r="G13" s="100" t="s">
        <v>429</v>
      </c>
      <c r="H13" s="100" t="s">
        <v>238</v>
      </c>
      <c r="I13" s="100" t="s">
        <v>465</v>
      </c>
      <c r="J13" s="100"/>
      <c r="K13" s="100"/>
      <c r="L13" s="100"/>
      <c r="M13" s="100"/>
      <c r="N13" s="100" t="s">
        <v>464</v>
      </c>
      <c r="O13" s="100" t="s">
        <v>420</v>
      </c>
      <c r="Q13" s="39">
        <v>1343.54</v>
      </c>
    </row>
    <row r="14" spans="1:24" ht="20.149999999999999" customHeight="1" x14ac:dyDescent="0.4"/>
    <row r="15" spans="1:24" ht="20.149999999999999" customHeight="1" x14ac:dyDescent="0.4">
      <c r="E15" s="98"/>
      <c r="F15" s="99"/>
      <c r="G15" s="100" t="s">
        <v>429</v>
      </c>
      <c r="H15" s="100" t="s">
        <v>238</v>
      </c>
      <c r="I15" s="100" t="s">
        <v>459</v>
      </c>
      <c r="J15" s="100" t="s">
        <v>429</v>
      </c>
      <c r="K15" s="100" t="s">
        <v>238</v>
      </c>
      <c r="L15" s="100" t="s">
        <v>463</v>
      </c>
      <c r="M15" s="100"/>
      <c r="N15" s="100" t="s">
        <v>462</v>
      </c>
      <c r="O15" s="100" t="s">
        <v>421</v>
      </c>
      <c r="Q15" s="17">
        <f>39367.41-2812.89</f>
        <v>36554.520000000004</v>
      </c>
    </row>
    <row r="16" spans="1:24" ht="20.149999999999999" customHeight="1" x14ac:dyDescent="0.4">
      <c r="J16" s="100" t="s">
        <v>441</v>
      </c>
      <c r="K16" s="100" t="s">
        <v>238</v>
      </c>
      <c r="L16" s="100" t="s">
        <v>461</v>
      </c>
      <c r="M16" s="100"/>
      <c r="N16" s="100" t="s">
        <v>460</v>
      </c>
      <c r="O16" s="100" t="s">
        <v>421</v>
      </c>
      <c r="Q16" s="17">
        <f>161015.83+19699.17</f>
        <v>180715</v>
      </c>
    </row>
    <row r="17" spans="5:17" ht="20.149999999999999" customHeight="1" x14ac:dyDescent="0.4">
      <c r="G17" s="100" t="s">
        <v>429</v>
      </c>
      <c r="H17" s="100" t="s">
        <v>238</v>
      </c>
      <c r="I17" s="100" t="s">
        <v>459</v>
      </c>
      <c r="J17" s="100"/>
      <c r="K17" s="100"/>
      <c r="L17" s="100"/>
      <c r="M17" s="100"/>
      <c r="N17" s="100" t="s">
        <v>458</v>
      </c>
      <c r="O17" s="100" t="s">
        <v>420</v>
      </c>
      <c r="Q17" s="39">
        <v>4652</v>
      </c>
    </row>
    <row r="18" spans="5:17" ht="20.149999999999999" customHeight="1" x14ac:dyDescent="0.4"/>
    <row r="19" spans="5:17" ht="20.149999999999999" customHeight="1" thickBot="1" x14ac:dyDescent="0.45">
      <c r="E19" s="98"/>
      <c r="F19" s="99"/>
      <c r="G19" s="102" t="s">
        <v>457</v>
      </c>
      <c r="H19" s="102" t="s">
        <v>237</v>
      </c>
      <c r="I19" s="102" t="s">
        <v>456</v>
      </c>
      <c r="J19" s="100" t="s">
        <v>455</v>
      </c>
      <c r="K19" s="100" t="s">
        <v>238</v>
      </c>
      <c r="L19" s="100" t="s">
        <v>454</v>
      </c>
      <c r="M19" s="100"/>
      <c r="N19" s="100" t="s">
        <v>453</v>
      </c>
      <c r="O19" s="100" t="s">
        <v>423</v>
      </c>
      <c r="Q19" s="17">
        <f>309504.83-4113.85+16324</f>
        <v>321714.98000000004</v>
      </c>
    </row>
    <row r="20" spans="5:17" ht="20.149999999999999" customHeight="1" x14ac:dyDescent="0.4">
      <c r="G20" s="215" t="s">
        <v>452</v>
      </c>
      <c r="H20" s="216"/>
      <c r="I20" s="217"/>
      <c r="J20" s="103" t="s">
        <v>451</v>
      </c>
      <c r="K20" s="100" t="s">
        <v>238</v>
      </c>
      <c r="L20" s="100" t="s">
        <v>425</v>
      </c>
      <c r="M20" s="100"/>
      <c r="N20" s="100" t="s">
        <v>450</v>
      </c>
      <c r="O20" s="100" t="s">
        <v>421</v>
      </c>
      <c r="Q20" s="17">
        <f>12992.31</f>
        <v>12992.31</v>
      </c>
    </row>
    <row r="21" spans="5:17" ht="20.149999999999999" customHeight="1" x14ac:dyDescent="0.4">
      <c r="G21" s="218"/>
      <c r="H21" s="219"/>
      <c r="I21" s="220"/>
      <c r="J21" s="103" t="s">
        <v>449</v>
      </c>
      <c r="K21" s="100" t="s">
        <v>238</v>
      </c>
      <c r="L21" s="100" t="s">
        <v>448</v>
      </c>
      <c r="M21" s="100"/>
      <c r="N21" s="100" t="s">
        <v>447</v>
      </c>
      <c r="O21" s="100" t="s">
        <v>421</v>
      </c>
      <c r="Q21" s="17">
        <f>1754458.73-130.76+15.54+56.61</f>
        <v>1754400.12</v>
      </c>
    </row>
    <row r="22" spans="5:17" ht="20.149999999999999" customHeight="1" x14ac:dyDescent="0.4">
      <c r="G22" s="218"/>
      <c r="H22" s="219"/>
      <c r="I22" s="220"/>
      <c r="J22" s="103" t="s">
        <v>425</v>
      </c>
      <c r="K22" s="100" t="s">
        <v>238</v>
      </c>
      <c r="L22" s="100" t="s">
        <v>446</v>
      </c>
      <c r="M22" s="100"/>
      <c r="N22" s="100" t="s">
        <v>445</v>
      </c>
      <c r="O22" s="100" t="s">
        <v>421</v>
      </c>
      <c r="Q22" s="17">
        <f>3353553.2+482.78+49765.65</f>
        <v>3403801.63</v>
      </c>
    </row>
    <row r="23" spans="5:17" ht="20.149999999999999" customHeight="1" thickBot="1" x14ac:dyDescent="0.45">
      <c r="G23" s="221"/>
      <c r="H23" s="222"/>
      <c r="I23" s="223"/>
      <c r="J23" s="103" t="s">
        <v>444</v>
      </c>
      <c r="K23" s="100" t="s">
        <v>443</v>
      </c>
      <c r="L23" s="100" t="s">
        <v>443</v>
      </c>
      <c r="M23" s="100"/>
      <c r="N23" s="100" t="s">
        <v>442</v>
      </c>
      <c r="O23" s="100"/>
      <c r="Q23" s="17">
        <f>1395689.12-1072635.45</f>
        <v>323053.67000000016</v>
      </c>
    </row>
    <row r="24" spans="5:17" ht="20.149999999999999" customHeight="1" x14ac:dyDescent="0.4"/>
    <row r="25" spans="5:17" ht="20.149999999999999" customHeight="1" thickBot="1" x14ac:dyDescent="0.45">
      <c r="E25" s="98"/>
      <c r="F25" s="104"/>
      <c r="G25" s="105">
        <v>10</v>
      </c>
      <c r="H25" s="105" t="s">
        <v>238</v>
      </c>
      <c r="I25" s="105">
        <v>5</v>
      </c>
      <c r="J25" s="106">
        <v>10</v>
      </c>
      <c r="K25" s="106" t="s">
        <v>238</v>
      </c>
      <c r="L25" s="106">
        <v>9</v>
      </c>
      <c r="M25" s="106"/>
      <c r="N25" s="100" t="s">
        <v>440</v>
      </c>
      <c r="O25" s="100"/>
    </row>
    <row r="26" spans="5:17" ht="20.149999999999999" customHeight="1" thickBot="1" x14ac:dyDescent="0.45">
      <c r="E26" s="98"/>
      <c r="F26" s="107"/>
      <c r="G26" s="224" t="s">
        <v>426</v>
      </c>
      <c r="H26" s="225"/>
      <c r="I26" s="226"/>
      <c r="J26" s="103">
        <v>16</v>
      </c>
      <c r="K26" s="100" t="s">
        <v>238</v>
      </c>
      <c r="L26" s="100">
        <v>43408</v>
      </c>
      <c r="M26" s="100"/>
      <c r="N26" s="100" t="s">
        <v>439</v>
      </c>
      <c r="O26" s="100" t="s">
        <v>421</v>
      </c>
      <c r="Q26" s="17">
        <v>8065411</v>
      </c>
    </row>
    <row r="27" spans="5:17" ht="20.149999999999999" customHeight="1" x14ac:dyDescent="0.4"/>
    <row r="28" spans="5:17" ht="20.149999999999999" customHeight="1" thickBot="1" x14ac:dyDescent="0.45">
      <c r="E28" s="38"/>
      <c r="F28" s="37"/>
      <c r="G28" s="36">
        <v>12</v>
      </c>
      <c r="H28" s="36" t="s">
        <v>238</v>
      </c>
      <c r="I28" s="36">
        <v>23</v>
      </c>
      <c r="J28" s="36" t="s">
        <v>438</v>
      </c>
      <c r="K28" s="36" t="s">
        <v>238</v>
      </c>
      <c r="L28" s="36">
        <v>7636</v>
      </c>
      <c r="M28" s="36"/>
      <c r="N28" s="35" t="s">
        <v>437</v>
      </c>
      <c r="O28" s="100" t="s">
        <v>421</v>
      </c>
      <c r="Q28" s="17">
        <f>466919.21+5605.23</f>
        <v>472524.44</v>
      </c>
    </row>
    <row r="29" spans="5:17" ht="20.149999999999999" customHeight="1" thickBot="1" x14ac:dyDescent="0.45">
      <c r="E29" s="34"/>
      <c r="F29" s="33"/>
      <c r="G29" s="224" t="s">
        <v>426</v>
      </c>
      <c r="H29" s="225"/>
      <c r="I29" s="226"/>
      <c r="J29" s="32"/>
      <c r="K29" s="32"/>
      <c r="L29" s="32"/>
      <c r="M29" s="32"/>
      <c r="N29" s="31"/>
    </row>
    <row r="30" spans="5:17" ht="20.149999999999999" customHeight="1" x14ac:dyDescent="0.4"/>
    <row r="31" spans="5:17" ht="20.149999999999999" customHeight="1" x14ac:dyDescent="0.4">
      <c r="E31" s="98"/>
      <c r="F31" s="99"/>
      <c r="G31" s="100" t="s">
        <v>429</v>
      </c>
      <c r="H31" s="100" t="s">
        <v>238</v>
      </c>
      <c r="I31" s="100" t="s">
        <v>436</v>
      </c>
      <c r="J31" s="100" t="s">
        <v>429</v>
      </c>
      <c r="K31" s="100" t="s">
        <v>238</v>
      </c>
      <c r="L31" s="100" t="s">
        <v>435</v>
      </c>
      <c r="M31" s="100"/>
      <c r="N31" s="100" t="s">
        <v>434</v>
      </c>
      <c r="O31" s="100" t="s">
        <v>420</v>
      </c>
      <c r="Q31" s="17">
        <f>3384.1+169.63</f>
        <v>3553.73</v>
      </c>
    </row>
    <row r="32" spans="5:17" ht="20.149999999999999" customHeight="1" x14ac:dyDescent="0.4">
      <c r="J32" s="100" t="s">
        <v>429</v>
      </c>
      <c r="K32" s="100" t="s">
        <v>238</v>
      </c>
      <c r="L32" s="100" t="s">
        <v>433</v>
      </c>
      <c r="M32" s="100"/>
      <c r="N32" s="100" t="s">
        <v>432</v>
      </c>
      <c r="O32" s="100"/>
    </row>
    <row r="33" spans="10:17" ht="21.75" customHeight="1" x14ac:dyDescent="0.4">
      <c r="J33" s="100" t="s">
        <v>431</v>
      </c>
      <c r="K33" s="100" t="s">
        <v>238</v>
      </c>
      <c r="L33" s="100" t="s">
        <v>430</v>
      </c>
      <c r="M33" s="100"/>
      <c r="N33" s="100" t="s">
        <v>427</v>
      </c>
      <c r="O33" s="101" t="s">
        <v>422</v>
      </c>
      <c r="Q33" s="17">
        <f>6512.94+6.62-4364.15</f>
        <v>2155.41</v>
      </c>
    </row>
    <row r="34" spans="10:17" ht="21.75" customHeight="1" x14ac:dyDescent="0.4">
      <c r="J34" s="100" t="s">
        <v>429</v>
      </c>
      <c r="K34" s="100" t="s">
        <v>238</v>
      </c>
      <c r="L34" s="100" t="s">
        <v>428</v>
      </c>
      <c r="M34" s="100"/>
      <c r="N34" s="100" t="s">
        <v>427</v>
      </c>
      <c r="O34" s="100" t="s">
        <v>421</v>
      </c>
      <c r="Q34" s="17">
        <v>4364.1499999999996</v>
      </c>
    </row>
    <row r="35" spans="10:17" ht="20.149999999999999" customHeight="1" x14ac:dyDescent="0.4">
      <c r="O35" s="108"/>
    </row>
    <row r="36" spans="10:17" ht="20.149999999999999" customHeight="1" x14ac:dyDescent="0.4">
      <c r="O36" s="108" t="s">
        <v>424</v>
      </c>
      <c r="Q36" s="17">
        <f>SUM(Q5:Q34)-Q23</f>
        <v>14321678.66</v>
      </c>
    </row>
    <row r="37" spans="10:17" ht="20.149999999999999" customHeight="1" x14ac:dyDescent="0.4">
      <c r="O37" s="108"/>
    </row>
    <row r="38" spans="10:17" ht="20.149999999999999" customHeight="1" x14ac:dyDescent="0.4">
      <c r="O38" s="109" t="s">
        <v>423</v>
      </c>
      <c r="P38" s="77"/>
      <c r="Q38" s="110">
        <f>SUMIF($O$5:$O$34,O38,$Q$5:$Q$34)</f>
        <v>336275.62000000005</v>
      </c>
    </row>
    <row r="39" spans="10:17" ht="20.149999999999999" customHeight="1" x14ac:dyDescent="0.4">
      <c r="O39" s="109" t="s">
        <v>422</v>
      </c>
      <c r="P39" s="77"/>
      <c r="Q39" s="110">
        <f>SUMIF($O$5:$O$34,O39,$Q$5:$Q$34)</f>
        <v>12778.650000000001</v>
      </c>
    </row>
    <row r="40" spans="10:17" ht="20.149999999999999" customHeight="1" x14ac:dyDescent="0.4">
      <c r="O40" s="109" t="s">
        <v>421</v>
      </c>
      <c r="P40" s="77"/>
      <c r="Q40" s="110">
        <f>SUMIF($O$5:$O$34,O40,$Q$5:$Q$34)</f>
        <v>13950382.6</v>
      </c>
    </row>
    <row r="41" spans="10:17" ht="20.149999999999999" customHeight="1" x14ac:dyDescent="0.4">
      <c r="O41" s="109" t="s">
        <v>420</v>
      </c>
      <c r="P41" s="77"/>
      <c r="Q41" s="110">
        <f>SUMIF($O$5:$O$34,O41,$Q$5:$Q$34)</f>
        <v>22241.79</v>
      </c>
    </row>
    <row r="42" spans="10:17" ht="20.149999999999999" customHeight="1" x14ac:dyDescent="0.4">
      <c r="O42" s="108"/>
      <c r="Q42" s="17">
        <f>SUM(Q38:Q41)-Q36</f>
        <v>0</v>
      </c>
    </row>
    <row r="43" spans="10:17" ht="20.149999999999999" customHeight="1" x14ac:dyDescent="0.4"/>
    <row r="44" spans="10:17" ht="20.149999999999999" customHeight="1" x14ac:dyDescent="0.4"/>
    <row r="45" spans="10:17" ht="20.149999999999999" customHeight="1" x14ac:dyDescent="0.4"/>
    <row r="46" spans="10:17" ht="20.149999999999999" customHeight="1" x14ac:dyDescent="0.4"/>
    <row r="47" spans="10:17" ht="20.149999999999999" customHeight="1" x14ac:dyDescent="0.4"/>
    <row r="48" spans="10:17" ht="20.149999999999999" customHeight="1" x14ac:dyDescent="0.4"/>
    <row r="49" ht="20.149999999999999" customHeight="1" x14ac:dyDescent="0.4"/>
    <row r="50" ht="20.149999999999999" customHeight="1" x14ac:dyDescent="0.4"/>
    <row r="51" ht="20.149999999999999" customHeight="1" x14ac:dyDescent="0.4"/>
    <row r="52" ht="20.149999999999999" customHeight="1" x14ac:dyDescent="0.4"/>
    <row r="53" ht="20.149999999999999" customHeight="1" x14ac:dyDescent="0.4"/>
    <row r="54" ht="20.149999999999999" customHeight="1" x14ac:dyDescent="0.4"/>
    <row r="55" ht="20.149999999999999" customHeight="1" x14ac:dyDescent="0.4"/>
    <row r="56" ht="20.149999999999999" customHeight="1" x14ac:dyDescent="0.4"/>
    <row r="57" ht="20.149999999999999" customHeight="1" x14ac:dyDescent="0.4"/>
  </sheetData>
  <mergeCells count="11">
    <mergeCell ref="G20:I23"/>
    <mergeCell ref="G26:I26"/>
    <mergeCell ref="G29:I29"/>
    <mergeCell ref="R3:R4"/>
    <mergeCell ref="N3:N4"/>
    <mergeCell ref="O3:O4"/>
    <mergeCell ref="E3:E4"/>
    <mergeCell ref="F3:F4"/>
    <mergeCell ref="G3:I3"/>
    <mergeCell ref="J3:L3"/>
    <mergeCell ref="Q3:Q4"/>
  </mergeCells>
  <printOptions horizontalCentered="1"/>
  <pageMargins left="0.25" right="0.25" top="0.75" bottom="0.5" header="0.3" footer="0.3"/>
  <pageSetup scale="33" orientation="landscape" r:id="rId1"/>
  <headerFooter scaleWithDoc="0" alignWithMargins="0">
    <oddHeader>&amp;RRJA WP-2.26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C3D8-17E4-46DA-A927-606B484A0CC9}">
  <sheetPr codeName="Sheet7"/>
  <dimension ref="A1:N24"/>
  <sheetViews>
    <sheetView topLeftCell="E1" workbookViewId="0">
      <selection activeCell="E8" sqref="E8"/>
    </sheetView>
  </sheetViews>
  <sheetFormatPr defaultColWidth="9.23046875" defaultRowHeight="14.6" x14ac:dyDescent="0.4"/>
  <cols>
    <col min="1" max="1" width="4.69140625" style="8" bestFit="1" customWidth="1"/>
    <col min="2" max="2" width="16" style="8" bestFit="1" customWidth="1"/>
    <col min="3" max="3" width="36.53515625" style="8" bestFit="1" customWidth="1"/>
    <col min="4" max="4" width="11" style="8" bestFit="1" customWidth="1"/>
    <col min="5" max="5" width="10" style="8" bestFit="1" customWidth="1"/>
    <col min="6" max="6" width="13.69140625" style="8" bestFit="1" customWidth="1"/>
    <col min="7" max="8" width="12.23046875" style="8" bestFit="1" customWidth="1"/>
    <col min="9" max="11" width="12.23046875" style="8" customWidth="1"/>
    <col min="12" max="13" width="9.23046875" style="8"/>
    <col min="14" max="14" width="11.53515625" style="8" bestFit="1" customWidth="1"/>
    <col min="15" max="16384" width="9.23046875" style="8"/>
  </cols>
  <sheetData>
    <row r="1" spans="1:14" x14ac:dyDescent="0.4">
      <c r="A1" s="8" t="str">
        <f>Contents!A1</f>
        <v>Cascade Natural Gas Corp.</v>
      </c>
    </row>
    <row r="2" spans="1:14" x14ac:dyDescent="0.4">
      <c r="A2" s="8" t="s">
        <v>102</v>
      </c>
    </row>
    <row r="6" spans="1:14" ht="34.299999999999997" x14ac:dyDescent="0.7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4" x14ac:dyDescent="0.4">
      <c r="A7" s="20" t="str">
        <f>IF(ISBLANK(C7),"",MAX(A$6:$A6)+1)</f>
        <v/>
      </c>
      <c r="D7" s="17"/>
      <c r="E7" s="17"/>
      <c r="F7" s="17"/>
      <c r="G7" s="17"/>
      <c r="H7" s="17"/>
      <c r="I7" s="17"/>
      <c r="J7" s="17"/>
      <c r="K7" s="17"/>
    </row>
    <row r="8" spans="1:14" x14ac:dyDescent="0.4">
      <c r="A8" s="20">
        <f>IF(ISBLANK(C8),"",MAX(A$6:$A7)+1)</f>
        <v>1</v>
      </c>
      <c r="C8" s="8" t="s">
        <v>98</v>
      </c>
      <c r="D8" s="7">
        <f>SUM(E8:K8)</f>
        <v>2778462</v>
      </c>
      <c r="E8" s="7">
        <f>'[1]Exh JAD-1, Proof of Revenue'!$C$9</f>
        <v>2438793</v>
      </c>
      <c r="F8" s="7">
        <f>'[1]Exh JAD-1, Proof of Revenue'!$C$31</f>
        <v>330083</v>
      </c>
      <c r="G8" s="7">
        <f>'[1]Exh JAD-1, Proof of Revenue'!$C$53</f>
        <v>5901</v>
      </c>
      <c r="H8" s="7">
        <f>'[1]Exh JAD-1, Proof of Revenue'!$C$77</f>
        <v>1192</v>
      </c>
      <c r="I8" s="7">
        <f>'[1]Exh JAD-1, Proof of Revenue'!$C$102</f>
        <v>84</v>
      </c>
      <c r="J8" s="7">
        <f>'[1]Exh JAD-1, Proof of Revenue'!$C$126</f>
        <v>2325</v>
      </c>
      <c r="K8" s="7">
        <f>'[1]Exh JAD-1, Proof of Revenue'!$C$150</f>
        <v>84</v>
      </c>
    </row>
    <row r="9" spans="1:14" x14ac:dyDescent="0.4">
      <c r="A9" s="20" t="str">
        <f>IF(ISBLANK(C9),"",MAX(A$6:$A8)+1)</f>
        <v/>
      </c>
      <c r="D9" s="17"/>
      <c r="E9" s="17"/>
      <c r="F9" s="17"/>
      <c r="G9" s="17"/>
      <c r="H9" s="17"/>
      <c r="I9" s="17"/>
      <c r="J9" s="17"/>
      <c r="K9" s="17"/>
    </row>
    <row r="10" spans="1:14" x14ac:dyDescent="0.4">
      <c r="A10" s="20">
        <f>IF(ISBLANK(C10),"",MAX(A$6:$A9)+1)</f>
        <v>2</v>
      </c>
      <c r="C10" s="8" t="s">
        <v>99</v>
      </c>
      <c r="D10" s="7">
        <f t="shared" ref="D10:J10" si="0">D8/12</f>
        <v>231538.5</v>
      </c>
      <c r="E10" s="7">
        <f t="shared" si="0"/>
        <v>203232.75</v>
      </c>
      <c r="F10" s="7">
        <f t="shared" si="0"/>
        <v>27506.916666666668</v>
      </c>
      <c r="G10" s="7">
        <f t="shared" si="0"/>
        <v>491.75</v>
      </c>
      <c r="H10" s="7">
        <f t="shared" si="0"/>
        <v>99.333333333333329</v>
      </c>
      <c r="I10" s="7">
        <f t="shared" si="0"/>
        <v>7</v>
      </c>
      <c r="J10" s="7">
        <f t="shared" si="0"/>
        <v>193.75</v>
      </c>
      <c r="K10" s="7">
        <f t="shared" ref="K10" si="1">K8/12</f>
        <v>7</v>
      </c>
    </row>
    <row r="11" spans="1:14" x14ac:dyDescent="0.4">
      <c r="A11" s="20" t="str">
        <f>IF(ISBLANK(C11),"",MAX(A$6:$A10)+1)</f>
        <v/>
      </c>
      <c r="D11" s="17"/>
      <c r="E11" s="17"/>
      <c r="F11" s="17"/>
      <c r="G11" s="17"/>
      <c r="H11" s="17"/>
      <c r="I11" s="17"/>
      <c r="J11" s="17"/>
      <c r="K11" s="17"/>
    </row>
    <row r="12" spans="1:14" x14ac:dyDescent="0.4">
      <c r="A12" s="20">
        <f>IF(ISBLANK(C12),"",MAX(A$6:$A11)+1)</f>
        <v>3</v>
      </c>
      <c r="C12" s="8" t="s">
        <v>96</v>
      </c>
      <c r="D12" s="7">
        <f>SUM(E12:K12)</f>
        <v>2795676</v>
      </c>
      <c r="E12" s="7">
        <f>'[1]Exh JAD-1, Proof of Revenue'!$W$9</f>
        <v>2454192</v>
      </c>
      <c r="F12" s="7">
        <f>'[1]Exh JAD-1, Proof of Revenue'!$W$31</f>
        <v>331872</v>
      </c>
      <c r="G12" s="7">
        <f>'[1]Exh JAD-1, Proof of Revenue'!$W$53</f>
        <v>5940</v>
      </c>
      <c r="H12" s="7">
        <f>'[1]Exh JAD-1, Proof of Revenue'!$W$77</f>
        <v>1188</v>
      </c>
      <c r="I12" s="7">
        <f>'[1]Exh JAD-1, Proof of Revenue'!$W$102</f>
        <v>84</v>
      </c>
      <c r="J12" s="7">
        <f>'[1]Exh JAD-1, Proof of Revenue'!$W$126</f>
        <v>2316</v>
      </c>
      <c r="K12" s="7">
        <f>'[1]Exh JAD-1, Proof of Revenue'!$W$150</f>
        <v>84</v>
      </c>
      <c r="N12" s="91"/>
    </row>
    <row r="13" spans="1:14" x14ac:dyDescent="0.4">
      <c r="A13" s="20" t="str">
        <f>IF(ISBLANK(C13),"",MAX(A$6:$A12)+1)</f>
        <v/>
      </c>
      <c r="D13" s="7"/>
      <c r="E13" s="7"/>
      <c r="F13" s="7"/>
      <c r="G13" s="7"/>
      <c r="H13" s="7"/>
      <c r="I13" s="7"/>
      <c r="J13" s="7"/>
      <c r="K13" s="7"/>
    </row>
    <row r="14" spans="1:14" x14ac:dyDescent="0.4">
      <c r="A14" s="20">
        <f>IF(ISBLANK(C14),"",MAX(A$6:$A13)+1)</f>
        <v>4</v>
      </c>
      <c r="B14" s="8" t="s">
        <v>19</v>
      </c>
      <c r="C14" s="8" t="s">
        <v>97</v>
      </c>
      <c r="D14" s="7">
        <f t="shared" ref="D14:K14" si="2">D12/12</f>
        <v>232973</v>
      </c>
      <c r="E14" s="7">
        <f t="shared" si="2"/>
        <v>204516</v>
      </c>
      <c r="F14" s="7">
        <f t="shared" si="2"/>
        <v>27656</v>
      </c>
      <c r="G14" s="7">
        <f t="shared" si="2"/>
        <v>495</v>
      </c>
      <c r="H14" s="7">
        <f t="shared" si="2"/>
        <v>99</v>
      </c>
      <c r="I14" s="7">
        <f t="shared" si="2"/>
        <v>7</v>
      </c>
      <c r="J14" s="7">
        <f t="shared" si="2"/>
        <v>193</v>
      </c>
      <c r="K14" s="7">
        <f t="shared" si="2"/>
        <v>7</v>
      </c>
    </row>
    <row r="15" spans="1:14" x14ac:dyDescent="0.4">
      <c r="A15" s="20" t="str">
        <f>IF(ISBLANK(C15),"",MAX(A$6:$A14)+1)</f>
        <v/>
      </c>
      <c r="D15" s="7"/>
      <c r="E15" s="7"/>
      <c r="F15" s="7"/>
      <c r="G15" s="7"/>
      <c r="H15" s="7"/>
      <c r="I15" s="7"/>
      <c r="J15" s="7"/>
      <c r="K15" s="7"/>
    </row>
    <row r="16" spans="1:14" x14ac:dyDescent="0.4">
      <c r="A16" s="20" t="str">
        <f>IF(ISBLANK(C16),"",MAX(A$6:$A15)+1)</f>
        <v/>
      </c>
      <c r="D16" s="17"/>
      <c r="E16" s="17"/>
      <c r="F16" s="17"/>
      <c r="G16" s="17"/>
      <c r="H16" s="17"/>
      <c r="I16" s="17"/>
      <c r="J16" s="17"/>
      <c r="K16" s="17"/>
    </row>
    <row r="17" spans="1:11" x14ac:dyDescent="0.4">
      <c r="A17" s="20" t="str">
        <f>IF(ISBLANK(C17),"",MAX(A$6:$A16)+1)</f>
        <v/>
      </c>
      <c r="D17" s="17"/>
      <c r="E17" s="17"/>
      <c r="F17" s="17"/>
      <c r="G17" s="17"/>
      <c r="H17" s="17"/>
      <c r="I17" s="17"/>
      <c r="J17" s="17"/>
      <c r="K17" s="17"/>
    </row>
    <row r="18" spans="1:11" x14ac:dyDescent="0.4">
      <c r="A18" s="20" t="str">
        <f>IF(ISBLANK(C18),"",MAX(A$6:$A17)+1)</f>
        <v/>
      </c>
      <c r="I18" s="91"/>
      <c r="J18" s="91"/>
      <c r="K18" s="91"/>
    </row>
    <row r="19" spans="1:11" x14ac:dyDescent="0.4">
      <c r="A19" s="20" t="str">
        <f>IF(ISBLANK(C19),"",MAX(A$6:$A18)+1)</f>
        <v/>
      </c>
    </row>
    <row r="20" spans="1:11" x14ac:dyDescent="0.4">
      <c r="A20" s="20" t="str">
        <f>IF(ISBLANK(C20),"",MAX(A$6:$A19)+1)</f>
        <v/>
      </c>
    </row>
    <row r="21" spans="1:11" x14ac:dyDescent="0.4">
      <c r="A21" s="20" t="str">
        <f>IF(ISBLANK(C21),"",MAX(A$6:$A20)+1)</f>
        <v/>
      </c>
    </row>
    <row r="22" spans="1:11" x14ac:dyDescent="0.4">
      <c r="A22" s="20" t="str">
        <f>IF(ISBLANK(C22),"",MAX(A$6:$A21)+1)</f>
        <v/>
      </c>
    </row>
    <row r="23" spans="1:11" x14ac:dyDescent="0.4">
      <c r="A23" s="20" t="str">
        <f>IF(ISBLANK(C23),"",MAX(A$6:$A22)+1)</f>
        <v/>
      </c>
    </row>
    <row r="24" spans="1:11" x14ac:dyDescent="0.4">
      <c r="A24" s="20" t="str">
        <f>IF(ISBLANK(C24),"",MAX(A$6:$A23)+1)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79BA-C9F1-497E-9A84-C174A494C73B}">
  <sheetPr codeName="Sheet8"/>
  <dimension ref="A1:P46"/>
  <sheetViews>
    <sheetView workbookViewId="0">
      <selection activeCell="N32" sqref="N32"/>
    </sheetView>
  </sheetViews>
  <sheetFormatPr defaultColWidth="9.23046875" defaultRowHeight="14.6" x14ac:dyDescent="0.4"/>
  <cols>
    <col min="1" max="1" width="4.69140625" style="8" bestFit="1" customWidth="1"/>
    <col min="2" max="2" width="16" style="8" bestFit="1" customWidth="1"/>
    <col min="3" max="3" width="22.53515625" style="8" bestFit="1" customWidth="1"/>
    <col min="4" max="4" width="16.84375" style="8" customWidth="1"/>
    <col min="5" max="5" width="14.84375" style="8" bestFit="1" customWidth="1"/>
    <col min="6" max="6" width="15" style="8" bestFit="1" customWidth="1"/>
    <col min="7" max="8" width="15.23046875" style="8" bestFit="1" customWidth="1"/>
    <col min="9" max="9" width="17.23046875" style="8" customWidth="1"/>
    <col min="10" max="10" width="18.15234375" style="8" customWidth="1"/>
    <col min="11" max="11" width="17" style="8" bestFit="1" customWidth="1"/>
    <col min="12" max="14" width="10.84375" style="8" bestFit="1" customWidth="1"/>
    <col min="15" max="15" width="11.84375" style="8" bestFit="1" customWidth="1"/>
    <col min="16" max="16384" width="9.23046875" style="8"/>
  </cols>
  <sheetData>
    <row r="1" spans="1:16" x14ac:dyDescent="0.4">
      <c r="A1" s="8" t="str">
        <f>Contents!A1</f>
        <v>Cascade Natural Gas Corp.</v>
      </c>
    </row>
    <row r="2" spans="1:16" x14ac:dyDescent="0.4">
      <c r="A2" s="8" t="s">
        <v>103</v>
      </c>
    </row>
    <row r="6" spans="1:16" ht="34.299999999999997" x14ac:dyDescent="0.7">
      <c r="A6" s="45" t="str">
        <f>EXTERNAL!A5</f>
        <v>Line</v>
      </c>
      <c r="B6" s="46" t="str">
        <f>EXTERNAL!B5</f>
        <v>Allocation Factor</v>
      </c>
      <c r="C6" s="46" t="str">
        <f>EXTERNAL!C5</f>
        <v>Description</v>
      </c>
      <c r="D6" s="45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6" x14ac:dyDescent="0.4">
      <c r="A7" s="20" t="str">
        <f>IF(ISBLANK(C7),"",MAX(#REF!)+1)</f>
        <v/>
      </c>
      <c r="D7" s="18"/>
      <c r="E7" s="18"/>
      <c r="F7" s="18"/>
      <c r="G7" s="18"/>
      <c r="H7" s="18"/>
      <c r="I7" s="18"/>
      <c r="J7" s="18"/>
      <c r="K7" s="18"/>
    </row>
    <row r="8" spans="1:16" x14ac:dyDescent="0.4">
      <c r="A8" s="20">
        <f>IF(ISBLANK(C8),"",MAX(A$6:$A7)+1)</f>
        <v>1</v>
      </c>
      <c r="B8" s="8" t="s">
        <v>419</v>
      </c>
      <c r="C8" s="8" t="s">
        <v>104</v>
      </c>
      <c r="D8" s="7">
        <f>SUM(E8:K8)</f>
        <v>1290297698.7952998</v>
      </c>
      <c r="E8" s="7">
        <f t="shared" ref="E8:J8" si="0">SUM(E11:E15)</f>
        <v>129913446.15533167</v>
      </c>
      <c r="F8" s="7">
        <f t="shared" si="0"/>
        <v>91926474.127817988</v>
      </c>
      <c r="G8" s="7">
        <f t="shared" si="0"/>
        <v>12174148.860819675</v>
      </c>
      <c r="H8" s="7">
        <f t="shared" si="0"/>
        <v>16688677.440204078</v>
      </c>
      <c r="I8" s="7">
        <f t="shared" si="0"/>
        <v>2097598</v>
      </c>
      <c r="J8" s="7">
        <f t="shared" si="0"/>
        <v>854941070.21112633</v>
      </c>
      <c r="K8" s="7">
        <f t="shared" ref="K8" si="1">SUM(K11:K15)</f>
        <v>182556284</v>
      </c>
      <c r="L8" s="7"/>
      <c r="M8" s="7"/>
      <c r="N8" s="7"/>
      <c r="O8" s="7"/>
      <c r="P8" s="7"/>
    </row>
    <row r="9" spans="1:16" x14ac:dyDescent="0.4">
      <c r="A9" s="20" t="str">
        <f>IF(ISBLANK(C9),"",MAX(A$6:$A8)+1)</f>
        <v/>
      </c>
      <c r="D9" s="47">
        <v>0</v>
      </c>
    </row>
    <row r="10" spans="1:16" x14ac:dyDescent="0.4">
      <c r="A10" s="20" t="str">
        <f>IF(ISBLANK(C10),"",MAX(A$6:$A9)+1)</f>
        <v/>
      </c>
    </row>
    <row r="11" spans="1:16" x14ac:dyDescent="0.4">
      <c r="A11" s="20">
        <f>IF(ISBLANK(C11),"",MAX(A$6:$A10)+1)</f>
        <v>2</v>
      </c>
      <c r="C11" s="8" t="s">
        <v>37</v>
      </c>
      <c r="E11" s="7">
        <f>'[1]Exh JAD-1, Proof of Revenue'!$W$10</f>
        <v>129913446.15533167</v>
      </c>
      <c r="F11" s="7">
        <f>'[1]Exh JAD-1, Proof of Revenue'!$W$32</f>
        <v>91926474.127817988</v>
      </c>
      <c r="G11" s="7">
        <f>'[1]Exh JAD-1, Proof of Revenue'!$W$54</f>
        <v>1786592.8920551969</v>
      </c>
      <c r="H11" s="7">
        <f>'[1]Exh JAD-1, Proof of Revenue'!$W$78</f>
        <v>9861038.8412244879</v>
      </c>
      <c r="I11" s="7">
        <f>'[1]Exh JAD-1, Proof of Revenue'!$W$103</f>
        <v>1086598</v>
      </c>
      <c r="J11" s="7">
        <f>'[1]Exh JAD-1, Proof of Revenue'!$W$129</f>
        <v>100667737.22113912</v>
      </c>
      <c r="K11" s="7">
        <f>'[1]Exh JAD-1, Proof of Revenue'!$W$156</f>
        <v>182556284</v>
      </c>
    </row>
    <row r="12" spans="1:16" x14ac:dyDescent="0.4">
      <c r="A12" s="20">
        <f>IF(ISBLANK(C12),"",MAX(A$6:$A11)+1)</f>
        <v>3</v>
      </c>
      <c r="C12" s="8" t="s">
        <v>38</v>
      </c>
      <c r="G12" s="7">
        <f>'[1]Exh JAD-1, Proof of Revenue'!$W$55</f>
        <v>5648913.6805633102</v>
      </c>
      <c r="H12" s="7">
        <f>'[1]Exh JAD-1, Proof of Revenue'!$W$79</f>
        <v>5346794.8493877547</v>
      </c>
      <c r="I12" s="7">
        <f>'[1]Exh JAD-1, Proof of Revenue'!$W$104</f>
        <v>1011000</v>
      </c>
      <c r="J12" s="7">
        <f>'[1]Exh JAD-1, Proof of Revenue'!$W$130</f>
        <v>72067729.44475241</v>
      </c>
    </row>
    <row r="13" spans="1:16" x14ac:dyDescent="0.4">
      <c r="A13" s="20">
        <f>IF(ISBLANK(C13),"",MAX(A$6:$A12)+1)</f>
        <v>4</v>
      </c>
      <c r="C13" s="8" t="s">
        <v>39</v>
      </c>
      <c r="G13" s="7">
        <f>'[1]Exh JAD-1, Proof of Revenue'!$W$56</f>
        <v>4738642.2882011691</v>
      </c>
      <c r="H13" s="7">
        <f>'[1]Exh JAD-1, Proof of Revenue'!$W$80</f>
        <v>1480843.7495918367</v>
      </c>
      <c r="I13" s="7"/>
      <c r="J13" s="7">
        <f>'[1]Exh JAD-1, Proof of Revenue'!$W$131</f>
        <v>37181911.28548535</v>
      </c>
    </row>
    <row r="14" spans="1:16" x14ac:dyDescent="0.4">
      <c r="A14" s="20">
        <f>IF(ISBLANK(C14),"",MAX(A$6:$A13)+1)</f>
        <v>5</v>
      </c>
      <c r="C14" s="8" t="s">
        <v>40</v>
      </c>
      <c r="H14" s="7"/>
      <c r="I14" s="7"/>
      <c r="J14" s="7">
        <f>'[1]Exh JAD-1, Proof of Revenue'!$W$132</f>
        <v>645023692.25974941</v>
      </c>
    </row>
    <row r="15" spans="1:16" x14ac:dyDescent="0.4">
      <c r="A15" s="20" t="str">
        <f>IF(ISBLANK(C15),"",MAX(A$6:$A14)+1)</f>
        <v/>
      </c>
    </row>
    <row r="16" spans="1:16" x14ac:dyDescent="0.4">
      <c r="A16" s="20" t="str">
        <f>IF(ISBLANK(C16),"",MAX(A$6:$A15)+1)</f>
        <v/>
      </c>
      <c r="J16" s="15"/>
    </row>
    <row r="17" spans="1:15" x14ac:dyDescent="0.4">
      <c r="A17" s="20" t="str">
        <f>IF(ISBLANK(C17),"",MAX(A$6:$A16)+1)</f>
        <v/>
      </c>
      <c r="E17" s="19">
        <f>E8/$D$8</f>
        <v>0.10068486232024342</v>
      </c>
      <c r="F17" s="19">
        <f t="shared" ref="F17:I17" si="2">F8/$D$8</f>
        <v>7.1244391285550712E-2</v>
      </c>
      <c r="G17" s="19">
        <f t="shared" si="2"/>
        <v>9.4351473091722933E-3</v>
      </c>
      <c r="H17" s="19">
        <f t="shared" si="2"/>
        <v>1.2933974427595772E-2</v>
      </c>
      <c r="I17" s="19">
        <f t="shared" si="2"/>
        <v>1.6256697984956842E-3</v>
      </c>
      <c r="J17" s="19">
        <f>J8/$D$8</f>
        <v>0.66259210646454003</v>
      </c>
      <c r="K17" s="19">
        <f>K8/$D$8</f>
        <v>0.14148384839440203</v>
      </c>
    </row>
    <row r="19" spans="1:15" x14ac:dyDescent="0.4">
      <c r="K19" s="51"/>
    </row>
    <row r="20" spans="1:15" x14ac:dyDescent="0.4">
      <c r="K20" s="51"/>
      <c r="L20" s="51"/>
      <c r="M20" s="51"/>
      <c r="N20" s="51"/>
      <c r="O20" s="51"/>
    </row>
    <row r="33" spans="11:11" x14ac:dyDescent="0.4">
      <c r="K33" s="51"/>
    </row>
    <row r="46" spans="11:11" x14ac:dyDescent="0.4">
      <c r="K46" s="17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B7DC-41C4-4985-B28B-433DC4EF9454}">
  <sheetPr codeName="Sheet23">
    <tabColor rgb="FFFFFF00"/>
  </sheetPr>
  <dimension ref="A1:AA58"/>
  <sheetViews>
    <sheetView workbookViewId="0">
      <selection activeCell="C2" sqref="C2"/>
    </sheetView>
  </sheetViews>
  <sheetFormatPr defaultColWidth="9.15234375" defaultRowHeight="14.6" x14ac:dyDescent="0.4"/>
  <cols>
    <col min="1" max="1" width="5.15234375" style="125" customWidth="1"/>
    <col min="2" max="2" width="21.53515625" style="125" customWidth="1"/>
    <col min="3" max="3" width="30.23046875" style="125" customWidth="1"/>
    <col min="4" max="4" width="14.69140625" style="125" bestFit="1" customWidth="1"/>
    <col min="5" max="5" width="18.23046875" style="125" customWidth="1"/>
    <col min="6" max="6" width="14.84375" style="125" customWidth="1"/>
    <col min="7" max="7" width="13.53515625" style="125" customWidth="1"/>
    <col min="8" max="8" width="13.23046875" style="125" customWidth="1"/>
    <col min="9" max="11" width="12" style="125" bestFit="1" customWidth="1"/>
    <col min="12" max="13" width="13.69140625" style="125" customWidth="1"/>
    <col min="14" max="14" width="10.15234375" style="125" customWidth="1"/>
    <col min="15" max="15" width="10.15234375" style="125" bestFit="1" customWidth="1"/>
    <col min="16" max="16" width="10.3828125" style="125" customWidth="1"/>
    <col min="17" max="18" width="10.84375" style="125" customWidth="1"/>
    <col min="19" max="19" width="9.69140625" style="125" bestFit="1" customWidth="1"/>
    <col min="20" max="16384" width="9.15234375" style="125"/>
  </cols>
  <sheetData>
    <row r="1" spans="1:27" x14ac:dyDescent="0.4">
      <c r="A1" s="8" t="str">
        <f>Contents!A1</f>
        <v>Cascade Natural Gas Corp.</v>
      </c>
      <c r="B1" s="123"/>
      <c r="C1" s="117" t="s">
        <v>640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Y1" s="126"/>
      <c r="AA1" s="8"/>
    </row>
    <row r="2" spans="1:27" x14ac:dyDescent="0.4">
      <c r="A2" s="125" t="s">
        <v>555</v>
      </c>
      <c r="B2" s="123"/>
      <c r="C2" s="127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7" x14ac:dyDescent="0.4">
      <c r="B3" s="128"/>
      <c r="C3" s="127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7" x14ac:dyDescent="0.4">
      <c r="B4" s="123"/>
      <c r="C4" s="127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7" ht="16.3" customHeight="1" x14ac:dyDescent="0.4">
      <c r="B5" s="123"/>
      <c r="C5" s="127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27" ht="16.3" customHeight="1" x14ac:dyDescent="0.4">
      <c r="H6" s="129"/>
    </row>
    <row r="7" spans="1:27" ht="16.3" customHeight="1" x14ac:dyDescent="0.4"/>
    <row r="8" spans="1:27" ht="16.3" customHeight="1" x14ac:dyDescent="0.4">
      <c r="A8" s="130" t="s">
        <v>517</v>
      </c>
      <c r="B8" s="131" t="s">
        <v>554</v>
      </c>
      <c r="C8" s="132" t="s">
        <v>116</v>
      </c>
      <c r="D8" s="231" t="s">
        <v>553</v>
      </c>
      <c r="E8" s="233" t="s">
        <v>552</v>
      </c>
      <c r="F8" s="235" t="s">
        <v>551</v>
      </c>
      <c r="G8" s="237" t="s">
        <v>550</v>
      </c>
      <c r="H8" s="237" t="s">
        <v>549</v>
      </c>
      <c r="I8" s="229" t="s">
        <v>548</v>
      </c>
      <c r="J8" s="239"/>
      <c r="K8" s="230"/>
      <c r="L8" s="229" t="s">
        <v>547</v>
      </c>
      <c r="M8" s="230"/>
      <c r="N8" s="229" t="s">
        <v>546</v>
      </c>
      <c r="O8" s="230"/>
      <c r="P8" s="229" t="s">
        <v>545</v>
      </c>
      <c r="Q8" s="230"/>
      <c r="R8" s="229" t="s">
        <v>544</v>
      </c>
      <c r="S8" s="230"/>
      <c r="T8" s="8"/>
      <c r="U8" s="8"/>
    </row>
    <row r="9" spans="1:27" x14ac:dyDescent="0.4">
      <c r="A9" s="133"/>
      <c r="B9" s="134"/>
      <c r="C9" s="135"/>
      <c r="D9" s="232"/>
      <c r="E9" s="234"/>
      <c r="F9" s="236"/>
      <c r="G9" s="238"/>
      <c r="H9" s="238"/>
      <c r="I9" s="136" t="s">
        <v>546</v>
      </c>
      <c r="J9" s="137" t="s">
        <v>545</v>
      </c>
      <c r="K9" s="138" t="s">
        <v>544</v>
      </c>
      <c r="L9" s="136" t="s">
        <v>543</v>
      </c>
      <c r="M9" s="138" t="s">
        <v>542</v>
      </c>
      <c r="N9" s="136" t="s">
        <v>543</v>
      </c>
      <c r="O9" s="138" t="s">
        <v>542</v>
      </c>
      <c r="P9" s="136" t="s">
        <v>543</v>
      </c>
      <c r="Q9" s="138" t="s">
        <v>542</v>
      </c>
      <c r="R9" s="136" t="s">
        <v>543</v>
      </c>
      <c r="S9" s="138" t="s">
        <v>542</v>
      </c>
      <c r="T9" s="8"/>
      <c r="U9" s="8"/>
    </row>
    <row r="10" spans="1:27" x14ac:dyDescent="0.4">
      <c r="A10" s="139">
        <v>1</v>
      </c>
      <c r="B10" s="85"/>
      <c r="C10" s="140"/>
      <c r="D10" s="85" t="s">
        <v>541</v>
      </c>
      <c r="E10" s="40">
        <v>0.31</v>
      </c>
      <c r="F10" s="141">
        <v>53360.53</v>
      </c>
      <c r="G10" s="118">
        <v>0.75270000000000004</v>
      </c>
      <c r="H10" s="141">
        <f t="shared" ref="H10:H31" si="0">F10*G10</f>
        <v>40164.470931000003</v>
      </c>
      <c r="I10" s="119">
        <v>0.5</v>
      </c>
      <c r="J10" s="40">
        <v>0.3</v>
      </c>
      <c r="K10" s="120">
        <f t="shared" ref="K10:K31" si="1">1-SUM(I10:J10)</f>
        <v>0.19999999999999996</v>
      </c>
      <c r="L10" s="119">
        <v>0.3</v>
      </c>
      <c r="M10" s="120">
        <f t="shared" ref="M10:M31" si="2">1-L10</f>
        <v>0.7</v>
      </c>
      <c r="N10" s="142">
        <f t="shared" ref="N10:N31" si="3">$H10*I10*L10</f>
        <v>6024.6706396500003</v>
      </c>
      <c r="O10" s="141">
        <f t="shared" ref="O10:O31" si="4">$H10*I10*M10</f>
        <v>14057.56482585</v>
      </c>
      <c r="P10" s="142">
        <f t="shared" ref="P10:P31" si="5">H10*J10*L10</f>
        <v>3614.80238379</v>
      </c>
      <c r="Q10" s="141">
        <f t="shared" ref="Q10:Q31" si="6">H10*J10*M10</f>
        <v>8434.5388955100007</v>
      </c>
      <c r="R10" s="142">
        <f t="shared" ref="R10:R31" si="7">H10*K10*L10</f>
        <v>2409.8682558599999</v>
      </c>
      <c r="S10" s="141">
        <f t="shared" ref="S10:S31" si="8">H10*K10*M10</f>
        <v>5623.0259303399989</v>
      </c>
      <c r="T10" s="8"/>
      <c r="U10" s="143"/>
    </row>
    <row r="11" spans="1:27" x14ac:dyDescent="0.4">
      <c r="A11" s="139">
        <f>IF(J11="","", MAX($A$8:A10)+1)</f>
        <v>2</v>
      </c>
      <c r="B11" s="85"/>
      <c r="C11" s="140"/>
      <c r="D11" s="144">
        <v>126875</v>
      </c>
      <c r="E11" s="40">
        <v>1</v>
      </c>
      <c r="F11" s="141">
        <f>D11*E11</f>
        <v>126875</v>
      </c>
      <c r="G11" s="118">
        <f t="shared" ref="G11:G31" si="9">G10</f>
        <v>0.75270000000000004</v>
      </c>
      <c r="H11" s="141">
        <f t="shared" si="0"/>
        <v>95498.8125</v>
      </c>
      <c r="I11" s="119">
        <v>0.7</v>
      </c>
      <c r="J11" s="40">
        <v>0.3</v>
      </c>
      <c r="K11" s="120">
        <f t="shared" si="1"/>
        <v>0</v>
      </c>
      <c r="L11" s="119">
        <v>0.7</v>
      </c>
      <c r="M11" s="120">
        <f t="shared" si="2"/>
        <v>0.30000000000000004</v>
      </c>
      <c r="N11" s="142">
        <f t="shared" si="3"/>
        <v>46794.418124999997</v>
      </c>
      <c r="O11" s="141">
        <f t="shared" si="4"/>
        <v>20054.750625000001</v>
      </c>
      <c r="P11" s="142">
        <f t="shared" si="5"/>
        <v>20054.750624999997</v>
      </c>
      <c r="Q11" s="141">
        <f t="shared" si="6"/>
        <v>8594.8931250000005</v>
      </c>
      <c r="R11" s="142">
        <f t="shared" si="7"/>
        <v>0</v>
      </c>
      <c r="S11" s="141">
        <f t="shared" si="8"/>
        <v>0</v>
      </c>
      <c r="T11" s="8"/>
      <c r="U11" s="143"/>
    </row>
    <row r="12" spans="1:27" x14ac:dyDescent="0.4">
      <c r="A12" s="139">
        <f>IF(J12="","", MAX($A$8:A11)+1)</f>
        <v>3</v>
      </c>
      <c r="B12" s="85"/>
      <c r="C12" s="140"/>
      <c r="D12" s="144">
        <v>123675</v>
      </c>
      <c r="E12" s="40">
        <v>0.7</v>
      </c>
      <c r="F12" s="141">
        <f>D12*E12</f>
        <v>86572.5</v>
      </c>
      <c r="G12" s="118">
        <f t="shared" si="9"/>
        <v>0.75270000000000004</v>
      </c>
      <c r="H12" s="141">
        <f t="shared" si="0"/>
        <v>65163.120750000002</v>
      </c>
      <c r="I12" s="119">
        <v>0</v>
      </c>
      <c r="J12" s="40">
        <v>0.6</v>
      </c>
      <c r="K12" s="120">
        <f t="shared" si="1"/>
        <v>0.4</v>
      </c>
      <c r="L12" s="119">
        <v>0.4</v>
      </c>
      <c r="M12" s="120">
        <f t="shared" si="2"/>
        <v>0.6</v>
      </c>
      <c r="N12" s="142">
        <f t="shared" si="3"/>
        <v>0</v>
      </c>
      <c r="O12" s="141">
        <f t="shared" si="4"/>
        <v>0</v>
      </c>
      <c r="P12" s="142">
        <f t="shared" si="5"/>
        <v>15639.148980000002</v>
      </c>
      <c r="Q12" s="141">
        <f t="shared" si="6"/>
        <v>23458.723470000001</v>
      </c>
      <c r="R12" s="142">
        <f t="shared" si="7"/>
        <v>10426.099320000001</v>
      </c>
      <c r="S12" s="141">
        <f t="shared" si="8"/>
        <v>15639.148980000002</v>
      </c>
      <c r="T12" s="8"/>
      <c r="U12" s="143"/>
    </row>
    <row r="13" spans="1:27" x14ac:dyDescent="0.4">
      <c r="A13" s="139">
        <f>IF(J13="","", MAX($A$8:A12)+1)</f>
        <v>4</v>
      </c>
      <c r="B13" s="85"/>
      <c r="C13" s="140"/>
      <c r="D13" s="144">
        <v>80433</v>
      </c>
      <c r="E13" s="40">
        <v>1</v>
      </c>
      <c r="F13" s="141">
        <f>D13*E13</f>
        <v>80433</v>
      </c>
      <c r="G13" s="118">
        <f t="shared" si="9"/>
        <v>0.75270000000000004</v>
      </c>
      <c r="H13" s="141">
        <f t="shared" si="0"/>
        <v>60541.919100000006</v>
      </c>
      <c r="I13" s="119">
        <v>0</v>
      </c>
      <c r="J13" s="40">
        <v>1</v>
      </c>
      <c r="K13" s="120">
        <f t="shared" si="1"/>
        <v>0</v>
      </c>
      <c r="L13" s="119">
        <v>0.8</v>
      </c>
      <c r="M13" s="120">
        <f t="shared" si="2"/>
        <v>0.19999999999999996</v>
      </c>
      <c r="N13" s="142">
        <f t="shared" si="3"/>
        <v>0</v>
      </c>
      <c r="O13" s="141">
        <f t="shared" si="4"/>
        <v>0</v>
      </c>
      <c r="P13" s="142">
        <f t="shared" si="5"/>
        <v>48433.535280000011</v>
      </c>
      <c r="Q13" s="141">
        <f t="shared" si="6"/>
        <v>12108.383819999999</v>
      </c>
      <c r="R13" s="142">
        <f t="shared" si="7"/>
        <v>0</v>
      </c>
      <c r="S13" s="141">
        <f t="shared" si="8"/>
        <v>0</v>
      </c>
      <c r="T13" s="8"/>
      <c r="U13" s="143"/>
    </row>
    <row r="14" spans="1:27" x14ac:dyDescent="0.4">
      <c r="A14" s="139">
        <f>IF(J14="","", MAX($A$8:A13)+1)</f>
        <v>5</v>
      </c>
      <c r="B14" s="85"/>
      <c r="C14" s="140"/>
      <c r="D14" s="144">
        <v>88060</v>
      </c>
      <c r="E14" s="40">
        <v>0.8</v>
      </c>
      <c r="F14" s="141">
        <f>D14*E14</f>
        <v>70448</v>
      </c>
      <c r="G14" s="118">
        <f t="shared" si="9"/>
        <v>0.75270000000000004</v>
      </c>
      <c r="H14" s="141">
        <f t="shared" si="0"/>
        <v>53026.209600000002</v>
      </c>
      <c r="I14" s="119">
        <v>0</v>
      </c>
      <c r="J14" s="40">
        <v>0</v>
      </c>
      <c r="K14" s="120">
        <f t="shared" si="1"/>
        <v>1</v>
      </c>
      <c r="L14" s="119">
        <v>0.7</v>
      </c>
      <c r="M14" s="120">
        <f t="shared" si="2"/>
        <v>0.30000000000000004</v>
      </c>
      <c r="N14" s="142">
        <f t="shared" si="3"/>
        <v>0</v>
      </c>
      <c r="O14" s="141">
        <f t="shared" si="4"/>
        <v>0</v>
      </c>
      <c r="P14" s="142">
        <f t="shared" si="5"/>
        <v>0</v>
      </c>
      <c r="Q14" s="141">
        <f t="shared" si="6"/>
        <v>0</v>
      </c>
      <c r="R14" s="142">
        <f t="shared" si="7"/>
        <v>37118.346720000001</v>
      </c>
      <c r="S14" s="141">
        <f t="shared" si="8"/>
        <v>15907.862880000002</v>
      </c>
      <c r="T14" s="8"/>
      <c r="U14" s="143"/>
    </row>
    <row r="15" spans="1:27" x14ac:dyDescent="0.4">
      <c r="A15" s="139">
        <f>IF(J15="","", MAX($A$8:A14)+1)</f>
        <v>6</v>
      </c>
      <c r="B15" s="85"/>
      <c r="C15" s="140"/>
      <c r="D15" s="144">
        <v>75138</v>
      </c>
      <c r="E15" s="40">
        <v>1</v>
      </c>
      <c r="F15" s="141">
        <f>D15*E15</f>
        <v>75138</v>
      </c>
      <c r="G15" s="118">
        <f t="shared" si="9"/>
        <v>0.75270000000000004</v>
      </c>
      <c r="H15" s="141">
        <f t="shared" si="0"/>
        <v>56556.372600000002</v>
      </c>
      <c r="I15" s="119">
        <v>0</v>
      </c>
      <c r="J15" s="40">
        <v>1</v>
      </c>
      <c r="K15" s="120">
        <f t="shared" si="1"/>
        <v>0</v>
      </c>
      <c r="L15" s="119">
        <v>0.95</v>
      </c>
      <c r="M15" s="120">
        <f t="shared" si="2"/>
        <v>5.0000000000000044E-2</v>
      </c>
      <c r="N15" s="142">
        <f t="shared" si="3"/>
        <v>0</v>
      </c>
      <c r="O15" s="141">
        <f t="shared" si="4"/>
        <v>0</v>
      </c>
      <c r="P15" s="142">
        <f t="shared" si="5"/>
        <v>53728.553970000001</v>
      </c>
      <c r="Q15" s="141">
        <f t="shared" si="6"/>
        <v>2827.8186300000025</v>
      </c>
      <c r="R15" s="142">
        <f t="shared" si="7"/>
        <v>0</v>
      </c>
      <c r="S15" s="141">
        <f t="shared" si="8"/>
        <v>0</v>
      </c>
      <c r="T15" s="8"/>
      <c r="U15" s="143"/>
    </row>
    <row r="16" spans="1:27" x14ac:dyDescent="0.4">
      <c r="A16" s="139">
        <f>IF(J16="","", MAX($A$8:A15)+1)</f>
        <v>7</v>
      </c>
      <c r="B16" s="85"/>
      <c r="C16" s="140"/>
      <c r="D16" s="85" t="s">
        <v>541</v>
      </c>
      <c r="E16" s="40">
        <v>0.2</v>
      </c>
      <c r="F16" s="141">
        <v>20243.18</v>
      </c>
      <c r="G16" s="118">
        <f t="shared" si="9"/>
        <v>0.75270000000000004</v>
      </c>
      <c r="H16" s="141">
        <f t="shared" si="0"/>
        <v>15237.041586000001</v>
      </c>
      <c r="I16" s="119">
        <v>0</v>
      </c>
      <c r="J16" s="40">
        <v>1</v>
      </c>
      <c r="K16" s="120">
        <f t="shared" si="1"/>
        <v>0</v>
      </c>
      <c r="L16" s="119">
        <v>0.2</v>
      </c>
      <c r="M16" s="120">
        <f t="shared" si="2"/>
        <v>0.8</v>
      </c>
      <c r="N16" s="142">
        <f t="shared" si="3"/>
        <v>0</v>
      </c>
      <c r="O16" s="141">
        <f t="shared" si="4"/>
        <v>0</v>
      </c>
      <c r="P16" s="142">
        <f t="shared" si="5"/>
        <v>3047.4083172000005</v>
      </c>
      <c r="Q16" s="141">
        <f t="shared" si="6"/>
        <v>12189.633268800002</v>
      </c>
      <c r="R16" s="142">
        <f t="shared" si="7"/>
        <v>0</v>
      </c>
      <c r="S16" s="141">
        <f t="shared" si="8"/>
        <v>0</v>
      </c>
      <c r="T16" s="8"/>
      <c r="U16" s="143"/>
    </row>
    <row r="17" spans="1:21" x14ac:dyDescent="0.4">
      <c r="A17" s="139">
        <f>IF(J17="","", MAX($A$8:A16)+1)</f>
        <v>8</v>
      </c>
      <c r="B17" s="85"/>
      <c r="C17" s="140"/>
      <c r="D17" s="85" t="s">
        <v>541</v>
      </c>
      <c r="E17" s="40">
        <v>0.2</v>
      </c>
      <c r="F17" s="141">
        <v>11989.36</v>
      </c>
      <c r="G17" s="118">
        <f t="shared" si="9"/>
        <v>0.75270000000000004</v>
      </c>
      <c r="H17" s="141">
        <f t="shared" si="0"/>
        <v>9024.3912720000008</v>
      </c>
      <c r="I17" s="119">
        <v>0</v>
      </c>
      <c r="J17" s="40">
        <v>1</v>
      </c>
      <c r="K17" s="120">
        <f t="shared" si="1"/>
        <v>0</v>
      </c>
      <c r="L17" s="119">
        <v>0.2</v>
      </c>
      <c r="M17" s="120">
        <f t="shared" si="2"/>
        <v>0.8</v>
      </c>
      <c r="N17" s="142">
        <f t="shared" si="3"/>
        <v>0</v>
      </c>
      <c r="O17" s="141">
        <f t="shared" si="4"/>
        <v>0</v>
      </c>
      <c r="P17" s="142">
        <f t="shared" si="5"/>
        <v>1804.8782544000003</v>
      </c>
      <c r="Q17" s="141">
        <f t="shared" si="6"/>
        <v>7219.5130176000011</v>
      </c>
      <c r="R17" s="142">
        <f t="shared" si="7"/>
        <v>0</v>
      </c>
      <c r="S17" s="141">
        <f t="shared" si="8"/>
        <v>0</v>
      </c>
      <c r="T17" s="8"/>
      <c r="U17" s="143"/>
    </row>
    <row r="18" spans="1:21" x14ac:dyDescent="0.4">
      <c r="A18" s="139">
        <f>IF(J18="","", MAX($A$8:A17)+1)</f>
        <v>9</v>
      </c>
      <c r="B18" s="85"/>
      <c r="C18" s="140"/>
      <c r="D18" s="85" t="s">
        <v>541</v>
      </c>
      <c r="E18" s="40">
        <v>0.2</v>
      </c>
      <c r="F18" s="141">
        <v>12252.94</v>
      </c>
      <c r="G18" s="118">
        <f t="shared" si="9"/>
        <v>0.75270000000000004</v>
      </c>
      <c r="H18" s="141">
        <f t="shared" si="0"/>
        <v>9222.7879380000013</v>
      </c>
      <c r="I18" s="119">
        <v>0</v>
      </c>
      <c r="J18" s="40">
        <v>1</v>
      </c>
      <c r="K18" s="120">
        <f t="shared" si="1"/>
        <v>0</v>
      </c>
      <c r="L18" s="119">
        <v>0.2</v>
      </c>
      <c r="M18" s="120">
        <f t="shared" si="2"/>
        <v>0.8</v>
      </c>
      <c r="N18" s="142">
        <f t="shared" si="3"/>
        <v>0</v>
      </c>
      <c r="O18" s="141">
        <f t="shared" si="4"/>
        <v>0</v>
      </c>
      <c r="P18" s="142">
        <f t="shared" si="5"/>
        <v>1844.5575876000003</v>
      </c>
      <c r="Q18" s="141">
        <f t="shared" si="6"/>
        <v>7378.230350400001</v>
      </c>
      <c r="R18" s="142">
        <f t="shared" si="7"/>
        <v>0</v>
      </c>
      <c r="S18" s="141">
        <f t="shared" si="8"/>
        <v>0</v>
      </c>
      <c r="T18" s="8"/>
      <c r="U18" s="143"/>
    </row>
    <row r="19" spans="1:21" x14ac:dyDescent="0.4">
      <c r="A19" s="139">
        <f>IF(J19="","", MAX($A$8:A18)+1)</f>
        <v>10</v>
      </c>
      <c r="B19" s="85"/>
      <c r="C19" s="140"/>
      <c r="D19" s="85" t="s">
        <v>541</v>
      </c>
      <c r="E19" s="40">
        <v>0.25</v>
      </c>
      <c r="F19" s="141">
        <v>5780.73</v>
      </c>
      <c r="G19" s="118">
        <f t="shared" si="9"/>
        <v>0.75270000000000004</v>
      </c>
      <c r="H19" s="141">
        <f t="shared" si="0"/>
        <v>4351.155471</v>
      </c>
      <c r="I19" s="119">
        <v>0</v>
      </c>
      <c r="J19" s="40">
        <v>1</v>
      </c>
      <c r="K19" s="120">
        <f t="shared" si="1"/>
        <v>0</v>
      </c>
      <c r="L19" s="119">
        <v>0.2</v>
      </c>
      <c r="M19" s="120">
        <f t="shared" si="2"/>
        <v>0.8</v>
      </c>
      <c r="N19" s="142">
        <f t="shared" si="3"/>
        <v>0</v>
      </c>
      <c r="O19" s="141">
        <f t="shared" si="4"/>
        <v>0</v>
      </c>
      <c r="P19" s="142">
        <f t="shared" si="5"/>
        <v>870.23109420000003</v>
      </c>
      <c r="Q19" s="141">
        <f t="shared" si="6"/>
        <v>3480.9243768000001</v>
      </c>
      <c r="R19" s="142">
        <f t="shared" si="7"/>
        <v>0</v>
      </c>
      <c r="S19" s="141">
        <f t="shared" si="8"/>
        <v>0</v>
      </c>
      <c r="T19" s="8"/>
      <c r="U19" s="143"/>
    </row>
    <row r="20" spans="1:21" x14ac:dyDescent="0.4">
      <c r="A20" s="139">
        <f>IF(J20="","", MAX($A$8:A19)+1)</f>
        <v>11</v>
      </c>
      <c r="B20" s="85"/>
      <c r="C20" s="140"/>
      <c r="D20" s="85" t="s">
        <v>541</v>
      </c>
      <c r="E20" s="40">
        <v>0.25</v>
      </c>
      <c r="F20" s="141">
        <v>6380.93</v>
      </c>
      <c r="G20" s="118">
        <f t="shared" si="9"/>
        <v>0.75270000000000004</v>
      </c>
      <c r="H20" s="141">
        <f t="shared" si="0"/>
        <v>4802.9260110000005</v>
      </c>
      <c r="I20" s="119">
        <v>0</v>
      </c>
      <c r="J20" s="40">
        <v>1</v>
      </c>
      <c r="K20" s="120">
        <f t="shared" si="1"/>
        <v>0</v>
      </c>
      <c r="L20" s="119">
        <v>0.2</v>
      </c>
      <c r="M20" s="120">
        <f t="shared" si="2"/>
        <v>0.8</v>
      </c>
      <c r="N20" s="142">
        <f t="shared" si="3"/>
        <v>0</v>
      </c>
      <c r="O20" s="141">
        <f t="shared" si="4"/>
        <v>0</v>
      </c>
      <c r="P20" s="142">
        <f t="shared" si="5"/>
        <v>960.58520220000014</v>
      </c>
      <c r="Q20" s="141">
        <f t="shared" si="6"/>
        <v>3842.3408088000006</v>
      </c>
      <c r="R20" s="142">
        <f t="shared" si="7"/>
        <v>0</v>
      </c>
      <c r="S20" s="141">
        <f t="shared" si="8"/>
        <v>0</v>
      </c>
      <c r="T20" s="8"/>
      <c r="U20" s="143"/>
    </row>
    <row r="21" spans="1:21" x14ac:dyDescent="0.4">
      <c r="A21" s="139">
        <f>IF(J21="","", MAX($A$8:A20)+1)</f>
        <v>12</v>
      </c>
      <c r="B21" s="85"/>
      <c r="C21" s="140"/>
      <c r="D21" s="85" t="s">
        <v>541</v>
      </c>
      <c r="E21" s="40">
        <v>0.25</v>
      </c>
      <c r="F21" s="141">
        <v>4800.1400000000003</v>
      </c>
      <c r="G21" s="118">
        <f t="shared" si="9"/>
        <v>0.75270000000000004</v>
      </c>
      <c r="H21" s="141">
        <f t="shared" si="0"/>
        <v>3613.0653780000002</v>
      </c>
      <c r="I21" s="119">
        <v>0</v>
      </c>
      <c r="J21" s="40">
        <v>1</v>
      </c>
      <c r="K21" s="120">
        <f t="shared" si="1"/>
        <v>0</v>
      </c>
      <c r="L21" s="119">
        <v>0.2</v>
      </c>
      <c r="M21" s="120">
        <f t="shared" si="2"/>
        <v>0.8</v>
      </c>
      <c r="N21" s="142">
        <f t="shared" si="3"/>
        <v>0</v>
      </c>
      <c r="O21" s="141">
        <f t="shared" si="4"/>
        <v>0</v>
      </c>
      <c r="P21" s="142">
        <f t="shared" si="5"/>
        <v>722.61307560000012</v>
      </c>
      <c r="Q21" s="141">
        <f t="shared" si="6"/>
        <v>2890.4523024000005</v>
      </c>
      <c r="R21" s="142">
        <f t="shared" si="7"/>
        <v>0</v>
      </c>
      <c r="S21" s="141">
        <f t="shared" si="8"/>
        <v>0</v>
      </c>
      <c r="T21" s="8"/>
      <c r="U21" s="143"/>
    </row>
    <row r="22" spans="1:21" x14ac:dyDescent="0.4">
      <c r="A22" s="139">
        <f>IF(J22="","", MAX($A$8:A21)+1)</f>
        <v>13</v>
      </c>
      <c r="B22" s="85"/>
      <c r="C22" s="140"/>
      <c r="D22" s="85" t="s">
        <v>541</v>
      </c>
      <c r="E22" s="40">
        <v>0.3</v>
      </c>
      <c r="F22" s="141">
        <v>7974.66</v>
      </c>
      <c r="G22" s="118">
        <f t="shared" si="9"/>
        <v>0.75270000000000004</v>
      </c>
      <c r="H22" s="141">
        <f t="shared" si="0"/>
        <v>6002.5265820000004</v>
      </c>
      <c r="I22" s="119">
        <v>0</v>
      </c>
      <c r="J22" s="40">
        <v>1</v>
      </c>
      <c r="K22" s="120">
        <f t="shared" si="1"/>
        <v>0</v>
      </c>
      <c r="L22" s="119">
        <v>0.2</v>
      </c>
      <c r="M22" s="120">
        <f t="shared" si="2"/>
        <v>0.8</v>
      </c>
      <c r="N22" s="142">
        <f t="shared" si="3"/>
        <v>0</v>
      </c>
      <c r="O22" s="141">
        <f t="shared" si="4"/>
        <v>0</v>
      </c>
      <c r="P22" s="142">
        <f t="shared" si="5"/>
        <v>1200.5053164000001</v>
      </c>
      <c r="Q22" s="141">
        <f t="shared" si="6"/>
        <v>4802.0212656000003</v>
      </c>
      <c r="R22" s="142">
        <f t="shared" si="7"/>
        <v>0</v>
      </c>
      <c r="S22" s="141">
        <f t="shared" si="8"/>
        <v>0</v>
      </c>
      <c r="T22" s="8"/>
      <c r="U22" s="143"/>
    </row>
    <row r="23" spans="1:21" x14ac:dyDescent="0.4">
      <c r="A23" s="139">
        <f>IF(J23="","", MAX($A$8:A22)+1)</f>
        <v>14</v>
      </c>
      <c r="B23" s="85"/>
      <c r="C23" s="140"/>
      <c r="D23" s="144">
        <v>58913</v>
      </c>
      <c r="E23" s="40">
        <v>0.5</v>
      </c>
      <c r="F23" s="141">
        <f t="shared" ref="F23:F30" si="10">D23*E23</f>
        <v>29456.5</v>
      </c>
      <c r="G23" s="118">
        <f t="shared" si="9"/>
        <v>0.75270000000000004</v>
      </c>
      <c r="H23" s="141">
        <f t="shared" si="0"/>
        <v>22171.90755</v>
      </c>
      <c r="I23" s="119">
        <v>0</v>
      </c>
      <c r="J23" s="40">
        <v>0</v>
      </c>
      <c r="K23" s="120">
        <f t="shared" si="1"/>
        <v>1</v>
      </c>
      <c r="L23" s="119">
        <v>0.7</v>
      </c>
      <c r="M23" s="120">
        <f t="shared" si="2"/>
        <v>0.30000000000000004</v>
      </c>
      <c r="N23" s="142">
        <f t="shared" si="3"/>
        <v>0</v>
      </c>
      <c r="O23" s="141">
        <f t="shared" si="4"/>
        <v>0</v>
      </c>
      <c r="P23" s="142">
        <f t="shared" si="5"/>
        <v>0</v>
      </c>
      <c r="Q23" s="141">
        <f t="shared" si="6"/>
        <v>0</v>
      </c>
      <c r="R23" s="142">
        <f t="shared" si="7"/>
        <v>15520.335284999999</v>
      </c>
      <c r="S23" s="141">
        <f t="shared" si="8"/>
        <v>6651.5722650000007</v>
      </c>
      <c r="T23" s="8"/>
      <c r="U23" s="143"/>
    </row>
    <row r="24" spans="1:21" x14ac:dyDescent="0.4">
      <c r="A24" s="139">
        <f>IF(J24="","", MAX($A$8:A23)+1)</f>
        <v>15</v>
      </c>
      <c r="B24" s="85"/>
      <c r="C24" s="140"/>
      <c r="D24" s="144">
        <v>76972</v>
      </c>
      <c r="E24" s="40">
        <v>0.5</v>
      </c>
      <c r="F24" s="141">
        <f t="shared" si="10"/>
        <v>38486</v>
      </c>
      <c r="G24" s="118">
        <f t="shared" si="9"/>
        <v>0.75270000000000004</v>
      </c>
      <c r="H24" s="141">
        <f t="shared" si="0"/>
        <v>28968.412200000002</v>
      </c>
      <c r="I24" s="119">
        <v>0</v>
      </c>
      <c r="J24" s="40">
        <v>0</v>
      </c>
      <c r="K24" s="120">
        <f t="shared" si="1"/>
        <v>1</v>
      </c>
      <c r="L24" s="119">
        <v>0.7</v>
      </c>
      <c r="M24" s="120">
        <f t="shared" si="2"/>
        <v>0.30000000000000004</v>
      </c>
      <c r="N24" s="142">
        <f t="shared" si="3"/>
        <v>0</v>
      </c>
      <c r="O24" s="141">
        <f t="shared" si="4"/>
        <v>0</v>
      </c>
      <c r="P24" s="142">
        <f t="shared" si="5"/>
        <v>0</v>
      </c>
      <c r="Q24" s="141">
        <f t="shared" si="6"/>
        <v>0</v>
      </c>
      <c r="R24" s="142">
        <f t="shared" si="7"/>
        <v>20277.88854</v>
      </c>
      <c r="S24" s="141">
        <f t="shared" si="8"/>
        <v>8690.5236600000026</v>
      </c>
      <c r="T24" s="8"/>
      <c r="U24" s="143"/>
    </row>
    <row r="25" spans="1:21" x14ac:dyDescent="0.4">
      <c r="A25" s="139">
        <f>IF(J25="","", MAX($A$8:A24)+1)</f>
        <v>16</v>
      </c>
      <c r="B25" s="85"/>
      <c r="C25" s="140"/>
      <c r="D25" s="144">
        <v>71956</v>
      </c>
      <c r="E25" s="40">
        <v>0.5</v>
      </c>
      <c r="F25" s="141">
        <f t="shared" si="10"/>
        <v>35978</v>
      </c>
      <c r="G25" s="118">
        <f t="shared" si="9"/>
        <v>0.75270000000000004</v>
      </c>
      <c r="H25" s="141">
        <f t="shared" si="0"/>
        <v>27080.640600000002</v>
      </c>
      <c r="I25" s="119">
        <v>0</v>
      </c>
      <c r="J25" s="40">
        <v>0</v>
      </c>
      <c r="K25" s="120">
        <f t="shared" si="1"/>
        <v>1</v>
      </c>
      <c r="L25" s="119">
        <v>0.7</v>
      </c>
      <c r="M25" s="120">
        <f t="shared" si="2"/>
        <v>0.30000000000000004</v>
      </c>
      <c r="N25" s="142">
        <f t="shared" si="3"/>
        <v>0</v>
      </c>
      <c r="O25" s="141">
        <f t="shared" si="4"/>
        <v>0</v>
      </c>
      <c r="P25" s="142">
        <f t="shared" si="5"/>
        <v>0</v>
      </c>
      <c r="Q25" s="141">
        <f t="shared" si="6"/>
        <v>0</v>
      </c>
      <c r="R25" s="142">
        <f t="shared" si="7"/>
        <v>18956.448420000001</v>
      </c>
      <c r="S25" s="141">
        <f t="shared" si="8"/>
        <v>8124.1921800000018</v>
      </c>
      <c r="T25" s="8"/>
      <c r="U25" s="143"/>
    </row>
    <row r="26" spans="1:21" x14ac:dyDescent="0.4">
      <c r="A26" s="139">
        <f>IF(J26="","", MAX($A$8:A25)+1)</f>
        <v>17</v>
      </c>
      <c r="B26" s="85"/>
      <c r="C26" s="140"/>
      <c r="D26" s="144">
        <v>72524</v>
      </c>
      <c r="E26" s="40">
        <v>0.5</v>
      </c>
      <c r="F26" s="141">
        <f t="shared" si="10"/>
        <v>36262</v>
      </c>
      <c r="G26" s="118">
        <f t="shared" si="9"/>
        <v>0.75270000000000004</v>
      </c>
      <c r="H26" s="141">
        <f t="shared" si="0"/>
        <v>27294.4074</v>
      </c>
      <c r="I26" s="119">
        <v>0</v>
      </c>
      <c r="J26" s="40">
        <v>0</v>
      </c>
      <c r="K26" s="120">
        <f t="shared" si="1"/>
        <v>1</v>
      </c>
      <c r="L26" s="119">
        <v>0.7</v>
      </c>
      <c r="M26" s="120">
        <f t="shared" si="2"/>
        <v>0.30000000000000004</v>
      </c>
      <c r="N26" s="142">
        <f t="shared" si="3"/>
        <v>0</v>
      </c>
      <c r="O26" s="141">
        <f t="shared" si="4"/>
        <v>0</v>
      </c>
      <c r="P26" s="142">
        <f t="shared" si="5"/>
        <v>0</v>
      </c>
      <c r="Q26" s="141">
        <f t="shared" si="6"/>
        <v>0</v>
      </c>
      <c r="R26" s="142">
        <f t="shared" si="7"/>
        <v>19106.085179999998</v>
      </c>
      <c r="S26" s="141">
        <f t="shared" si="8"/>
        <v>8188.3222200000009</v>
      </c>
      <c r="T26" s="8"/>
      <c r="U26" s="143"/>
    </row>
    <row r="27" spans="1:21" x14ac:dyDescent="0.4">
      <c r="A27" s="139">
        <f>IF(J27="","", MAX($A$8:A26)+1)</f>
        <v>18</v>
      </c>
      <c r="B27" s="85"/>
      <c r="C27" s="140"/>
      <c r="D27" s="144">
        <v>71707</v>
      </c>
      <c r="E27" s="40">
        <v>0.5</v>
      </c>
      <c r="F27" s="141">
        <f t="shared" si="10"/>
        <v>35853.5</v>
      </c>
      <c r="G27" s="118">
        <f t="shared" si="9"/>
        <v>0.75270000000000004</v>
      </c>
      <c r="H27" s="141">
        <f t="shared" si="0"/>
        <v>26986.92945</v>
      </c>
      <c r="I27" s="119">
        <v>0</v>
      </c>
      <c r="J27" s="40">
        <v>0</v>
      </c>
      <c r="K27" s="120">
        <f t="shared" si="1"/>
        <v>1</v>
      </c>
      <c r="L27" s="119">
        <v>0.7</v>
      </c>
      <c r="M27" s="120">
        <f t="shared" si="2"/>
        <v>0.30000000000000004</v>
      </c>
      <c r="N27" s="142">
        <f t="shared" si="3"/>
        <v>0</v>
      </c>
      <c r="O27" s="141">
        <f t="shared" si="4"/>
        <v>0</v>
      </c>
      <c r="P27" s="142">
        <f t="shared" si="5"/>
        <v>0</v>
      </c>
      <c r="Q27" s="141">
        <f t="shared" si="6"/>
        <v>0</v>
      </c>
      <c r="R27" s="142">
        <f t="shared" si="7"/>
        <v>18890.850614999999</v>
      </c>
      <c r="S27" s="141">
        <f t="shared" si="8"/>
        <v>8096.0788350000012</v>
      </c>
      <c r="T27" s="8"/>
      <c r="U27" s="143"/>
    </row>
    <row r="28" spans="1:21" x14ac:dyDescent="0.4">
      <c r="A28" s="139">
        <f>IF(J28="","", MAX($A$8:A27)+1)</f>
        <v>19</v>
      </c>
      <c r="B28" s="85"/>
      <c r="C28" s="140"/>
      <c r="D28" s="144">
        <v>69352</v>
      </c>
      <c r="E28" s="40">
        <v>0.5</v>
      </c>
      <c r="F28" s="141">
        <f t="shared" si="10"/>
        <v>34676</v>
      </c>
      <c r="G28" s="118">
        <f t="shared" si="9"/>
        <v>0.75270000000000004</v>
      </c>
      <c r="H28" s="141">
        <f t="shared" si="0"/>
        <v>26100.625200000002</v>
      </c>
      <c r="I28" s="119">
        <v>0</v>
      </c>
      <c r="J28" s="40">
        <v>0</v>
      </c>
      <c r="K28" s="120">
        <f t="shared" si="1"/>
        <v>1</v>
      </c>
      <c r="L28" s="119">
        <v>0.7</v>
      </c>
      <c r="M28" s="120">
        <f t="shared" si="2"/>
        <v>0.30000000000000004</v>
      </c>
      <c r="N28" s="142">
        <f t="shared" si="3"/>
        <v>0</v>
      </c>
      <c r="O28" s="141">
        <f t="shared" si="4"/>
        <v>0</v>
      </c>
      <c r="P28" s="142">
        <f t="shared" si="5"/>
        <v>0</v>
      </c>
      <c r="Q28" s="141">
        <f t="shared" si="6"/>
        <v>0</v>
      </c>
      <c r="R28" s="142">
        <f t="shared" si="7"/>
        <v>18270.43764</v>
      </c>
      <c r="S28" s="141">
        <f t="shared" si="8"/>
        <v>7830.1875600000021</v>
      </c>
      <c r="T28" s="8"/>
      <c r="U28" s="143"/>
    </row>
    <row r="29" spans="1:21" x14ac:dyDescent="0.4">
      <c r="A29" s="139">
        <f>IF(J29="","", MAX($A$8:A28)+1)</f>
        <v>20</v>
      </c>
      <c r="B29" s="85"/>
      <c r="C29" s="140"/>
      <c r="D29" s="144">
        <v>20504</v>
      </c>
      <c r="E29" s="40">
        <v>1</v>
      </c>
      <c r="F29" s="141">
        <f t="shared" si="10"/>
        <v>20504</v>
      </c>
      <c r="G29" s="118">
        <f t="shared" si="9"/>
        <v>0.75270000000000004</v>
      </c>
      <c r="H29" s="141">
        <f t="shared" si="0"/>
        <v>15433.3608</v>
      </c>
      <c r="I29" s="119">
        <v>0.9</v>
      </c>
      <c r="J29" s="40">
        <v>0.1</v>
      </c>
      <c r="K29" s="120">
        <f t="shared" si="1"/>
        <v>0</v>
      </c>
      <c r="L29" s="119">
        <v>0.9</v>
      </c>
      <c r="M29" s="120">
        <f t="shared" si="2"/>
        <v>9.9999999999999978E-2</v>
      </c>
      <c r="N29" s="142">
        <f t="shared" si="3"/>
        <v>12501.022248000001</v>
      </c>
      <c r="O29" s="141">
        <f t="shared" si="4"/>
        <v>1389.0024719999999</v>
      </c>
      <c r="P29" s="142">
        <f t="shared" si="5"/>
        <v>1389.0024720000001</v>
      </c>
      <c r="Q29" s="141">
        <f t="shared" si="6"/>
        <v>154.33360799999997</v>
      </c>
      <c r="R29" s="142">
        <f t="shared" si="7"/>
        <v>0</v>
      </c>
      <c r="S29" s="141">
        <f t="shared" si="8"/>
        <v>0</v>
      </c>
      <c r="T29" s="8"/>
      <c r="U29" s="143"/>
    </row>
    <row r="30" spans="1:21" x14ac:dyDescent="0.4">
      <c r="A30" s="139">
        <f>IF(J30="","", MAX($A$8:A29)+1)</f>
        <v>21</v>
      </c>
      <c r="B30" s="85"/>
      <c r="C30" s="140"/>
      <c r="D30" s="144">
        <v>57954</v>
      </c>
      <c r="E30" s="40">
        <v>1</v>
      </c>
      <c r="F30" s="141">
        <f t="shared" si="10"/>
        <v>57954</v>
      </c>
      <c r="G30" s="118">
        <f t="shared" si="9"/>
        <v>0.75270000000000004</v>
      </c>
      <c r="H30" s="141">
        <f t="shared" si="0"/>
        <v>43621.9758</v>
      </c>
      <c r="I30" s="119">
        <v>0.85</v>
      </c>
      <c r="J30" s="40">
        <v>0.15</v>
      </c>
      <c r="K30" s="120">
        <f t="shared" si="1"/>
        <v>0</v>
      </c>
      <c r="L30" s="119">
        <v>0.8</v>
      </c>
      <c r="M30" s="120">
        <f t="shared" si="2"/>
        <v>0.19999999999999996</v>
      </c>
      <c r="N30" s="142">
        <f t="shared" si="3"/>
        <v>29662.943543999998</v>
      </c>
      <c r="O30" s="141">
        <f t="shared" si="4"/>
        <v>7415.7358859999977</v>
      </c>
      <c r="P30" s="142">
        <f t="shared" si="5"/>
        <v>5234.6370960000004</v>
      </c>
      <c r="Q30" s="141">
        <f t="shared" si="6"/>
        <v>1308.6592739999996</v>
      </c>
      <c r="R30" s="142">
        <f t="shared" si="7"/>
        <v>0</v>
      </c>
      <c r="S30" s="141">
        <f t="shared" si="8"/>
        <v>0</v>
      </c>
      <c r="T30" s="8"/>
      <c r="U30" s="143"/>
    </row>
    <row r="31" spans="1:21" x14ac:dyDescent="0.4">
      <c r="A31" s="139">
        <f>IF(J31="","", MAX($A$8:A30)+1)</f>
        <v>22</v>
      </c>
      <c r="B31" s="83"/>
      <c r="C31" s="145"/>
      <c r="D31" s="83" t="s">
        <v>541</v>
      </c>
      <c r="E31" s="84"/>
      <c r="F31" s="146">
        <v>6550.21</v>
      </c>
      <c r="G31" s="25">
        <f t="shared" si="9"/>
        <v>0.75270000000000004</v>
      </c>
      <c r="H31" s="146">
        <f t="shared" si="0"/>
        <v>4930.3430670000007</v>
      </c>
      <c r="I31" s="121">
        <v>0</v>
      </c>
      <c r="J31" s="24">
        <v>1</v>
      </c>
      <c r="K31" s="122">
        <f t="shared" si="1"/>
        <v>0</v>
      </c>
      <c r="L31" s="121">
        <v>0.2</v>
      </c>
      <c r="M31" s="122">
        <f t="shared" si="2"/>
        <v>0.8</v>
      </c>
      <c r="N31" s="147">
        <f t="shared" si="3"/>
        <v>0</v>
      </c>
      <c r="O31" s="146">
        <f t="shared" si="4"/>
        <v>0</v>
      </c>
      <c r="P31" s="147">
        <f t="shared" si="5"/>
        <v>986.06861340000023</v>
      </c>
      <c r="Q31" s="146">
        <f t="shared" si="6"/>
        <v>3944.2744536000009</v>
      </c>
      <c r="R31" s="147">
        <f t="shared" si="7"/>
        <v>0</v>
      </c>
      <c r="S31" s="146">
        <f t="shared" si="8"/>
        <v>0</v>
      </c>
      <c r="T31" s="8"/>
      <c r="U31" s="143"/>
    </row>
    <row r="32" spans="1:21" ht="13.3" customHeight="1" x14ac:dyDescent="0.4">
      <c r="A32" s="139" t="str">
        <f>IF(J32="","", MAX($A$8:A31)+1)</f>
        <v/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8"/>
      <c r="T32" s="8"/>
      <c r="U32" s="8"/>
    </row>
    <row r="33" spans="1:21" x14ac:dyDescent="0.4">
      <c r="A33" s="139" t="str">
        <f>IF(J33="","", MAX($A$8:A32)+1)</f>
        <v/>
      </c>
      <c r="B33" s="83" t="s">
        <v>12</v>
      </c>
      <c r="C33" s="84"/>
      <c r="D33" s="84"/>
      <c r="E33" s="84"/>
      <c r="F33" s="148">
        <f>SUM(F10:F31)</f>
        <v>857969.18</v>
      </c>
      <c r="G33" s="148"/>
      <c r="H33" s="148">
        <f>SUM(H10:H31)</f>
        <v>645793.40178600024</v>
      </c>
      <c r="I33" s="84"/>
      <c r="J33" s="84"/>
      <c r="K33" s="84"/>
      <c r="L33" s="84"/>
      <c r="M33" s="84"/>
      <c r="N33" s="148">
        <f t="shared" ref="N33:S33" si="11">SUM(N10:N31)</f>
        <v>94983.054556649993</v>
      </c>
      <c r="O33" s="148">
        <f t="shared" si="11"/>
        <v>42917.053808849996</v>
      </c>
      <c r="P33" s="148">
        <f t="shared" si="11"/>
        <v>159531.27826778998</v>
      </c>
      <c r="Q33" s="148">
        <f t="shared" si="11"/>
        <v>102634.74066651</v>
      </c>
      <c r="R33" s="148">
        <f t="shared" si="11"/>
        <v>160976.35997585999</v>
      </c>
      <c r="S33" s="146">
        <f t="shared" si="11"/>
        <v>84750.914510340022</v>
      </c>
      <c r="T33" s="8"/>
      <c r="U33" s="143"/>
    </row>
    <row r="34" spans="1:21" x14ac:dyDescent="0.4">
      <c r="A34" s="139" t="str">
        <f>IF(J34="","", MAX($A$8:A33)+1)</f>
        <v/>
      </c>
    </row>
    <row r="35" spans="1:21" s="8" customFormat="1" x14ac:dyDescent="0.4"/>
    <row r="36" spans="1:21" s="8" customFormat="1" x14ac:dyDescent="0.4"/>
    <row r="37" spans="1:21" ht="34.299999999999997" x14ac:dyDescent="0.7">
      <c r="A37" s="26" t="str">
        <f>EXTERNAL!A36</f>
        <v/>
      </c>
      <c r="B37" s="50" t="str">
        <f>EXTERNAL!B5</f>
        <v>Allocation Factor</v>
      </c>
      <c r="C37" s="50" t="str">
        <f>EXTERNAL!C5</f>
        <v>Description</v>
      </c>
      <c r="D37" s="26" t="str">
        <f>EXTERNAL!D5</f>
        <v>Total</v>
      </c>
      <c r="E37" s="26" t="str">
        <f>EXTERNAL!E5</f>
        <v>Res
503</v>
      </c>
      <c r="F37" s="26" t="str">
        <f>EXTERNAL!F5</f>
        <v>GSC
504</v>
      </c>
      <c r="G37" s="26" t="str">
        <f>EXTERNAL!G5</f>
        <v>GSI
505</v>
      </c>
      <c r="H37" s="26" t="str">
        <f>EXTERNAL!H5</f>
        <v>GSLV
511</v>
      </c>
      <c r="I37" s="26" t="str">
        <f>EXTERNAL!I5</f>
        <v>Interruptible
570</v>
      </c>
      <c r="J37" s="26" t="str">
        <f>EXTERNAL!J5</f>
        <v>Transport
663</v>
      </c>
      <c r="K37" s="26" t="str">
        <f>EXTERNAL!K5</f>
        <v>Spl Contracts</v>
      </c>
      <c r="L37" s="26"/>
    </row>
    <row r="38" spans="1:21" x14ac:dyDescent="0.4">
      <c r="A38" s="20" t="str">
        <f>IF(ISBLANK(C38),"",MAX(A$6:$A37)+1)</f>
        <v/>
      </c>
      <c r="B38" s="8"/>
      <c r="C38" s="8"/>
      <c r="D38" s="17"/>
      <c r="E38" s="17"/>
      <c r="F38" s="17"/>
      <c r="G38" s="17"/>
      <c r="H38" s="17"/>
      <c r="I38" s="17"/>
      <c r="J38" s="17"/>
      <c r="K38" s="17"/>
      <c r="L38" s="17"/>
    </row>
    <row r="39" spans="1:21" x14ac:dyDescent="0.4">
      <c r="A39" s="20">
        <f>IF(ISBLANK(C39),"",MAX(A$6:$A38)+1)</f>
        <v>23</v>
      </c>
      <c r="B39" s="8"/>
      <c r="C39" s="149" t="s">
        <v>561</v>
      </c>
      <c r="D39" s="7"/>
      <c r="E39" s="7"/>
      <c r="F39" s="7"/>
      <c r="G39" s="7"/>
      <c r="H39" s="7"/>
      <c r="I39" s="7"/>
      <c r="J39" s="7"/>
      <c r="K39" s="7"/>
      <c r="L39" s="7"/>
    </row>
    <row r="40" spans="1:21" x14ac:dyDescent="0.4">
      <c r="A40" s="20">
        <f>IF(ISBLANK(C40),"",MAX(A$6:$A39)+1)</f>
        <v>24</v>
      </c>
      <c r="B40" s="8"/>
      <c r="C40" s="8" t="s">
        <v>543</v>
      </c>
      <c r="D40" s="7">
        <f>N33</f>
        <v>94983.054556649993</v>
      </c>
      <c r="E40" s="7">
        <f>E$55/SUM($E$55:$I$55)*$D40</f>
        <v>51823.121390879423</v>
      </c>
      <c r="F40" s="7">
        <f>F$55/SUM($E$55:$I$55)*$D40</f>
        <v>35135.930714109891</v>
      </c>
      <c r="G40" s="7">
        <f>G$55/SUM($E$55:$I$55)*$D40</f>
        <v>3492.6403549970305</v>
      </c>
      <c r="H40" s="7">
        <f>H$55/SUM($E$55:$I$55)*$D40</f>
        <v>4184.6738827022045</v>
      </c>
      <c r="I40" s="7">
        <f>I$55/SUM($E$55:$I$55)*$D40</f>
        <v>346.68821396143818</v>
      </c>
      <c r="J40" s="17"/>
      <c r="K40" s="17"/>
      <c r="L40" s="17"/>
    </row>
    <row r="41" spans="1:21" x14ac:dyDescent="0.4">
      <c r="A41" s="20">
        <f>IF(ISBLANK(C41),"",MAX(A$6:$A40)+1)</f>
        <v>25</v>
      </c>
      <c r="B41" s="8"/>
      <c r="C41" s="8" t="s">
        <v>542</v>
      </c>
      <c r="D41" s="7">
        <f>O33</f>
        <v>42917.053808849996</v>
      </c>
      <c r="E41" s="7"/>
      <c r="F41" s="7"/>
      <c r="G41" s="7"/>
      <c r="H41" s="7"/>
      <c r="I41" s="7"/>
      <c r="J41" s="7">
        <f>J$55/SUM($J$55:$K$55)*$D41</f>
        <v>33785.719205747002</v>
      </c>
      <c r="K41" s="7">
        <f>K$55/SUM($J$55:$K$55)*$D41</f>
        <v>9131.3346031029905</v>
      </c>
      <c r="L41" s="7"/>
    </row>
    <row r="42" spans="1:21" x14ac:dyDescent="0.4">
      <c r="A42" s="20">
        <f>IF(ISBLANK(C42),"",MAX(A$6:$A41)+1)</f>
        <v>26</v>
      </c>
      <c r="B42" s="8" t="s">
        <v>558</v>
      </c>
      <c r="C42" s="8" t="s">
        <v>12</v>
      </c>
      <c r="D42" s="7">
        <f t="shared" ref="D42" si="12">SUM(E42:K42)</f>
        <v>137900.10836549997</v>
      </c>
      <c r="E42" s="7">
        <f>SUM(E40:E41)</f>
        <v>51823.121390879423</v>
      </c>
      <c r="F42" s="7">
        <f t="shared" ref="F42:K42" si="13">SUM(F40:F41)</f>
        <v>35135.930714109891</v>
      </c>
      <c r="G42" s="7">
        <f t="shared" si="13"/>
        <v>3492.6403549970305</v>
      </c>
      <c r="H42" s="7">
        <f t="shared" si="13"/>
        <v>4184.6738827022045</v>
      </c>
      <c r="I42" s="7">
        <f t="shared" si="13"/>
        <v>346.68821396143818</v>
      </c>
      <c r="J42" s="7">
        <f t="shared" si="13"/>
        <v>33785.719205747002</v>
      </c>
      <c r="K42" s="7">
        <f t="shared" si="13"/>
        <v>9131.3346031029905</v>
      </c>
      <c r="L42" s="17"/>
    </row>
    <row r="43" spans="1:21" x14ac:dyDescent="0.4">
      <c r="A43" s="20" t="str">
        <f>IF(ISBLANK(C43),"",MAX(A$6:$A42)+1)</f>
        <v/>
      </c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</row>
    <row r="44" spans="1:21" x14ac:dyDescent="0.4">
      <c r="A44" s="20">
        <f>IF(ISBLANK(C44),"",MAX(A$6:$A43)+1)</f>
        <v>27</v>
      </c>
      <c r="B44" s="8"/>
      <c r="C44" s="149" t="s">
        <v>562</v>
      </c>
      <c r="D44" s="7"/>
      <c r="E44" s="7"/>
      <c r="F44" s="7"/>
      <c r="G44" s="7"/>
      <c r="H44" s="7"/>
      <c r="I44" s="7"/>
      <c r="J44" s="7"/>
      <c r="K44" s="7"/>
      <c r="L44" s="7"/>
    </row>
    <row r="45" spans="1:21" x14ac:dyDescent="0.4">
      <c r="A45" s="20">
        <f>IF(ISBLANK(C45),"",MAX(A$6:$A44)+1)</f>
        <v>28</v>
      </c>
      <c r="B45" s="8"/>
      <c r="C45" s="8" t="s">
        <v>543</v>
      </c>
      <c r="D45" s="7">
        <f>P33</f>
        <v>159531.27826778998</v>
      </c>
      <c r="E45" s="7">
        <f>E$57/SUM($E$57:$I$57)*$D45</f>
        <v>81982.7131304918</v>
      </c>
      <c r="F45" s="7">
        <f t="shared" ref="F45:I45" si="14">F$57/SUM($E$57:$I$57)*$D45</f>
        <v>58010.790880780471</v>
      </c>
      <c r="G45" s="7">
        <f t="shared" si="14"/>
        <v>7682.5746926237016</v>
      </c>
      <c r="H45" s="7">
        <f t="shared" si="14"/>
        <v>10531.496897339528</v>
      </c>
      <c r="I45" s="7">
        <f t="shared" si="14"/>
        <v>1323.702666554472</v>
      </c>
      <c r="J45" s="17"/>
      <c r="K45" s="17"/>
      <c r="L45" s="7"/>
    </row>
    <row r="46" spans="1:21" x14ac:dyDescent="0.4">
      <c r="A46" s="20">
        <f>IF(ISBLANK(C46),"",MAX(A$6:$A45)+1)</f>
        <v>29</v>
      </c>
      <c r="B46" s="8"/>
      <c r="C46" s="8" t="s">
        <v>542</v>
      </c>
      <c r="D46" s="7">
        <f>Q33</f>
        <v>102634.74066651</v>
      </c>
      <c r="E46" s="7"/>
      <c r="F46" s="7"/>
      <c r="G46" s="7"/>
      <c r="H46" s="7"/>
      <c r="I46" s="7"/>
      <c r="J46" s="7">
        <f>J$57/SUM($J$57:$K$57)*$D46</f>
        <v>84575.304862330668</v>
      </c>
      <c r="K46" s="7">
        <f>K$57/SUM($J$57:$K$57)*$D46</f>
        <v>18059.435804179338</v>
      </c>
      <c r="L46" s="7"/>
    </row>
    <row r="47" spans="1:21" x14ac:dyDescent="0.4">
      <c r="A47" s="20">
        <f>IF(ISBLANK(C47),"",MAX(A$6:$A46)+1)</f>
        <v>30</v>
      </c>
      <c r="B47" s="8" t="s">
        <v>557</v>
      </c>
      <c r="C47" s="8" t="s">
        <v>12</v>
      </c>
      <c r="D47" s="7">
        <f t="shared" ref="D47" si="15">SUM(E47:K47)</f>
        <v>262166.01893429999</v>
      </c>
      <c r="E47" s="7">
        <f>SUM(E45:E46)</f>
        <v>81982.7131304918</v>
      </c>
      <c r="F47" s="7">
        <f t="shared" ref="F47" si="16">SUM(F45:F46)</f>
        <v>58010.790880780471</v>
      </c>
      <c r="G47" s="7">
        <f t="shared" ref="G47" si="17">SUM(G45:G46)</f>
        <v>7682.5746926237016</v>
      </c>
      <c r="H47" s="7">
        <f t="shared" ref="H47" si="18">SUM(H45:H46)</f>
        <v>10531.496897339528</v>
      </c>
      <c r="I47" s="7">
        <f t="shared" ref="I47" si="19">SUM(I45:I46)</f>
        <v>1323.702666554472</v>
      </c>
      <c r="J47" s="7">
        <f t="shared" ref="J47" si="20">SUM(J45:J46)</f>
        <v>84575.304862330668</v>
      </c>
      <c r="K47" s="7">
        <f t="shared" ref="K47" si="21">SUM(K45:K46)</f>
        <v>18059.435804179338</v>
      </c>
      <c r="L47" s="7"/>
    </row>
    <row r="48" spans="1:21" x14ac:dyDescent="0.4">
      <c r="A48" s="20" t="str">
        <f>IF(ISBLANK(C48),"",MAX(A$6:$A47)+1)</f>
        <v/>
      </c>
      <c r="B48" s="8"/>
      <c r="C48" s="8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4">
      <c r="A49" s="20">
        <f>IF(ISBLANK(C49),"",MAX(A$6:$A48)+1)</f>
        <v>31</v>
      </c>
      <c r="B49" s="8"/>
      <c r="C49" s="149" t="s">
        <v>563</v>
      </c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4">
      <c r="A50" s="20">
        <f>IF(ISBLANK(C50),"",MAX(A$6:$A49)+1)</f>
        <v>32</v>
      </c>
      <c r="B50" s="8"/>
      <c r="C50" s="8" t="s">
        <v>543</v>
      </c>
      <c r="D50" s="7">
        <f>R33</f>
        <v>160976.35997585999</v>
      </c>
      <c r="E50" s="7">
        <f>E$57/SUM($E$57:$I$57)*$D50</f>
        <v>82725.336899380301</v>
      </c>
      <c r="F50" s="7">
        <f t="shared" ref="F50:I50" si="22">F$57/SUM($E$57:$I$57)*$D50</f>
        <v>58536.269856958243</v>
      </c>
      <c r="G50" s="7">
        <f t="shared" si="22"/>
        <v>7752.1657363346176</v>
      </c>
      <c r="H50" s="7">
        <f t="shared" si="22"/>
        <v>10626.894324666569</v>
      </c>
      <c r="I50" s="7">
        <f t="shared" si="22"/>
        <v>1335.6931585202572</v>
      </c>
      <c r="J50" s="17"/>
      <c r="K50" s="17"/>
      <c r="L50" s="7"/>
    </row>
    <row r="51" spans="1:12" x14ac:dyDescent="0.4">
      <c r="A51" s="20">
        <f>IF(ISBLANK(C51),"",MAX(A$6:$A50)+1)</f>
        <v>33</v>
      </c>
      <c r="B51" s="8"/>
      <c r="C51" s="8" t="s">
        <v>542</v>
      </c>
      <c r="D51" s="7">
        <f>S33</f>
        <v>84750.914510340022</v>
      </c>
      <c r="E51" s="7"/>
      <c r="F51" s="7"/>
      <c r="G51" s="7"/>
      <c r="H51" s="7"/>
      <c r="I51" s="7"/>
      <c r="J51" s="7">
        <f>J$57/SUM($J$57:$K$57)*$D51</f>
        <v>69838.286583328561</v>
      </c>
      <c r="K51" s="7">
        <f>K$57/SUM($J$57:$K$57)*$D51</f>
        <v>14912.62792701147</v>
      </c>
      <c r="L51" s="7"/>
    </row>
    <row r="52" spans="1:12" x14ac:dyDescent="0.4">
      <c r="A52" s="20">
        <f>IF(ISBLANK(C52),"",MAX(A$6:$A51)+1)</f>
        <v>34</v>
      </c>
      <c r="B52" s="8" t="s">
        <v>556</v>
      </c>
      <c r="C52" s="8" t="s">
        <v>12</v>
      </c>
      <c r="D52" s="7">
        <f t="shared" ref="D52" si="23">SUM(E52:K52)</f>
        <v>245727.27448620004</v>
      </c>
      <c r="E52" s="7">
        <f>SUM(E50:E51)</f>
        <v>82725.336899380301</v>
      </c>
      <c r="F52" s="7">
        <f t="shared" ref="F52" si="24">SUM(F50:F51)</f>
        <v>58536.269856958243</v>
      </c>
      <c r="G52" s="7">
        <f t="shared" ref="G52" si="25">SUM(G50:G51)</f>
        <v>7752.1657363346176</v>
      </c>
      <c r="H52" s="7">
        <f t="shared" ref="H52" si="26">SUM(H50:H51)</f>
        <v>10626.894324666569</v>
      </c>
      <c r="I52" s="7">
        <f t="shared" ref="I52" si="27">SUM(I50:I51)</f>
        <v>1335.6931585202572</v>
      </c>
      <c r="J52" s="7">
        <f t="shared" ref="J52" si="28">SUM(J50:J51)</f>
        <v>69838.286583328561</v>
      </c>
      <c r="K52" s="7">
        <f t="shared" ref="K52" si="29">SUM(K50:K51)</f>
        <v>14912.62792701147</v>
      </c>
      <c r="L52" s="7"/>
    </row>
    <row r="53" spans="1:12" x14ac:dyDescent="0.4">
      <c r="A53" s="20" t="str">
        <f>IF(ISBLANK(C53),"",MAX(A$6:$A52)+1)</f>
        <v/>
      </c>
      <c r="B53" s="8"/>
      <c r="C53" s="8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4">
      <c r="A54" s="20" t="str">
        <f>IF(ISBLANK(C54),"",MAX(A$6:$A53)+1)</f>
        <v/>
      </c>
      <c r="B54" s="8"/>
      <c r="C54" s="8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4">
      <c r="A55" s="20">
        <f>IF(ISBLANK(C55),"",MAX(A$6:$A54)+1)</f>
        <v>35</v>
      </c>
      <c r="B55" s="8" t="s">
        <v>15</v>
      </c>
      <c r="C55" s="9" t="s">
        <v>14</v>
      </c>
      <c r="D55" s="7">
        <f>SUM(E55:K55)</f>
        <v>5532364.1770833349</v>
      </c>
      <c r="E55" s="7">
        <f>EXTERNAL!E10</f>
        <v>1492164</v>
      </c>
      <c r="F55" s="7">
        <f>EXTERNAL!F10</f>
        <v>1011683</v>
      </c>
      <c r="G55" s="7">
        <f>EXTERNAL!G10</f>
        <v>100565</v>
      </c>
      <c r="H55" s="7">
        <f>EXTERNAL!H10</f>
        <v>120491</v>
      </c>
      <c r="I55" s="7">
        <f>EXTERNAL!I10</f>
        <v>9982.3333333333339</v>
      </c>
      <c r="J55" s="7">
        <f>EXTERNAL!J10</f>
        <v>2202267.544270834</v>
      </c>
      <c r="K55" s="7">
        <f>EXTERNAL!K10</f>
        <v>595211.29947916674</v>
      </c>
      <c r="L55" s="7"/>
    </row>
    <row r="56" spans="1:12" x14ac:dyDescent="0.4">
      <c r="A56" s="20" t="str">
        <f>IF(ISBLANK(C56),"",MAX(A$6:$A55)+1)</f>
        <v/>
      </c>
    </row>
    <row r="57" spans="1:12" x14ac:dyDescent="0.4">
      <c r="A57" s="20">
        <f>IF(ISBLANK(C57),"",MAX(A$6:$A56)+1)</f>
        <v>36</v>
      </c>
      <c r="B57" s="8" t="s">
        <v>419</v>
      </c>
      <c r="C57" s="8" t="s">
        <v>104</v>
      </c>
      <c r="D57" s="7">
        <f>SUM(E57:K57)</f>
        <v>1290297698.7952998</v>
      </c>
      <c r="E57" s="7">
        <f>EXTERNAL!E134</f>
        <v>129913446.15533167</v>
      </c>
      <c r="F57" s="7">
        <f>EXTERNAL!F134</f>
        <v>91926474.127817988</v>
      </c>
      <c r="G57" s="7">
        <f>EXTERNAL!G134</f>
        <v>12174148.860819675</v>
      </c>
      <c r="H57" s="7">
        <f>EXTERNAL!H134</f>
        <v>16688677.440204078</v>
      </c>
      <c r="I57" s="7">
        <f>EXTERNAL!I134</f>
        <v>2097598</v>
      </c>
      <c r="J57" s="7">
        <f>EXTERNAL!J134</f>
        <v>854941070.21112633</v>
      </c>
      <c r="K57" s="7">
        <f>EXTERNAL!K134</f>
        <v>182556284</v>
      </c>
    </row>
    <row r="58" spans="1:12" x14ac:dyDescent="0.4">
      <c r="A58" s="20" t="str">
        <f>IF(ISBLANK(C58),"",MAX(A$6:$A57)+1)</f>
        <v/>
      </c>
    </row>
  </sheetData>
  <mergeCells count="10">
    <mergeCell ref="L8:M8"/>
    <mergeCell ref="N8:O8"/>
    <mergeCell ref="P8:Q8"/>
    <mergeCell ref="R8:S8"/>
    <mergeCell ref="D8:D9"/>
    <mergeCell ref="E8:E9"/>
    <mergeCell ref="F8:F9"/>
    <mergeCell ref="G8:G9"/>
    <mergeCell ref="H8:H9"/>
    <mergeCell ref="I8:K8"/>
  </mergeCells>
  <printOptions horizontalCentered="1"/>
  <pageMargins left="0.2" right="0.2" top="1.25" bottom="0.75" header="0.3" footer="0.3"/>
  <pageSetup scale="53" orientation="landscape" r:id="rId1"/>
  <headerFooter>
    <oddHeader>&amp;CCascade Natural Gas Corporation
UG 17 ____
RJA WP - 2.6
Gas Supply Costs
Twelve Months Ended December 31, 2016</oddHeader>
    <oddFooter>&amp;LElectronic Workbook Name: &amp;F
Electronic Tab Name:&amp;A, Page &amp;P of 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681D-93F8-41EC-B826-109494677D53}">
  <sheetPr codeName="Sheet9"/>
  <dimension ref="A1:L29"/>
  <sheetViews>
    <sheetView topLeftCell="A4" workbookViewId="0">
      <selection activeCell="E8" sqref="E8"/>
    </sheetView>
  </sheetViews>
  <sheetFormatPr defaultColWidth="9.23046875" defaultRowHeight="14.6" x14ac:dyDescent="0.4"/>
  <cols>
    <col min="1" max="1" width="4.69140625" style="8" bestFit="1" customWidth="1"/>
    <col min="2" max="2" width="18.15234375" style="8" bestFit="1" customWidth="1"/>
    <col min="3" max="3" width="29.84375" style="8" bestFit="1" customWidth="1"/>
    <col min="4" max="4" width="15.69140625" style="8" bestFit="1" customWidth="1"/>
    <col min="5" max="5" width="13.69140625" style="8" bestFit="1" customWidth="1"/>
    <col min="6" max="6" width="15.69140625" style="8" bestFit="1" customWidth="1"/>
    <col min="7" max="7" width="14.23046875" style="8" bestFit="1" customWidth="1"/>
    <col min="8" max="8" width="14.15234375" style="8" bestFit="1" customWidth="1"/>
    <col min="9" max="10" width="18.53515625" style="8" bestFit="1" customWidth="1"/>
    <col min="11" max="11" width="18.15234375" style="8" bestFit="1" customWidth="1"/>
    <col min="12" max="13" width="13.84375" style="8" bestFit="1" customWidth="1"/>
    <col min="14" max="16384" width="9.23046875" style="8"/>
  </cols>
  <sheetData>
    <row r="1" spans="1:12" x14ac:dyDescent="0.4">
      <c r="A1" s="8" t="str">
        <f>Contents!A1</f>
        <v>Cascade Natural Gas Corp.</v>
      </c>
    </row>
    <row r="2" spans="1:12" x14ac:dyDescent="0.4">
      <c r="A2" s="8" t="s">
        <v>41</v>
      </c>
    </row>
    <row r="6" spans="1:12" ht="34.299999999999997" x14ac:dyDescent="0.7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2" x14ac:dyDescent="0.4">
      <c r="A7" s="20" t="str">
        <f>IF(ISBLANK(B7),"",MAX(A$6:$A6)+1)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2" x14ac:dyDescent="0.4">
      <c r="A8" s="20">
        <f>IF(AND(ISBLANK(B13),ISBLANK(C8)),"",MAX(A$6:$A7)+1)</f>
        <v>1</v>
      </c>
      <c r="C8" s="8" t="s">
        <v>105</v>
      </c>
      <c r="D8" s="18">
        <f t="shared" ref="D8:D13" si="0">SUM(E8:K8)</f>
        <v>18603888</v>
      </c>
      <c r="E8" s="18">
        <f>'[1]Exh JAD-1, Proof of Revenue'!$X$9</f>
        <v>12270960</v>
      </c>
      <c r="F8" s="18">
        <f>'[1]Exh JAD-1, Proof of Revenue'!$X$31</f>
        <v>4314336</v>
      </c>
      <c r="G8" s="18">
        <f>'[1]Exh JAD-1, Proof of Revenue'!$X$53</f>
        <v>356400</v>
      </c>
      <c r="H8" s="18">
        <f>'[1]Exh JAD-1, Proof of Revenue'!$X$77</f>
        <v>148500</v>
      </c>
      <c r="I8" s="18">
        <f>'[1]Exh JAD-1, Proof of Revenue'!$X$102</f>
        <v>13692</v>
      </c>
      <c r="J8" s="18">
        <f>'[1]Exh JAD-1, Proof of Revenue'!$X$126</f>
        <v>1447500</v>
      </c>
      <c r="K8" s="18">
        <f>'[1]Exh JAD-1, Proof of Revenue'!$X$150</f>
        <v>52500</v>
      </c>
    </row>
    <row r="9" spans="1:12" x14ac:dyDescent="0.4">
      <c r="A9" s="20">
        <f>IF(AND(ISBLANK(B14),ISBLANK(C9)),"",MAX(A$6:$A8)+1)</f>
        <v>2</v>
      </c>
      <c r="C9" s="8" t="s">
        <v>107</v>
      </c>
      <c r="D9" s="18">
        <f t="shared" si="0"/>
        <v>97404923.778185681</v>
      </c>
      <c r="E9" s="18">
        <f>'[1]Exh JAD-1, Proof of Revenue'!$X$10</f>
        <v>46405082.966684461</v>
      </c>
      <c r="F9" s="18">
        <f>'[1]Exh JAD-1, Proof of Revenue'!$X$32</f>
        <v>27144049.280462097</v>
      </c>
      <c r="G9" s="18">
        <f>SUM('[1]Exh JAD-1, Proof of Revenue'!$X$54:$X$56)</f>
        <v>2344580.2054416006</v>
      </c>
      <c r="H9" s="18">
        <f>SUM('[1]Exh JAD-1, Proof of Revenue'!$X$78:$X$80)</f>
        <v>2591806.8195457892</v>
      </c>
      <c r="I9" s="18">
        <f>SUM('[1]Exh JAD-1, Proof of Revenue'!$X$103:$X$104)</f>
        <v>153130.89697999999</v>
      </c>
      <c r="J9" s="18">
        <f>SUM('[1]Exh JAD-1, Proof of Revenue'!$X$129:$X$132)</f>
        <v>16213006.479071736</v>
      </c>
      <c r="K9" s="18">
        <f>'[1]Exh JAD-1, Proof of Revenue'!$X$156</f>
        <v>2553267.1299999994</v>
      </c>
      <c r="L9" s="18"/>
    </row>
    <row r="10" spans="1:12" x14ac:dyDescent="0.4">
      <c r="A10" s="20">
        <f>IF(AND(ISBLANK(#REF!),ISBLANK(C10)),"",MAX(A$6:$A9)+1)</f>
        <v>3</v>
      </c>
      <c r="C10" s="8" t="s">
        <v>108</v>
      </c>
      <c r="D10" s="18">
        <f t="shared" si="0"/>
        <v>8533392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f>'[1]Exh JAD-1, Proof of Revenue'!$X$127</f>
        <v>8473392</v>
      </c>
      <c r="K10" s="18">
        <f>'[1]Exh JAD-1, Proof of Revenue'!$X$151</f>
        <v>60000</v>
      </c>
      <c r="L10" s="18"/>
    </row>
    <row r="11" spans="1:12" x14ac:dyDescent="0.4">
      <c r="A11" s="20">
        <f>IF(AND(ISBLANK(#REF!),ISBLANK(C11)),"",MAX(A$6:$A10)+1)</f>
        <v>4</v>
      </c>
      <c r="C11" s="8" t="s">
        <v>109</v>
      </c>
      <c r="D11" s="18">
        <f t="shared" si="0"/>
        <v>412234.32808445056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f>'[1]Exh JAD-1, Proof of Revenue'!$X$128</f>
        <v>341976.42808445054</v>
      </c>
      <c r="K11" s="18">
        <f>'[1]Exh JAD-1, Proof of Revenue'!$X$155</f>
        <v>70257.900000000009</v>
      </c>
      <c r="L11" s="18"/>
    </row>
    <row r="12" spans="1:12" ht="17.149999999999999" x14ac:dyDescent="0.7">
      <c r="A12" s="20">
        <f>IF(AND(ISBLANK(#REF!),ISBLANK(C12)),"",MAX(A$6:$A11)+1)</f>
        <v>5</v>
      </c>
      <c r="C12" s="8" t="s">
        <v>110</v>
      </c>
      <c r="D12" s="29">
        <f t="shared" si="0"/>
        <v>411977.32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>SUM('[1]Exh JAD-1, Proof of Revenue'!$X$152:$X$154)</f>
        <v>411977.32</v>
      </c>
    </row>
    <row r="13" spans="1:12" x14ac:dyDescent="0.4">
      <c r="A13" s="20">
        <f>IF(AND(ISBLANK(#REF!),ISBLANK(C13)),"",MAX(A$6:$A12)+1)</f>
        <v>6</v>
      </c>
      <c r="B13" s="8" t="s">
        <v>32</v>
      </c>
      <c r="C13" s="8" t="s">
        <v>112</v>
      </c>
      <c r="D13" s="18">
        <f t="shared" si="0"/>
        <v>125366415.42627013</v>
      </c>
      <c r="E13" s="18">
        <f t="shared" ref="E13:K13" si="1">SUM(E8:E12)</f>
        <v>58676042.966684461</v>
      </c>
      <c r="F13" s="18">
        <f t="shared" si="1"/>
        <v>31458385.280462097</v>
      </c>
      <c r="G13" s="18">
        <f t="shared" si="1"/>
        <v>2700980.2054416006</v>
      </c>
      <c r="H13" s="18">
        <f t="shared" si="1"/>
        <v>2740306.8195457892</v>
      </c>
      <c r="I13" s="18">
        <f t="shared" si="1"/>
        <v>166822.89697999999</v>
      </c>
      <c r="J13" s="18">
        <f t="shared" si="1"/>
        <v>26475874.907156188</v>
      </c>
      <c r="K13" s="18">
        <f t="shared" si="1"/>
        <v>3148002.3499999992</v>
      </c>
    </row>
    <row r="14" spans="1:12" x14ac:dyDescent="0.4">
      <c r="A14" s="20" t="str">
        <f>IF(AND(ISBLANK(B15),ISBLANK(C14)),"",MAX(A$6:$A13)+1)</f>
        <v/>
      </c>
      <c r="D14" s="7"/>
      <c r="E14" s="7"/>
      <c r="F14" s="7"/>
      <c r="G14" s="7"/>
      <c r="H14" s="7"/>
      <c r="I14" s="7"/>
      <c r="J14" s="7"/>
      <c r="K14" s="7"/>
    </row>
    <row r="15" spans="1:12" x14ac:dyDescent="0.4">
      <c r="A15" s="20">
        <f>IF(AND(ISBLANK(B15),ISBLANK(C15)),"",MAX(A$6:$A14)+1)</f>
        <v>7</v>
      </c>
      <c r="C15" s="8" t="s">
        <v>106</v>
      </c>
      <c r="D15" s="18">
        <f>SUM(E15:K15)</f>
        <v>19501617.060000002</v>
      </c>
      <c r="E15" s="18">
        <f>SUM('[1]Exh JAD-1, Proof of Revenue'!$X$13:$X$26)</f>
        <v>9097128.5300000012</v>
      </c>
      <c r="F15" s="18">
        <f>SUM('[1]Exh JAD-1, Proof of Revenue'!$X$35:$X$48)</f>
        <v>7231696.6499999994</v>
      </c>
      <c r="G15" s="18">
        <f>SUM('[1]Exh JAD-1, Proof of Revenue'!$X$59:$X$72)</f>
        <v>617439.25</v>
      </c>
      <c r="H15" s="18">
        <f>SUM('[1]Exh JAD-1, Proof of Revenue'!$X$83:$X$97)</f>
        <v>617105.17000000004</v>
      </c>
      <c r="I15" s="18">
        <f>SUM('[1]Exh JAD-1, Proof of Revenue'!$X$107:$X$121)</f>
        <v>21203.500000000004</v>
      </c>
      <c r="J15" s="18">
        <f>SUM('[1]Exh JAD-1, Proof of Revenue'!$X$135:$X$145)</f>
        <v>1668355.2300000002</v>
      </c>
      <c r="K15" s="18">
        <f>SUM('[1]Exh JAD-1, Proof of Revenue'!$X$159:$X$160)</f>
        <v>248688.73</v>
      </c>
    </row>
    <row r="16" spans="1:12" x14ac:dyDescent="0.4">
      <c r="A16" s="20" t="str">
        <f>IF(AND(ISBLANK(B16),ISBLANK(C16)),"",MAX(A$6:$A15)+1)</f>
        <v/>
      </c>
      <c r="E16" s="17"/>
      <c r="F16" s="17"/>
      <c r="G16" s="17"/>
      <c r="H16" s="17"/>
      <c r="I16" s="17"/>
      <c r="J16" s="17"/>
      <c r="K16" s="17"/>
    </row>
    <row r="17" spans="1:12" x14ac:dyDescent="0.4">
      <c r="A17" s="20">
        <f>IF(AND(ISBLANK(B17),ISBLANK(C17)),"",MAX(A$6:$A16)+1)</f>
        <v>8</v>
      </c>
      <c r="B17" s="8" t="s">
        <v>33</v>
      </c>
      <c r="C17" s="8" t="s">
        <v>111</v>
      </c>
      <c r="D17" s="18">
        <f>SUM(E17:K17)</f>
        <v>0</v>
      </c>
      <c r="E17" s="18"/>
      <c r="F17" s="18"/>
      <c r="G17" s="18"/>
      <c r="H17" s="18"/>
      <c r="I17" s="18"/>
      <c r="J17" s="18"/>
      <c r="K17" s="18"/>
    </row>
    <row r="18" spans="1:12" x14ac:dyDescent="0.4">
      <c r="A18" s="20" t="str">
        <f>IF(AND(ISBLANK(B18),ISBLANK(C18)),"",MAX(A$6:$A17)+1)</f>
        <v/>
      </c>
      <c r="D18" s="18"/>
      <c r="G18" s="18"/>
      <c r="H18" s="18"/>
      <c r="I18" s="18"/>
      <c r="J18" s="18"/>
      <c r="K18" s="18"/>
    </row>
    <row r="19" spans="1:12" x14ac:dyDescent="0.4">
      <c r="A19" s="20">
        <f>IF(AND(ISBLANK(B19),ISBLANK(C19)),"",MAX(A$6:$A18)+1)</f>
        <v>9</v>
      </c>
      <c r="B19" s="8" t="s">
        <v>35</v>
      </c>
      <c r="C19" s="8" t="s">
        <v>34</v>
      </c>
      <c r="D19" s="21">
        <f>SUM(E19:K19)</f>
        <v>144868032.48627016</v>
      </c>
      <c r="E19" s="18">
        <f>SUM(E13:E18)</f>
        <v>67773171.496684462</v>
      </c>
      <c r="F19" s="18">
        <f t="shared" ref="F19:K19" si="2">SUM(F13:F18)</f>
        <v>38690081.9304621</v>
      </c>
      <c r="G19" s="18">
        <f t="shared" si="2"/>
        <v>3318419.4554416006</v>
      </c>
      <c r="H19" s="18">
        <f t="shared" si="2"/>
        <v>3357411.9895457891</v>
      </c>
      <c r="I19" s="18">
        <f t="shared" si="2"/>
        <v>188026.39697999999</v>
      </c>
      <c r="J19" s="18">
        <f t="shared" si="2"/>
        <v>28144230.137156188</v>
      </c>
      <c r="K19" s="18">
        <f t="shared" si="2"/>
        <v>3396691.0799999991</v>
      </c>
    </row>
    <row r="20" spans="1:12" x14ac:dyDescent="0.4">
      <c r="A20" s="20" t="str">
        <f>IF(AND(ISBLANK(B20),ISBLANK(C20)),"",MAX(A$6:$A19)+1)</f>
        <v/>
      </c>
      <c r="D20" s="21">
        <f>SUM(E20:K20)</f>
        <v>144868032.48627016</v>
      </c>
      <c r="E20" s="18">
        <f>'[1]Exh JAD-1, Proof of Revenue'!$X$27</f>
        <v>67773171.496684447</v>
      </c>
      <c r="F20" s="18">
        <f>'[1]Exh JAD-1, Proof of Revenue'!$X$49</f>
        <v>38690081.9304621</v>
      </c>
      <c r="G20" s="18">
        <f>'[1]Exh JAD-1, Proof of Revenue'!$X$73</f>
        <v>3318419.4554416006</v>
      </c>
      <c r="H20" s="18">
        <f>'[1]Exh JAD-1, Proof of Revenue'!$X$98</f>
        <v>3357411.9895457891</v>
      </c>
      <c r="I20" s="18">
        <f>'[1]Exh JAD-1, Proof of Revenue'!$X$122</f>
        <v>188026.39697999999</v>
      </c>
      <c r="J20" s="18">
        <f>'[1]Exh JAD-1, Proof of Revenue'!$X$146</f>
        <v>28144230.137156188</v>
      </c>
      <c r="K20" s="18">
        <f>'[1]Exh JAD-1, Proof of Revenue'!$X$161</f>
        <v>3396691.0799999996</v>
      </c>
    </row>
    <row r="21" spans="1:12" x14ac:dyDescent="0.4">
      <c r="A21" s="20" t="str">
        <f>IF(AND(ISBLANK(B21),ISBLANK(C21)),"",MAX(A$6:$A20)+1)</f>
        <v/>
      </c>
      <c r="D21" s="21">
        <f>SUM(E21:K21)</f>
        <v>0</v>
      </c>
      <c r="E21" s="21">
        <f>E19-E20</f>
        <v>0</v>
      </c>
      <c r="F21" s="21">
        <f t="shared" ref="F21:K21" si="3">F19-F20</f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</row>
    <row r="22" spans="1:12" x14ac:dyDescent="0.4">
      <c r="A22" s="20" t="str">
        <f>IF(AND(ISBLANK(B22),ISBLANK(C22)),"",MAX(A$6:$A21)+1)</f>
        <v/>
      </c>
    </row>
    <row r="23" spans="1:12" x14ac:dyDescent="0.4">
      <c r="A23" s="20" t="str">
        <f>IF(AND(ISBLANK(B23),ISBLANK(C23)),"",MAX(A$6:$A22)+1)</f>
        <v/>
      </c>
      <c r="D23" s="18"/>
    </row>
    <row r="24" spans="1:12" x14ac:dyDescent="0.4">
      <c r="A24" s="20" t="str">
        <f>IF(AND(ISBLANK(B24),ISBLANK(C24)),"",MAX(A$6:$A23)+1)</f>
        <v/>
      </c>
    </row>
    <row r="25" spans="1:12" x14ac:dyDescent="0.4">
      <c r="A25" s="20" t="str">
        <f>IF(AND(ISBLANK(B25),ISBLANK(C25)),"",MAX(A$6:$A24)+1)</f>
        <v/>
      </c>
      <c r="I25" s="16"/>
      <c r="J25" s="16"/>
      <c r="L25" s="52"/>
    </row>
    <row r="26" spans="1:12" x14ac:dyDescent="0.4">
      <c r="A26" s="20" t="str">
        <f>IF(AND(ISBLANK(B26),ISBLANK(C26)),"",MAX(A$6:$A25)+1)</f>
        <v/>
      </c>
    </row>
    <row r="27" spans="1:12" x14ac:dyDescent="0.4">
      <c r="A27" s="20"/>
      <c r="H27" s="53"/>
      <c r="I27" s="53"/>
    </row>
    <row r="28" spans="1:12" x14ac:dyDescent="0.4">
      <c r="A28" s="20" t="str">
        <f>IF(AND(ISBLANK(B28),ISBLANK(C28)),"",MAX(A$6:$A27)+1)</f>
        <v/>
      </c>
      <c r="I28" s="16"/>
    </row>
    <row r="29" spans="1:12" x14ac:dyDescent="0.4">
      <c r="A29" s="20" t="str">
        <f>IF(AND(ISBLANK(B29),ISBLANK(C29)),"",MAX(A$6:$A28)+1)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CD6F-4D62-4E1A-9ED7-C57A4045D282}">
  <sheetPr codeName="Sheet10"/>
  <dimension ref="A1:K19"/>
  <sheetViews>
    <sheetView topLeftCell="D1" workbookViewId="0">
      <selection activeCell="N33" sqref="N33"/>
    </sheetView>
  </sheetViews>
  <sheetFormatPr defaultRowHeight="14.6" x14ac:dyDescent="0.4"/>
  <cols>
    <col min="1" max="1" width="4.69140625" bestFit="1" customWidth="1"/>
    <col min="2" max="2" width="20.69140625" bestFit="1" customWidth="1"/>
    <col min="3" max="3" width="36.84375" customWidth="1"/>
    <col min="4" max="4" width="16.15234375" bestFit="1" customWidth="1"/>
    <col min="5" max="5" width="12" bestFit="1" customWidth="1"/>
    <col min="6" max="6" width="13.69140625" bestFit="1" customWidth="1"/>
    <col min="7" max="8" width="12.15234375" bestFit="1" customWidth="1"/>
    <col min="9" max="10" width="17.69140625" bestFit="1" customWidth="1"/>
    <col min="11" max="11" width="15.69140625" bestFit="1" customWidth="1"/>
    <col min="13" max="13" width="13.69140625" bestFit="1" customWidth="1"/>
  </cols>
  <sheetData>
    <row r="1" spans="1:11" x14ac:dyDescent="0.4">
      <c r="A1" t="str">
        <f>Contents!A1</f>
        <v>Cascade Natural Gas Corp.</v>
      </c>
    </row>
    <row r="2" spans="1:11" x14ac:dyDescent="0.4">
      <c r="A2" t="s">
        <v>42</v>
      </c>
    </row>
    <row r="6" spans="1:11" ht="34.299999999999997" x14ac:dyDescent="0.7">
      <c r="A6" s="14" t="str">
        <f>EXTERNAL!A5</f>
        <v>Line</v>
      </c>
      <c r="B6" s="23" t="str">
        <f>EXTERNAL!B5</f>
        <v>Allocation Factor</v>
      </c>
      <c r="C6" s="23" t="str">
        <f>EXTERNAL!C5</f>
        <v>Description</v>
      </c>
      <c r="D6" s="14" t="str">
        <f>EXTERNAL!D5</f>
        <v>Total</v>
      </c>
      <c r="E6" s="14" t="str">
        <f>EXTERNAL!E5</f>
        <v>Res
503</v>
      </c>
      <c r="F6" s="14" t="str">
        <f>EXTERNAL!F5</f>
        <v>GSC
504</v>
      </c>
      <c r="G6" s="14" t="str">
        <f>EXTERNAL!G5</f>
        <v>GSI
505</v>
      </c>
      <c r="H6" s="14" t="str">
        <f>EXTERNAL!H5</f>
        <v>GSLV
511</v>
      </c>
      <c r="I6" s="14" t="str">
        <f>EXTERNAL!I5</f>
        <v>Interruptible
570</v>
      </c>
      <c r="J6" s="14" t="str">
        <f>EXTERNAL!J5</f>
        <v>Transport
663</v>
      </c>
      <c r="K6" s="14" t="str">
        <f>EXTERNAL!K5</f>
        <v>Spl Contracts</v>
      </c>
    </row>
    <row r="7" spans="1:11" x14ac:dyDescent="0.4">
      <c r="A7" s="1" t="str">
        <f>IF(ISBLANK(C7),"",MAX(A$6:$A6)+1)</f>
        <v/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">
      <c r="A8" s="20">
        <f>IF(ISBLANK(C8),"",MAX(A$6:$A7)+1)</f>
        <v>1</v>
      </c>
      <c r="B8" t="s">
        <v>15</v>
      </c>
      <c r="C8" s="9" t="s">
        <v>14</v>
      </c>
      <c r="D8" s="7">
        <f>SUM(E8:K8)</f>
        <v>5532364.1770833349</v>
      </c>
      <c r="E8" s="7">
        <v>1492164</v>
      </c>
      <c r="F8" s="7">
        <v>1011683</v>
      </c>
      <c r="G8" s="7">
        <v>100565</v>
      </c>
      <c r="H8" s="7">
        <v>120491</v>
      </c>
      <c r="I8" s="7">
        <f>'[2]3-Day Peak'!$C$7</f>
        <v>9982.3333333333339</v>
      </c>
      <c r="J8" s="7">
        <f>'[2]3-Day Peak'!$C$8</f>
        <v>2202267.544270834</v>
      </c>
      <c r="K8" s="7">
        <f>'[2]3-Day Peak'!$C$9</f>
        <v>595211.29947916674</v>
      </c>
    </row>
    <row r="9" spans="1:11" x14ac:dyDescent="0.4">
      <c r="A9" s="1" t="str">
        <f>IF(ISBLANK(C9),"",MAX(A$6:$A8)+1)</f>
        <v/>
      </c>
      <c r="C9" s="9"/>
    </row>
    <row r="10" spans="1:1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4">
      <c r="A11" s="1" t="str">
        <f>IF(ISBLANK(C11),"",MAX(A$6:$A10)+1)</f>
        <v/>
      </c>
      <c r="C11" s="9"/>
      <c r="D11" s="5"/>
      <c r="E11" s="6"/>
      <c r="F11" s="6"/>
      <c r="G11" s="6"/>
      <c r="H11" s="6"/>
      <c r="I11" s="6"/>
      <c r="J11" s="6"/>
      <c r="K11" s="6"/>
    </row>
    <row r="12" spans="1:11" x14ac:dyDescent="0.4">
      <c r="A12" s="20"/>
      <c r="C12" s="9"/>
    </row>
    <row r="13" spans="1:11" x14ac:dyDescent="0.4">
      <c r="A13" s="1" t="str">
        <f>IF(ISBLANK(C13),"",MAX(A$6:$A12)+1)</f>
        <v/>
      </c>
      <c r="C13" s="9"/>
      <c r="D13" s="5"/>
      <c r="E13" s="6"/>
      <c r="F13" s="6"/>
      <c r="G13" s="6"/>
      <c r="H13" s="6"/>
      <c r="I13" s="6"/>
      <c r="J13" s="42"/>
      <c r="K13" s="6"/>
    </row>
    <row r="15" spans="1:11" x14ac:dyDescent="0.4">
      <c r="A15" s="20" t="str">
        <f>IF(ISBLANK(C15),"",MAX(A$6:$A14)+1)</f>
        <v/>
      </c>
      <c r="C15" s="9"/>
    </row>
    <row r="17" spans="1:11" x14ac:dyDescent="0.4">
      <c r="A17" s="20"/>
      <c r="E17" s="12"/>
      <c r="F17" s="12"/>
      <c r="G17" s="12"/>
      <c r="H17" s="12"/>
      <c r="I17" s="12"/>
      <c r="J17" s="12"/>
      <c r="K17" s="12"/>
    </row>
    <row r="18" spans="1:11" x14ac:dyDescent="0.4">
      <c r="A18" s="20" t="str">
        <f>IF(ISBLANK(C18),"",MAX(A$6:$A17)+1)</f>
        <v/>
      </c>
    </row>
    <row r="19" spans="1:11" x14ac:dyDescent="0.4">
      <c r="A19" s="20" t="str">
        <f>IF(ISBLANK(C19),"",MAX(A$6:$A18)+1)</f>
        <v/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00A7-71E6-4451-A840-3BAF4A1511E8}">
  <sheetPr codeName="Sheet6"/>
  <dimension ref="A1:L27"/>
  <sheetViews>
    <sheetView workbookViewId="0">
      <selection activeCell="P33" sqref="P33"/>
    </sheetView>
  </sheetViews>
  <sheetFormatPr defaultColWidth="9.23046875" defaultRowHeight="14.6" x14ac:dyDescent="0.4"/>
  <cols>
    <col min="1" max="1" width="4.69140625" style="8" bestFit="1" customWidth="1"/>
    <col min="2" max="2" width="20.69140625" style="8" bestFit="1" customWidth="1"/>
    <col min="3" max="3" width="30.3828125" style="8" bestFit="1" customWidth="1"/>
    <col min="4" max="10" width="13.69140625" style="8" customWidth="1"/>
    <col min="11" max="11" width="15.69140625" style="8" bestFit="1" customWidth="1"/>
    <col min="12" max="16384" width="9.23046875" style="8"/>
  </cols>
  <sheetData>
    <row r="1" spans="1:12" x14ac:dyDescent="0.4">
      <c r="A1" s="8" t="str">
        <f>Contents!A1</f>
        <v>Cascade Natural Gas Corp.</v>
      </c>
    </row>
    <row r="2" spans="1:12" x14ac:dyDescent="0.4">
      <c r="A2" s="8" t="s">
        <v>137</v>
      </c>
    </row>
    <row r="6" spans="1:12" ht="34.299999999999997" x14ac:dyDescent="0.7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2" x14ac:dyDescent="0.4">
      <c r="A7" s="20" t="str">
        <f>IF(ISBLANK(C7),"",MAX(A$6:$A6)+1)</f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x14ac:dyDescent="0.4">
      <c r="A8" s="20">
        <f>IF(ISBLANK(C8),"",MAX(A$6:$A7)+1)</f>
        <v>1</v>
      </c>
      <c r="B8" s="8" t="s">
        <v>153</v>
      </c>
      <c r="C8" s="54" t="s">
        <v>43</v>
      </c>
      <c r="D8" s="7">
        <f>SUM(E8:K8)</f>
        <v>630581873</v>
      </c>
      <c r="E8" s="7">
        <f>SUM(E14:E16,E24:E25)</f>
        <v>90106789</v>
      </c>
      <c r="F8" s="7">
        <f t="shared" ref="F8:J8" si="0">SUM(F14:F16,F24:F25)</f>
        <v>63837150</v>
      </c>
      <c r="G8" s="7">
        <f t="shared" si="0"/>
        <v>7179032</v>
      </c>
      <c r="H8" s="7">
        <f t="shared" si="0"/>
        <v>9226278</v>
      </c>
      <c r="I8" s="7">
        <f t="shared" si="0"/>
        <v>1219083</v>
      </c>
      <c r="J8" s="7">
        <f t="shared" si="0"/>
        <v>385612440</v>
      </c>
      <c r="K8" s="7">
        <f>SUM(K14:K16,K24:K25)</f>
        <v>73401101</v>
      </c>
    </row>
    <row r="9" spans="1:12" x14ac:dyDescent="0.4">
      <c r="A9" s="20" t="str">
        <f>IF(ISBLANK(C9),"",MAX(A$6:$A8)+1)</f>
        <v/>
      </c>
      <c r="C9" s="9"/>
      <c r="D9" s="7"/>
      <c r="E9" s="19"/>
      <c r="F9" s="19"/>
      <c r="G9" s="19"/>
      <c r="H9" s="19"/>
      <c r="I9" s="19"/>
      <c r="J9" s="19"/>
      <c r="K9" s="19"/>
      <c r="L9" s="19"/>
    </row>
    <row r="10" spans="1:12" x14ac:dyDescent="0.4">
      <c r="A10" s="20">
        <f>IF(ISBLANK(C10),"",MAX(A$6:$A9)+1)</f>
        <v>2</v>
      </c>
      <c r="B10" s="8" t="s">
        <v>152</v>
      </c>
      <c r="C10" s="9" t="s">
        <v>158</v>
      </c>
      <c r="D10" s="7">
        <f>SUM(E10:K10)</f>
        <v>160239539.14285713</v>
      </c>
      <c r="E10" s="7">
        <f t="shared" ref="E10:J10" si="1">MAX(0,E8-AVERAGE(E17:E23)*5)</f>
        <v>61840812.571428575</v>
      </c>
      <c r="F10" s="7">
        <f t="shared" si="1"/>
        <v>41205797.142857142</v>
      </c>
      <c r="G10" s="7">
        <f t="shared" si="1"/>
        <v>3647405.5714285718</v>
      </c>
      <c r="H10" s="7">
        <f t="shared" si="1"/>
        <v>4582725.1428571427</v>
      </c>
      <c r="I10" s="7">
        <f t="shared" si="1"/>
        <v>591572.28571428568</v>
      </c>
      <c r="J10" s="7">
        <f t="shared" si="1"/>
        <v>48371226.428571403</v>
      </c>
      <c r="K10" s="7">
        <f>MAX(0,K8-AVERAGE(K17:K23)*5)</f>
        <v>0</v>
      </c>
    </row>
    <row r="11" spans="1:12" x14ac:dyDescent="0.4">
      <c r="A11" s="20" t="str">
        <f>IF(ISBLANK(C11),"",MAX(A$6:$A10)+1)</f>
        <v/>
      </c>
      <c r="C11" s="9"/>
      <c r="D11" s="7"/>
      <c r="E11" s="7"/>
      <c r="F11" s="7"/>
      <c r="G11" s="7"/>
      <c r="H11" s="7"/>
      <c r="I11" s="7"/>
      <c r="J11" s="7"/>
      <c r="K11" s="7"/>
    </row>
    <row r="12" spans="1:12" x14ac:dyDescent="0.4">
      <c r="A12" s="20" t="str">
        <f>IF(ISBLANK(C12),"",MAX(A$6:$A11)+1)</f>
        <v/>
      </c>
      <c r="J12" s="19"/>
    </row>
    <row r="13" spans="1:12" x14ac:dyDescent="0.4">
      <c r="A13" s="20">
        <f>IF(ISBLANK(C13),"",MAX(A$6:$A12)+1)</f>
        <v>3</v>
      </c>
      <c r="C13" s="55" t="s">
        <v>138</v>
      </c>
      <c r="E13" s="56">
        <v>503</v>
      </c>
      <c r="F13" s="56">
        <v>504</v>
      </c>
      <c r="G13" s="56">
        <v>505</v>
      </c>
      <c r="H13" s="56">
        <v>511</v>
      </c>
      <c r="I13" s="56">
        <v>570</v>
      </c>
      <c r="J13" s="56">
        <v>663</v>
      </c>
      <c r="K13" s="56" t="s">
        <v>151</v>
      </c>
    </row>
    <row r="14" spans="1:12" x14ac:dyDescent="0.4">
      <c r="A14" s="20">
        <f>IF(ISBLANK(C14),"",MAX(A$6:$A13)+1)</f>
        <v>4</v>
      </c>
      <c r="C14" s="8" t="s">
        <v>139</v>
      </c>
      <c r="E14" s="7">
        <f>INDEX('[5]2023 Billed Volumes'!$B$3:$M$9,MATCH(E$13,'[5]2023 Billed Volumes'!$A$3:$A$9,0),MATCH($C14,'[5]2023 Billed Volumes'!$B$2:$M$2,0))</f>
        <v>24314851</v>
      </c>
      <c r="F14" s="7">
        <f>INDEX('[5]2023 Billed Volumes'!$B$3:$M$9,MATCH(F$13,'[5]2023 Billed Volumes'!$A$3:$A$9,0),MATCH($C14,'[5]2023 Billed Volumes'!$B$2:$M$2,0))</f>
        <v>17497366</v>
      </c>
      <c r="G14" s="7">
        <f>INDEX('[5]2023 Billed Volumes'!$B$3:$M$9,MATCH(G$13,'[5]2023 Billed Volumes'!$A$3:$A$9,0),MATCH($C14,'[5]2023 Billed Volumes'!$B$2:$M$2,0))</f>
        <v>1847894</v>
      </c>
      <c r="H14" s="7">
        <f>INDEX('[5]2023 Billed Volumes'!$B$3:$M$9,MATCH(H$13,'[5]2023 Billed Volumes'!$A$3:$A$9,0),MATCH($C14,'[5]2023 Billed Volumes'!$B$2:$M$2,0))</f>
        <v>2373171</v>
      </c>
      <c r="I14" s="7">
        <f>INDEX('[5]2023 Billed Volumes'!$B$3:$M$9,MATCH(I$13,'[5]2023 Billed Volumes'!$A$3:$A$9,0),MATCH($C14,'[5]2023 Billed Volumes'!$B$2:$M$2,0))</f>
        <v>254735</v>
      </c>
      <c r="J14" s="7">
        <f>INDEX('[5]2023 Billed Volumes'!$B$3:$M$9,MATCH(J$13,'[5]2023 Billed Volumes'!$A$3:$A$9,0),MATCH($C14,'[5]2023 Billed Volumes'!$B$2:$M$2,0))</f>
        <v>73487045</v>
      </c>
      <c r="K14" s="7">
        <f>INDEX('[5]2023 Billed Volumes'!$B$3:$M$9,MATCH(K$13,'[5]2023 Billed Volumes'!$A$3:$A$9,0),MATCH($C14,'[5]2023 Billed Volumes'!$B$2:$M$2,0))</f>
        <v>8337359</v>
      </c>
    </row>
    <row r="15" spans="1:12" x14ac:dyDescent="0.4">
      <c r="A15" s="20">
        <f>IF(ISBLANK(C15),"",MAX(A$6:$A14)+1)</f>
        <v>5</v>
      </c>
      <c r="C15" s="8" t="s">
        <v>140</v>
      </c>
      <c r="E15" s="7">
        <f>INDEX('[5]2023 Billed Volumes'!$B$3:$M$9,MATCH(E$13,'[5]2023 Billed Volumes'!$A$3:$A$9,0),MATCH($C15,'[5]2023 Billed Volumes'!$B$2:$M$2,0))</f>
        <v>18035854</v>
      </c>
      <c r="F15" s="7">
        <f>INDEX('[5]2023 Billed Volumes'!$B$3:$M$9,MATCH(F$13,'[5]2023 Billed Volumes'!$A$3:$A$9,0),MATCH($C15,'[5]2023 Billed Volumes'!$B$2:$M$2,0))</f>
        <v>12889131</v>
      </c>
      <c r="G15" s="7">
        <f>INDEX('[5]2023 Billed Volumes'!$B$3:$M$9,MATCH(G$13,'[5]2023 Billed Volumes'!$A$3:$A$9,0),MATCH($C15,'[5]2023 Billed Volumes'!$B$2:$M$2,0))</f>
        <v>1334925</v>
      </c>
      <c r="H15" s="7">
        <f>INDEX('[5]2023 Billed Volumes'!$B$3:$M$9,MATCH(H$13,'[5]2023 Billed Volumes'!$A$3:$A$9,0),MATCH($C15,'[5]2023 Billed Volumes'!$B$2:$M$2,0))</f>
        <v>2051740</v>
      </c>
      <c r="I15" s="7">
        <f>INDEX('[5]2023 Billed Volumes'!$B$3:$M$9,MATCH(I$13,'[5]2023 Billed Volumes'!$A$3:$A$9,0),MATCH($C15,'[5]2023 Billed Volumes'!$B$2:$M$2,0))</f>
        <v>233311</v>
      </c>
      <c r="J15" s="7">
        <f>INDEX('[5]2023 Billed Volumes'!$B$3:$M$9,MATCH(J$13,'[5]2023 Billed Volumes'!$A$3:$A$9,0),MATCH($C15,'[5]2023 Billed Volumes'!$B$2:$M$2,0))</f>
        <v>61785704</v>
      </c>
      <c r="K15" s="7">
        <f>INDEX('[5]2023 Billed Volumes'!$B$3:$M$9,MATCH(K$13,'[5]2023 Billed Volumes'!$A$3:$A$9,0),MATCH($C15,'[5]2023 Billed Volumes'!$B$2:$M$2,0))</f>
        <v>8547050</v>
      </c>
    </row>
    <row r="16" spans="1:12" x14ac:dyDescent="0.4">
      <c r="A16" s="20">
        <f>IF(ISBLANK(C16),"",MAX(A$6:$A15)+1)</f>
        <v>6</v>
      </c>
      <c r="C16" s="8" t="s">
        <v>141</v>
      </c>
      <c r="E16" s="7">
        <f>INDEX('[5]2023 Billed Volumes'!$B$3:$M$9,MATCH(E$13,'[5]2023 Billed Volumes'!$A$3:$A$9,0),MATCH($C16,'[5]2023 Billed Volumes'!$B$2:$M$2,0))</f>
        <v>21145013</v>
      </c>
      <c r="F16" s="7">
        <f>INDEX('[5]2023 Billed Volumes'!$B$3:$M$9,MATCH(F$13,'[5]2023 Billed Volumes'!$A$3:$A$9,0),MATCH($C16,'[5]2023 Billed Volumes'!$B$2:$M$2,0))</f>
        <v>14820590</v>
      </c>
      <c r="G16" s="7">
        <f>INDEX('[5]2023 Billed Volumes'!$B$3:$M$9,MATCH(G$13,'[5]2023 Billed Volumes'!$A$3:$A$9,0),MATCH($C16,'[5]2023 Billed Volumes'!$B$2:$M$2,0))</f>
        <v>1649201</v>
      </c>
      <c r="H16" s="7">
        <f>INDEX('[5]2023 Billed Volumes'!$B$3:$M$9,MATCH(H$13,'[5]2023 Billed Volumes'!$A$3:$A$9,0),MATCH($C16,'[5]2023 Billed Volumes'!$B$2:$M$2,0))</f>
        <v>1995561</v>
      </c>
      <c r="I16" s="7">
        <f>INDEX('[5]2023 Billed Volumes'!$B$3:$M$9,MATCH(I$13,'[5]2023 Billed Volumes'!$A$3:$A$9,0),MATCH($C16,'[5]2023 Billed Volumes'!$B$2:$M$2,0))</f>
        <v>244613</v>
      </c>
      <c r="J16" s="7">
        <f>INDEX('[5]2023 Billed Volumes'!$B$3:$M$9,MATCH(J$13,'[5]2023 Billed Volumes'!$A$3:$A$9,0),MATCH($C16,'[5]2023 Billed Volumes'!$B$2:$M$2,0))</f>
        <v>79892808</v>
      </c>
      <c r="K16" s="7">
        <f>INDEX('[5]2023 Billed Volumes'!$B$3:$M$9,MATCH(K$13,'[5]2023 Billed Volumes'!$A$3:$A$9,0),MATCH($C16,'[5]2023 Billed Volumes'!$B$2:$M$2,0))</f>
        <v>18010725</v>
      </c>
    </row>
    <row r="17" spans="1:11" x14ac:dyDescent="0.4">
      <c r="A17" s="20">
        <f>IF(ISBLANK(C17),"",MAX(A$6:$A16)+1)</f>
        <v>7</v>
      </c>
      <c r="C17" s="8" t="s">
        <v>142</v>
      </c>
      <c r="E17" s="7">
        <f>INDEX('[5]2023 Billed Volumes'!$B$3:$M$9,MATCH(E$13,'[5]2023 Billed Volumes'!$A$3:$A$9,0),MATCH($C17,'[5]2023 Billed Volumes'!$B$2:$M$2,0))</f>
        <v>13346079</v>
      </c>
      <c r="F17" s="7">
        <f>INDEX('[5]2023 Billed Volumes'!$B$3:$M$9,MATCH(F$13,'[5]2023 Billed Volumes'!$A$3:$A$9,0),MATCH($C17,'[5]2023 Billed Volumes'!$B$2:$M$2,0))</f>
        <v>9539511</v>
      </c>
      <c r="G17" s="7">
        <f>INDEX('[5]2023 Billed Volumes'!$B$3:$M$9,MATCH(G$13,'[5]2023 Billed Volumes'!$A$3:$A$9,0),MATCH($C17,'[5]2023 Billed Volumes'!$B$2:$M$2,0))</f>
        <v>1137710</v>
      </c>
      <c r="H17" s="7">
        <f>INDEX('[5]2023 Billed Volumes'!$B$3:$M$9,MATCH(H$13,'[5]2023 Billed Volumes'!$A$3:$A$9,0),MATCH($C17,'[5]2023 Billed Volumes'!$B$2:$M$2,0))</f>
        <v>1342364</v>
      </c>
      <c r="I17" s="7">
        <f>INDEX('[5]2023 Billed Volumes'!$B$3:$M$9,MATCH(I$13,'[5]2023 Billed Volumes'!$A$3:$A$9,0),MATCH($C17,'[5]2023 Billed Volumes'!$B$2:$M$2,0))</f>
        <v>207895</v>
      </c>
      <c r="J17" s="7">
        <f>INDEX('[5]2023 Billed Volumes'!$B$3:$M$9,MATCH(J$13,'[5]2023 Billed Volumes'!$A$3:$A$9,0),MATCH($C17,'[5]2023 Billed Volumes'!$B$2:$M$2,0))</f>
        <v>71305689</v>
      </c>
      <c r="K17" s="7">
        <f>INDEX('[5]2023 Billed Volumes'!$B$3:$M$9,MATCH(K$13,'[5]2023 Billed Volumes'!$A$3:$A$9,0),MATCH($C17,'[5]2023 Billed Volumes'!$B$2:$M$2,0))</f>
        <v>16295559</v>
      </c>
    </row>
    <row r="18" spans="1:11" x14ac:dyDescent="0.4">
      <c r="A18" s="20">
        <f>IF(ISBLANK(C18),"",MAX(A$6:$A17)+1)</f>
        <v>8</v>
      </c>
      <c r="C18" s="8" t="s">
        <v>143</v>
      </c>
      <c r="E18" s="7">
        <f>INDEX('[5]2023 Billed Volumes'!$B$3:$M$9,MATCH(E$13,'[5]2023 Billed Volumes'!$A$3:$A$9,0),MATCH($C18,'[5]2023 Billed Volumes'!$B$2:$M$2,0))</f>
        <v>9011479</v>
      </c>
      <c r="F18" s="7">
        <f>INDEX('[5]2023 Billed Volumes'!$B$3:$M$9,MATCH(F$13,'[5]2023 Billed Volumes'!$A$3:$A$9,0),MATCH($C18,'[5]2023 Billed Volumes'!$B$2:$M$2,0))</f>
        <v>6739982</v>
      </c>
      <c r="G18" s="7">
        <f>INDEX('[5]2023 Billed Volumes'!$B$3:$M$9,MATCH(G$13,'[5]2023 Billed Volumes'!$A$3:$A$9,0),MATCH($C18,'[5]2023 Billed Volumes'!$B$2:$M$2,0))</f>
        <v>887724</v>
      </c>
      <c r="H18" s="7">
        <f>INDEX('[5]2023 Billed Volumes'!$B$3:$M$9,MATCH(H$13,'[5]2023 Billed Volumes'!$A$3:$A$9,0),MATCH($C18,'[5]2023 Billed Volumes'!$B$2:$M$2,0))</f>
        <v>1152898</v>
      </c>
      <c r="I18" s="7">
        <f>INDEX('[5]2023 Billed Volumes'!$B$3:$M$9,MATCH(I$13,'[5]2023 Billed Volumes'!$A$3:$A$9,0),MATCH($C18,'[5]2023 Billed Volumes'!$B$2:$M$2,0))</f>
        <v>123718</v>
      </c>
      <c r="J18" s="7">
        <f>INDEX('[5]2023 Billed Volumes'!$B$3:$M$9,MATCH(J$13,'[5]2023 Billed Volumes'!$A$3:$A$9,0),MATCH($C18,'[5]2023 Billed Volumes'!$B$2:$M$2,0))</f>
        <v>37542909</v>
      </c>
      <c r="K18" s="7">
        <f>INDEX('[5]2023 Billed Volumes'!$B$3:$M$9,MATCH(K$13,'[5]2023 Billed Volumes'!$A$3:$A$9,0),MATCH($C18,'[5]2023 Billed Volumes'!$B$2:$M$2,0))</f>
        <v>3770605</v>
      </c>
    </row>
    <row r="19" spans="1:11" x14ac:dyDescent="0.4">
      <c r="A19" s="20">
        <f>IF(ISBLANK(C19),"",MAX(A$6:$A18)+1)</f>
        <v>9</v>
      </c>
      <c r="C19" s="8" t="s">
        <v>144</v>
      </c>
      <c r="E19" s="7">
        <f>INDEX('[5]2023 Billed Volumes'!$B$3:$M$9,MATCH(E$13,'[5]2023 Billed Volumes'!$A$3:$A$9,0),MATCH($C19,'[5]2023 Billed Volumes'!$B$2:$M$2,0))</f>
        <v>4177396</v>
      </c>
      <c r="F19" s="7">
        <f>INDEX('[5]2023 Billed Volumes'!$B$3:$M$9,MATCH(F$13,'[5]2023 Billed Volumes'!$A$3:$A$9,0),MATCH($C19,'[5]2023 Billed Volumes'!$B$2:$M$2,0))</f>
        <v>3568933</v>
      </c>
      <c r="G19" s="7">
        <f>INDEX('[5]2023 Billed Volumes'!$B$3:$M$9,MATCH(G$13,'[5]2023 Billed Volumes'!$A$3:$A$9,0),MATCH($C19,'[5]2023 Billed Volumes'!$B$2:$M$2,0))</f>
        <v>539445</v>
      </c>
      <c r="H19" s="7">
        <f>INDEX('[5]2023 Billed Volumes'!$B$3:$M$9,MATCH(H$13,'[5]2023 Billed Volumes'!$A$3:$A$9,0),MATCH($C19,'[5]2023 Billed Volumes'!$B$2:$M$2,0))</f>
        <v>728842</v>
      </c>
      <c r="I19" s="7">
        <f>INDEX('[5]2023 Billed Volumes'!$B$3:$M$9,MATCH(I$13,'[5]2023 Billed Volumes'!$A$3:$A$9,0),MATCH($C19,'[5]2023 Billed Volumes'!$B$2:$M$2,0))</f>
        <v>98688</v>
      </c>
      <c r="J19" s="7">
        <f>INDEX('[5]2023 Billed Volumes'!$B$3:$M$9,MATCH(J$13,'[5]2023 Billed Volumes'!$A$3:$A$9,0),MATCH($C19,'[5]2023 Billed Volumes'!$B$2:$M$2,0))</f>
        <v>40867560</v>
      </c>
      <c r="K19" s="7">
        <f>INDEX('[5]2023 Billed Volumes'!$B$3:$M$9,MATCH(K$13,'[5]2023 Billed Volumes'!$A$3:$A$9,0),MATCH($C19,'[5]2023 Billed Volumes'!$B$2:$M$2,0))</f>
        <v>14979732</v>
      </c>
    </row>
    <row r="20" spans="1:11" x14ac:dyDescent="0.4">
      <c r="A20" s="20">
        <f>IF(ISBLANK(C20),"",MAX(A$6:$A19)+1)</f>
        <v>10</v>
      </c>
      <c r="C20" s="8" t="s">
        <v>145</v>
      </c>
      <c r="E20" s="7">
        <f>INDEX('[5]2023 Billed Volumes'!$B$3:$M$9,MATCH(E$13,'[5]2023 Billed Volumes'!$A$3:$A$9,0),MATCH($C20,'[5]2023 Billed Volumes'!$B$2:$M$2,0))</f>
        <v>3115264</v>
      </c>
      <c r="F20" s="7">
        <f>INDEX('[5]2023 Billed Volumes'!$B$3:$M$9,MATCH(F$13,'[5]2023 Billed Volumes'!$A$3:$A$9,0),MATCH($C20,'[5]2023 Billed Volumes'!$B$2:$M$2,0))</f>
        <v>2800805</v>
      </c>
      <c r="G20" s="7">
        <f>INDEX('[5]2023 Billed Volumes'!$B$3:$M$9,MATCH(G$13,'[5]2023 Billed Volumes'!$A$3:$A$9,0),MATCH($C20,'[5]2023 Billed Volumes'!$B$2:$M$2,0))</f>
        <v>439676</v>
      </c>
      <c r="H20" s="7">
        <f>INDEX('[5]2023 Billed Volumes'!$B$3:$M$9,MATCH(H$13,'[5]2023 Billed Volumes'!$A$3:$A$9,0),MATCH($C20,'[5]2023 Billed Volumes'!$B$2:$M$2,0))</f>
        <v>961638</v>
      </c>
      <c r="I20" s="7">
        <f>INDEX('[5]2023 Billed Volumes'!$B$3:$M$9,MATCH(I$13,'[5]2023 Billed Volumes'!$A$3:$A$9,0),MATCH($C20,'[5]2023 Billed Volumes'!$B$2:$M$2,0))</f>
        <v>86202</v>
      </c>
      <c r="J20" s="7">
        <f>INDEX('[5]2023 Billed Volumes'!$B$3:$M$9,MATCH(J$13,'[5]2023 Billed Volumes'!$A$3:$A$9,0),MATCH($C20,'[5]2023 Billed Volumes'!$B$2:$M$2,0))</f>
        <v>71703139</v>
      </c>
      <c r="K20" s="7">
        <f>INDEX('[5]2023 Billed Volumes'!$B$3:$M$9,MATCH(K$13,'[5]2023 Billed Volumes'!$A$3:$A$9,0),MATCH($C20,'[5]2023 Billed Volumes'!$B$2:$M$2,0))</f>
        <v>23718414</v>
      </c>
    </row>
    <row r="21" spans="1:11" x14ac:dyDescent="0.4">
      <c r="A21" s="20">
        <f>IF(ISBLANK(C21),"",MAX(A$6:$A20)+1)</f>
        <v>11</v>
      </c>
      <c r="C21" s="8" t="s">
        <v>146</v>
      </c>
      <c r="E21" s="7">
        <f>INDEX('[5]2023 Billed Volumes'!$B$3:$M$9,MATCH(E$13,'[5]2023 Billed Volumes'!$A$3:$A$9,0),MATCH($C21,'[5]2023 Billed Volumes'!$B$2:$M$2,0))</f>
        <v>2764197</v>
      </c>
      <c r="F21" s="7">
        <f>INDEX('[5]2023 Billed Volumes'!$B$3:$M$9,MATCH(F$13,'[5]2023 Billed Volumes'!$A$3:$A$9,0),MATCH($C21,'[5]2023 Billed Volumes'!$B$2:$M$2,0))</f>
        <v>2712547</v>
      </c>
      <c r="G21" s="7">
        <f>INDEX('[5]2023 Billed Volumes'!$B$3:$M$9,MATCH(G$13,'[5]2023 Billed Volumes'!$A$3:$A$9,0),MATCH($C21,'[5]2023 Billed Volumes'!$B$2:$M$2,0))</f>
        <v>485379</v>
      </c>
      <c r="H21" s="7">
        <f>INDEX('[5]2023 Billed Volumes'!$B$3:$M$9,MATCH(H$13,'[5]2023 Billed Volumes'!$A$3:$A$9,0),MATCH($C21,'[5]2023 Billed Volumes'!$B$2:$M$2,0))</f>
        <v>970279</v>
      </c>
      <c r="I21" s="7">
        <f>INDEX('[5]2023 Billed Volumes'!$B$3:$M$9,MATCH(I$13,'[5]2023 Billed Volumes'!$A$3:$A$9,0),MATCH($C21,'[5]2023 Billed Volumes'!$B$2:$M$2,0))</f>
        <v>85131</v>
      </c>
      <c r="J21" s="7">
        <f>INDEX('[5]2023 Billed Volumes'!$B$3:$M$9,MATCH(J$13,'[5]2023 Billed Volumes'!$A$3:$A$9,0),MATCH($C21,'[5]2023 Billed Volumes'!$B$2:$M$2,0))</f>
        <v>81641857</v>
      </c>
      <c r="K21" s="7">
        <f>INDEX('[5]2023 Billed Volumes'!$B$3:$M$9,MATCH(K$13,'[5]2023 Billed Volumes'!$A$3:$A$9,0),MATCH($C21,'[5]2023 Billed Volumes'!$B$2:$M$2,0))</f>
        <v>20768653</v>
      </c>
    </row>
    <row r="22" spans="1:11" x14ac:dyDescent="0.4">
      <c r="A22" s="20">
        <f>IF(ISBLANK(C22),"",MAX(A$6:$A21)+1)</f>
        <v>12</v>
      </c>
      <c r="C22" s="8" t="s">
        <v>147</v>
      </c>
      <c r="E22" s="7">
        <f>INDEX('[5]2023 Billed Volumes'!$B$3:$M$9,MATCH(E$13,'[5]2023 Billed Volumes'!$A$3:$A$9,0),MATCH($C22,'[5]2023 Billed Volumes'!$B$2:$M$2,0))</f>
        <v>2669617</v>
      </c>
      <c r="F22" s="7">
        <f>INDEX('[5]2023 Billed Volumes'!$B$3:$M$9,MATCH(F$13,'[5]2023 Billed Volumes'!$A$3:$A$9,0),MATCH($C22,'[5]2023 Billed Volumes'!$B$2:$M$2,0))</f>
        <v>2578576</v>
      </c>
      <c r="G22" s="7">
        <f>INDEX('[5]2023 Billed Volumes'!$B$3:$M$9,MATCH(G$13,'[5]2023 Billed Volumes'!$A$3:$A$9,0),MATCH($C22,'[5]2023 Billed Volumes'!$B$2:$M$2,0))</f>
        <v>534789</v>
      </c>
      <c r="H22" s="7">
        <f>INDEX('[5]2023 Billed Volumes'!$B$3:$M$9,MATCH(H$13,'[5]2023 Billed Volumes'!$A$3:$A$9,0),MATCH($C22,'[5]2023 Billed Volumes'!$B$2:$M$2,0))</f>
        <v>511089</v>
      </c>
      <c r="I22" s="7">
        <f>INDEX('[5]2023 Billed Volumes'!$B$3:$M$9,MATCH(I$13,'[5]2023 Billed Volumes'!$A$3:$A$9,0),MATCH($C22,'[5]2023 Billed Volumes'!$B$2:$M$2,0))</f>
        <v>107273</v>
      </c>
      <c r="J22" s="7">
        <f>INDEX('[5]2023 Billed Volumes'!$B$3:$M$9,MATCH(J$13,'[5]2023 Billed Volumes'!$A$3:$A$9,0),MATCH($C22,'[5]2023 Billed Volumes'!$B$2:$M$2,0))</f>
        <v>85129383</v>
      </c>
      <c r="K22" s="7">
        <f>INDEX('[5]2023 Billed Volumes'!$B$3:$M$9,MATCH(K$13,'[5]2023 Billed Volumes'!$A$3:$A$9,0),MATCH($C22,'[5]2023 Billed Volumes'!$B$2:$M$2,0))</f>
        <v>22272302</v>
      </c>
    </row>
    <row r="23" spans="1:11" x14ac:dyDescent="0.4">
      <c r="A23" s="20">
        <f>IF(ISBLANK(C23),"",MAX(A$6:$A22)+1)</f>
        <v>13</v>
      </c>
      <c r="C23" s="8" t="s">
        <v>148</v>
      </c>
      <c r="E23" s="7">
        <f>INDEX('[5]2023 Billed Volumes'!$B$3:$M$9,MATCH(E$13,'[5]2023 Billed Volumes'!$A$3:$A$9,0),MATCH($C23,'[5]2023 Billed Volumes'!$B$2:$M$2,0))</f>
        <v>4488335</v>
      </c>
      <c r="F23" s="7">
        <f>INDEX('[5]2023 Billed Volumes'!$B$3:$M$9,MATCH(F$13,'[5]2023 Billed Volumes'!$A$3:$A$9,0),MATCH($C23,'[5]2023 Billed Volumes'!$B$2:$M$2,0))</f>
        <v>3743540</v>
      </c>
      <c r="G23" s="7">
        <f>INDEX('[5]2023 Billed Volumes'!$B$3:$M$9,MATCH(G$13,'[5]2023 Billed Volumes'!$A$3:$A$9,0),MATCH($C23,'[5]2023 Billed Volumes'!$B$2:$M$2,0))</f>
        <v>919554</v>
      </c>
      <c r="H23" s="7">
        <f>INDEX('[5]2023 Billed Volumes'!$B$3:$M$9,MATCH(H$13,'[5]2023 Billed Volumes'!$A$3:$A$9,0),MATCH($C23,'[5]2023 Billed Volumes'!$B$2:$M$2,0))</f>
        <v>833864</v>
      </c>
      <c r="I23" s="7">
        <f>INDEX('[5]2023 Billed Volumes'!$B$3:$M$9,MATCH(I$13,'[5]2023 Billed Volumes'!$A$3:$A$9,0),MATCH($C23,'[5]2023 Billed Volumes'!$B$2:$M$2,0))</f>
        <v>169608</v>
      </c>
      <c r="J23" s="7">
        <f>INDEX('[5]2023 Billed Volumes'!$B$3:$M$9,MATCH(J$13,'[5]2023 Billed Volumes'!$A$3:$A$9,0),MATCH($C23,'[5]2023 Billed Volumes'!$B$2:$M$2,0))</f>
        <v>83947162</v>
      </c>
      <c r="K23" s="7">
        <f>INDEX('[5]2023 Billed Volumes'!$B$3:$M$9,MATCH(K$13,'[5]2023 Billed Volumes'!$A$3:$A$9,0),MATCH($C23,'[5]2023 Billed Volumes'!$B$2:$M$2,0))</f>
        <v>7349918</v>
      </c>
    </row>
    <row r="24" spans="1:11" x14ac:dyDescent="0.4">
      <c r="A24" s="20">
        <f>IF(ISBLANK(C24),"",MAX(A$6:$A23)+1)</f>
        <v>14</v>
      </c>
      <c r="C24" s="8" t="s">
        <v>149</v>
      </c>
      <c r="E24" s="7">
        <f>INDEX('[5]2023 Billed Volumes'!$B$3:$M$9,MATCH(E$13,'[5]2023 Billed Volumes'!$A$3:$A$9,0),MATCH($C24,'[5]2023 Billed Volumes'!$B$2:$M$2,0))</f>
        <v>9481292</v>
      </c>
      <c r="F24" s="7">
        <f>INDEX('[5]2023 Billed Volumes'!$B$3:$M$9,MATCH(F$13,'[5]2023 Billed Volumes'!$A$3:$A$9,0),MATCH($C24,'[5]2023 Billed Volumes'!$B$2:$M$2,0))</f>
        <v>6631639</v>
      </c>
      <c r="G24" s="7">
        <f>INDEX('[5]2023 Billed Volumes'!$B$3:$M$9,MATCH(G$13,'[5]2023 Billed Volumes'!$A$3:$A$9,0),MATCH($C24,'[5]2023 Billed Volumes'!$B$2:$M$2,0))</f>
        <v>989405</v>
      </c>
      <c r="H24" s="7">
        <f>INDEX('[5]2023 Billed Volumes'!$B$3:$M$9,MATCH(H$13,'[5]2023 Billed Volumes'!$A$3:$A$9,0),MATCH($C24,'[5]2023 Billed Volumes'!$B$2:$M$2,0))</f>
        <v>1133746</v>
      </c>
      <c r="I24" s="7">
        <f>INDEX('[5]2023 Billed Volumes'!$B$3:$M$9,MATCH(I$13,'[5]2023 Billed Volumes'!$A$3:$A$9,0),MATCH($C24,'[5]2023 Billed Volumes'!$B$2:$M$2,0))</f>
        <v>236897</v>
      </c>
      <c r="J24" s="7">
        <f>INDEX('[5]2023 Billed Volumes'!$B$3:$M$9,MATCH(J$13,'[5]2023 Billed Volumes'!$A$3:$A$9,0),MATCH($C24,'[5]2023 Billed Volumes'!$B$2:$M$2,0))</f>
        <v>83904330</v>
      </c>
      <c r="K24" s="7">
        <f>INDEX('[5]2023 Billed Volumes'!$B$3:$M$9,MATCH(K$13,'[5]2023 Billed Volumes'!$A$3:$A$9,0),MATCH($C24,'[5]2023 Billed Volumes'!$B$2:$M$2,0))</f>
        <v>18017945</v>
      </c>
    </row>
    <row r="25" spans="1:11" x14ac:dyDescent="0.4">
      <c r="A25" s="20">
        <f>IF(ISBLANK(C25),"",MAX(A$6:$A24)+1)</f>
        <v>15</v>
      </c>
      <c r="C25" s="8" t="s">
        <v>150</v>
      </c>
      <c r="E25" s="7">
        <f>INDEX('[5]2023 Billed Volumes'!$B$3:$M$9,MATCH(E$13,'[5]2023 Billed Volumes'!$A$3:$A$9,0),MATCH($C25,'[5]2023 Billed Volumes'!$B$2:$M$2,0))</f>
        <v>17129779</v>
      </c>
      <c r="F25" s="7">
        <f>INDEX('[5]2023 Billed Volumes'!$B$3:$M$9,MATCH(F$13,'[5]2023 Billed Volumes'!$A$3:$A$9,0),MATCH($C25,'[5]2023 Billed Volumes'!$B$2:$M$2,0))</f>
        <v>11998424</v>
      </c>
      <c r="G25" s="7">
        <f>INDEX('[5]2023 Billed Volumes'!$B$3:$M$9,MATCH(G$13,'[5]2023 Billed Volumes'!$A$3:$A$9,0),MATCH($C25,'[5]2023 Billed Volumes'!$B$2:$M$2,0))</f>
        <v>1357607</v>
      </c>
      <c r="H25" s="7">
        <f>INDEX('[5]2023 Billed Volumes'!$B$3:$M$9,MATCH(H$13,'[5]2023 Billed Volumes'!$A$3:$A$9,0),MATCH($C25,'[5]2023 Billed Volumes'!$B$2:$M$2,0))</f>
        <v>1672060</v>
      </c>
      <c r="I25" s="7">
        <f>INDEX('[5]2023 Billed Volumes'!$B$3:$M$9,MATCH(I$13,'[5]2023 Billed Volumes'!$A$3:$A$9,0),MATCH($C25,'[5]2023 Billed Volumes'!$B$2:$M$2,0))</f>
        <v>249527</v>
      </c>
      <c r="J25" s="7">
        <f>INDEX('[5]2023 Billed Volumes'!$B$3:$M$9,MATCH(J$13,'[5]2023 Billed Volumes'!$A$3:$A$9,0),MATCH($C25,'[5]2023 Billed Volumes'!$B$2:$M$2,0))</f>
        <v>86542553</v>
      </c>
      <c r="K25" s="7">
        <f>INDEX('[5]2023 Billed Volumes'!$B$3:$M$9,MATCH(K$13,'[5]2023 Billed Volumes'!$A$3:$A$9,0),MATCH($C25,'[5]2023 Billed Volumes'!$B$2:$M$2,0))</f>
        <v>20488022</v>
      </c>
    </row>
    <row r="26" spans="1:11" x14ac:dyDescent="0.4">
      <c r="A26" s="20">
        <f>IF(ISBLANK(C26),"",MAX(A$6:$A25)+1)</f>
        <v>16</v>
      </c>
      <c r="C26" s="8" t="s">
        <v>12</v>
      </c>
      <c r="E26" s="47">
        <f t="shared" ref="E26:K26" si="2">SUM(E14:E25)</f>
        <v>129679156</v>
      </c>
      <c r="F26" s="47">
        <f t="shared" si="2"/>
        <v>95521044</v>
      </c>
      <c r="G26" s="47">
        <f t="shared" si="2"/>
        <v>12123309</v>
      </c>
      <c r="H26" s="47">
        <f t="shared" si="2"/>
        <v>15727252</v>
      </c>
      <c r="I26" s="47">
        <f t="shared" si="2"/>
        <v>2097598</v>
      </c>
      <c r="J26" s="47">
        <f t="shared" si="2"/>
        <v>857750139</v>
      </c>
      <c r="K26" s="47">
        <f t="shared" si="2"/>
        <v>182556284</v>
      </c>
    </row>
    <row r="27" spans="1:11" x14ac:dyDescent="0.4">
      <c r="A27" s="20" t="str">
        <f>IF(ISBLANK(C27),"",MAX(A$6:$A26)+1)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B099-295B-49AA-8364-1A9806D3A4FB}">
  <sheetPr codeName="Sheet20"/>
  <dimension ref="A1:J45"/>
  <sheetViews>
    <sheetView workbookViewId="0">
      <selection activeCell="F20" sqref="F20"/>
    </sheetView>
  </sheetViews>
  <sheetFormatPr defaultColWidth="8.69140625" defaultRowHeight="14.6" x14ac:dyDescent="0.4"/>
  <cols>
    <col min="1" max="1" width="4.69140625" style="8" bestFit="1" customWidth="1"/>
    <col min="2" max="2" width="27.84375" style="8" bestFit="1" customWidth="1"/>
    <col min="3" max="3" width="14.3828125" style="8" customWidth="1"/>
    <col min="4" max="10" width="13.15234375" style="8" customWidth="1"/>
    <col min="11" max="16384" width="8.69140625" style="8"/>
  </cols>
  <sheetData>
    <row r="1" spans="1:10" x14ac:dyDescent="0.4">
      <c r="A1" s="8" t="str">
        <f>Contents!A1</f>
        <v>Cascade Natural Gas Corp.</v>
      </c>
    </row>
    <row r="2" spans="1:10" x14ac:dyDescent="0.4">
      <c r="A2" s="8" t="s">
        <v>185</v>
      </c>
    </row>
    <row r="4" spans="1:10" x14ac:dyDescent="0.4">
      <c r="A4" s="8" t="s">
        <v>186</v>
      </c>
    </row>
    <row r="6" spans="1:10" ht="34.299999999999997" x14ac:dyDescent="0.7">
      <c r="A6" s="26" t="str">
        <f>EXTERNAL!A5</f>
        <v>Line</v>
      </c>
      <c r="B6" s="50" t="s">
        <v>197</v>
      </c>
      <c r="C6" s="26" t="str">
        <f>EXTERNAL!D5</f>
        <v>Total</v>
      </c>
      <c r="D6" s="26" t="str">
        <f>EXTERNAL!E5</f>
        <v>Res
503</v>
      </c>
      <c r="E6" s="26" t="str">
        <f>EXTERNAL!F5</f>
        <v>GSC
504</v>
      </c>
      <c r="F6" s="26" t="str">
        <f>EXTERNAL!G5</f>
        <v>GSI
505</v>
      </c>
      <c r="G6" s="26" t="str">
        <f>EXTERNAL!H5</f>
        <v>GSLV
511</v>
      </c>
      <c r="H6" s="26" t="str">
        <f>EXTERNAL!I5</f>
        <v>Interruptible
570</v>
      </c>
      <c r="I6" s="26" t="str">
        <f>EXTERNAL!J5</f>
        <v>Transport
663</v>
      </c>
      <c r="J6" s="26" t="str">
        <f>EXTERNAL!K5</f>
        <v>Spl Contracts</v>
      </c>
    </row>
    <row r="7" spans="1:10" x14ac:dyDescent="0.4">
      <c r="A7" s="20" t="str">
        <f>IF(ISBLANK(B7),"",MAX(A$6:$A6)+1)</f>
        <v/>
      </c>
      <c r="C7" s="7"/>
      <c r="D7" s="7"/>
      <c r="E7" s="7"/>
      <c r="F7" s="7"/>
      <c r="G7" s="7"/>
      <c r="H7" s="7"/>
      <c r="I7" s="7"/>
      <c r="J7" s="7"/>
    </row>
    <row r="8" spans="1:10" x14ac:dyDescent="0.4">
      <c r="A8" s="20">
        <f>IF(ISBLANK(B8),"",MAX(A$6:$A7)+1)</f>
        <v>1</v>
      </c>
      <c r="B8" s="77" t="s">
        <v>413</v>
      </c>
      <c r="C8" s="7"/>
      <c r="D8" s="7"/>
      <c r="E8" s="7"/>
      <c r="F8" s="7"/>
      <c r="G8" s="7"/>
      <c r="H8" s="7"/>
      <c r="I8" s="7"/>
      <c r="J8" s="7"/>
    </row>
    <row r="9" spans="1:10" x14ac:dyDescent="0.4">
      <c r="A9" s="20">
        <f>IF(ISBLANK(B9),"",MAX(A$6:$A8)+1)</f>
        <v>2</v>
      </c>
      <c r="B9" s="8" t="s">
        <v>190</v>
      </c>
      <c r="C9" s="7">
        <f>SUM(D9:J9)</f>
        <v>207</v>
      </c>
      <c r="D9" s="7"/>
      <c r="E9" s="7"/>
      <c r="F9" s="7"/>
      <c r="G9" s="7"/>
      <c r="H9" s="7">
        <f>EXTERNAL!I86</f>
        <v>7</v>
      </c>
      <c r="I9" s="7">
        <f>EXTERNAL!J86</f>
        <v>193</v>
      </c>
      <c r="J9" s="7">
        <f>EXTERNAL!K86</f>
        <v>7</v>
      </c>
    </row>
    <row r="10" spans="1:10" x14ac:dyDescent="0.4">
      <c r="A10" s="20">
        <f>IF(ISBLANK(B10),"",MAX(A$6:$A9)+1)</f>
        <v>3</v>
      </c>
      <c r="B10" s="8" t="s">
        <v>191</v>
      </c>
      <c r="C10" s="7">
        <f>SUM(D10:J10)</f>
        <v>200</v>
      </c>
      <c r="D10" s="7"/>
      <c r="E10" s="7"/>
      <c r="F10" s="7"/>
      <c r="G10" s="7"/>
      <c r="H10" s="7">
        <f>MIN('Large Cust Mains'!C8,H$9)</f>
        <v>7</v>
      </c>
      <c r="I10" s="7">
        <f>MIN('Large Cust Mains'!F8,I$9)</f>
        <v>193</v>
      </c>
      <c r="J10" s="7"/>
    </row>
    <row r="11" spans="1:10" x14ac:dyDescent="0.4">
      <c r="A11" s="20">
        <f>IF(ISBLANK(B11),"",MAX(A$6:$A10)+1)</f>
        <v>4</v>
      </c>
      <c r="B11" s="8" t="s">
        <v>192</v>
      </c>
      <c r="C11" s="7">
        <f t="shared" ref="C11:C16" si="0">SUM(D11:J11)</f>
        <v>198</v>
      </c>
      <c r="D11" s="7"/>
      <c r="E11" s="7"/>
      <c r="F11" s="7"/>
      <c r="G11" s="7"/>
      <c r="H11" s="7">
        <f>MIN('Large Cust Mains'!C9,H$9)</f>
        <v>7</v>
      </c>
      <c r="I11" s="7">
        <f>MIN('Large Cust Mains'!F9,I$9)</f>
        <v>191</v>
      </c>
      <c r="J11" s="7"/>
    </row>
    <row r="12" spans="1:10" x14ac:dyDescent="0.4">
      <c r="A12" s="20">
        <f>IF(ISBLANK(B12),"",MAX(A$6:$A11)+1)</f>
        <v>5</v>
      </c>
      <c r="B12" s="8" t="s">
        <v>193</v>
      </c>
      <c r="C12" s="7">
        <f t="shared" si="0"/>
        <v>174</v>
      </c>
      <c r="D12" s="7"/>
      <c r="E12" s="7"/>
      <c r="F12" s="7"/>
      <c r="G12" s="7"/>
      <c r="H12" s="7">
        <f>MIN('Large Cust Mains'!C10,H$9)</f>
        <v>7</v>
      </c>
      <c r="I12" s="7">
        <f>MIN('Large Cust Mains'!F10,I$9)</f>
        <v>167</v>
      </c>
      <c r="J12" s="7"/>
    </row>
    <row r="13" spans="1:10" x14ac:dyDescent="0.4">
      <c r="A13" s="20">
        <f>IF(ISBLANK(B13),"",MAX(A$6:$A12)+1)</f>
        <v>6</v>
      </c>
      <c r="B13" s="8" t="s">
        <v>194</v>
      </c>
      <c r="C13" s="7">
        <f t="shared" si="0"/>
        <v>69</v>
      </c>
      <c r="D13" s="7"/>
      <c r="E13" s="7"/>
      <c r="F13" s="7"/>
      <c r="G13" s="7"/>
      <c r="H13" s="7">
        <f>MIN('Large Cust Mains'!C11,H$9)</f>
        <v>3</v>
      </c>
      <c r="I13" s="7">
        <f>MIN('Large Cust Mains'!F11,I$9)</f>
        <v>66</v>
      </c>
      <c r="J13" s="7"/>
    </row>
    <row r="14" spans="1:10" x14ac:dyDescent="0.4">
      <c r="A14" s="20">
        <f>IF(ISBLANK(B14),"",MAX(A$6:$A13)+1)</f>
        <v>7</v>
      </c>
      <c r="B14" s="8" t="s">
        <v>239</v>
      </c>
      <c r="C14" s="7">
        <f t="shared" si="0"/>
        <v>76</v>
      </c>
      <c r="D14" s="7"/>
      <c r="E14" s="7"/>
      <c r="F14" s="7"/>
      <c r="G14" s="7"/>
      <c r="H14" s="7">
        <f>MIN('Large Cust Mains'!C12,H$9)</f>
        <v>4</v>
      </c>
      <c r="I14" s="7">
        <f>MIN('Large Cust Mains'!F12,I$9)</f>
        <v>72</v>
      </c>
      <c r="J14" s="7"/>
    </row>
    <row r="15" spans="1:10" x14ac:dyDescent="0.4">
      <c r="A15" s="20">
        <f>IF(ISBLANK(B15),"",MAX(A$6:$A14)+1)</f>
        <v>8</v>
      </c>
      <c r="B15" s="8" t="s">
        <v>195</v>
      </c>
      <c r="C15" s="7">
        <f t="shared" si="0"/>
        <v>60</v>
      </c>
      <c r="D15" s="7"/>
      <c r="E15" s="7"/>
      <c r="F15" s="7"/>
      <c r="G15" s="7"/>
      <c r="H15" s="7">
        <f>MIN('Large Cust Mains'!C13,H$9)</f>
        <v>4</v>
      </c>
      <c r="I15" s="7">
        <f>MIN('Large Cust Mains'!F13,I$9)</f>
        <v>56</v>
      </c>
      <c r="J15" s="7"/>
    </row>
    <row r="16" spans="1:10" x14ac:dyDescent="0.4">
      <c r="A16" s="20">
        <f>IF(ISBLANK(B16),"",MAX(A$6:$A15)+1)</f>
        <v>9</v>
      </c>
      <c r="B16" s="8" t="s">
        <v>196</v>
      </c>
      <c r="C16" s="7">
        <f t="shared" si="0"/>
        <v>32</v>
      </c>
      <c r="D16" s="7"/>
      <c r="E16" s="7"/>
      <c r="F16" s="7"/>
      <c r="G16" s="7"/>
      <c r="H16" s="7">
        <f>MIN('Large Cust Mains'!C14,H$9)</f>
        <v>1</v>
      </c>
      <c r="I16" s="7">
        <f>MIN('Large Cust Mains'!F14,I$9)</f>
        <v>31</v>
      </c>
      <c r="J16" s="7"/>
    </row>
    <row r="17" spans="1:10" x14ac:dyDescent="0.4">
      <c r="A17" s="20" t="str">
        <f>IF(ISBLANK(B17),"",MAX(A$6:$A16)+1)</f>
        <v/>
      </c>
      <c r="C17" s="7"/>
      <c r="D17" s="65"/>
      <c r="E17" s="65"/>
      <c r="F17" s="7"/>
      <c r="G17" s="7"/>
      <c r="H17" s="7"/>
      <c r="I17" s="7"/>
      <c r="J17" s="7"/>
    </row>
    <row r="18" spans="1:10" x14ac:dyDescent="0.4">
      <c r="A18" s="20" t="str">
        <f>IF(ISBLANK(B18),"",MAX(A$6:$A17)+1)</f>
        <v/>
      </c>
      <c r="C18" s="7"/>
      <c r="D18" s="7"/>
      <c r="E18" s="7"/>
      <c r="F18" s="7"/>
      <c r="G18" s="7"/>
      <c r="H18" s="7"/>
      <c r="I18" s="7"/>
      <c r="J18" s="7"/>
    </row>
    <row r="19" spans="1:10" x14ac:dyDescent="0.4">
      <c r="A19" s="20">
        <f>IF(ISBLANK(B19),"",MAX(A$6:$A18)+1)</f>
        <v>10</v>
      </c>
      <c r="B19" s="77" t="s">
        <v>414</v>
      </c>
      <c r="C19" s="7"/>
      <c r="D19" s="7"/>
      <c r="E19" s="7"/>
      <c r="F19" s="7"/>
      <c r="G19" s="7"/>
      <c r="H19" s="7"/>
      <c r="I19" s="7"/>
      <c r="J19" s="7"/>
    </row>
    <row r="20" spans="1:10" x14ac:dyDescent="0.4">
      <c r="A20" s="20">
        <f>IF(ISBLANK(B20),"",MAX(A$6:$A19)+1)</f>
        <v>11</v>
      </c>
      <c r="B20" s="8" t="s">
        <v>190</v>
      </c>
      <c r="C20" s="7">
        <f>SUM(D20:J20)</f>
        <v>5532364.1770833349</v>
      </c>
      <c r="D20" s="7">
        <f>EXTERNAL!E10</f>
        <v>1492164</v>
      </c>
      <c r="E20" s="7">
        <f>EXTERNAL!F10</f>
        <v>1011683</v>
      </c>
      <c r="F20" s="7">
        <f>EXTERNAL!G10</f>
        <v>100565</v>
      </c>
      <c r="G20" s="7">
        <f>EXTERNAL!H10</f>
        <v>120491</v>
      </c>
      <c r="H20" s="7">
        <f>EXTERNAL!I10</f>
        <v>9982.3333333333339</v>
      </c>
      <c r="I20" s="7">
        <f>EXTERNAL!J10</f>
        <v>2202267.544270834</v>
      </c>
      <c r="J20" s="7">
        <f>EXTERNAL!K10</f>
        <v>595211.29947916674</v>
      </c>
    </row>
    <row r="21" spans="1:10" x14ac:dyDescent="0.4">
      <c r="A21" s="20">
        <f>IF(ISBLANK(B21),"",MAX(A$6:$A20)+1)</f>
        <v>12</v>
      </c>
      <c r="B21" s="8" t="s">
        <v>191</v>
      </c>
      <c r="C21" s="7">
        <f>SUM(D21:J21)</f>
        <v>4937152.877604167</v>
      </c>
      <c r="D21" s="7">
        <f>D20</f>
        <v>1492164</v>
      </c>
      <c r="E21" s="7">
        <f t="shared" ref="E21:G21" si="1">E20</f>
        <v>1011683</v>
      </c>
      <c r="F21" s="7">
        <f t="shared" si="1"/>
        <v>100565</v>
      </c>
      <c r="G21" s="7">
        <f t="shared" si="1"/>
        <v>120491</v>
      </c>
      <c r="H21" s="7">
        <f>MIN('Large Cust Mains'!D8,H$20)</f>
        <v>9982.3333333333339</v>
      </c>
      <c r="I21" s="7">
        <f>MIN('Large Cust Mains'!G8,I$20)</f>
        <v>2202267.5442708335</v>
      </c>
      <c r="J21" s="7"/>
    </row>
    <row r="22" spans="1:10" x14ac:dyDescent="0.4">
      <c r="A22" s="20">
        <f>IF(ISBLANK(B22),"",MAX(A$6:$A21)+1)</f>
        <v>13</v>
      </c>
      <c r="B22" s="8" t="s">
        <v>192</v>
      </c>
      <c r="C22" s="7">
        <f t="shared" ref="C22:C27" si="2">SUM(D22:J22)</f>
        <v>3442417.666666667</v>
      </c>
      <c r="D22" s="7">
        <f t="shared" ref="D22:D27" si="3">D21</f>
        <v>1492164</v>
      </c>
      <c r="E22" s="7">
        <f t="shared" ref="E22:E27" si="4">E21</f>
        <v>1011683</v>
      </c>
      <c r="F22" s="7">
        <f t="shared" ref="F22:F27" si="5">F21</f>
        <v>100565</v>
      </c>
      <c r="G22" s="7">
        <f t="shared" ref="G22:G27" si="6">G21</f>
        <v>120491</v>
      </c>
      <c r="H22" s="7">
        <f>MIN('Large Cust Mains'!D9,H$20)</f>
        <v>9982.3333333333339</v>
      </c>
      <c r="I22" s="7">
        <f>MIN('Large Cust Mains'!G9,I$20)</f>
        <v>707532.33333333326</v>
      </c>
      <c r="J22" s="7"/>
    </row>
    <row r="23" spans="1:10" x14ac:dyDescent="0.4">
      <c r="A23" s="20">
        <f>IF(ISBLANK(B23),"",MAX(A$6:$A22)+1)</f>
        <v>14</v>
      </c>
      <c r="B23" s="8" t="s">
        <v>193</v>
      </c>
      <c r="C23" s="7">
        <f t="shared" si="2"/>
        <v>3272272.3333333335</v>
      </c>
      <c r="D23" s="7">
        <f t="shared" si="3"/>
        <v>1492164</v>
      </c>
      <c r="E23" s="7">
        <f t="shared" si="4"/>
        <v>1011683</v>
      </c>
      <c r="F23" s="7">
        <f t="shared" si="5"/>
        <v>100565</v>
      </c>
      <c r="G23" s="7">
        <f t="shared" si="6"/>
        <v>120491</v>
      </c>
      <c r="H23" s="7">
        <f>MIN('Large Cust Mains'!D10,H$20)</f>
        <v>9982.3333333333339</v>
      </c>
      <c r="I23" s="7">
        <f>MIN('Large Cust Mains'!G10,I$20)</f>
        <v>537386.99999999988</v>
      </c>
      <c r="J23" s="7"/>
    </row>
    <row r="24" spans="1:10" x14ac:dyDescent="0.4">
      <c r="A24" s="20">
        <f>IF(ISBLANK(B24),"",MAX(A$6:$A23)+1)</f>
        <v>15</v>
      </c>
      <c r="B24" s="8" t="s">
        <v>194</v>
      </c>
      <c r="C24" s="7">
        <f t="shared" si="2"/>
        <v>2972258</v>
      </c>
      <c r="D24" s="7">
        <f t="shared" si="3"/>
        <v>1492164</v>
      </c>
      <c r="E24" s="7">
        <f t="shared" si="4"/>
        <v>1011683</v>
      </c>
      <c r="F24" s="7">
        <f t="shared" si="5"/>
        <v>100565</v>
      </c>
      <c r="G24" s="7">
        <f t="shared" si="6"/>
        <v>120491</v>
      </c>
      <c r="H24" s="7">
        <f>MIN('Large Cust Mains'!D11,H$20)</f>
        <v>1696.3333333333335</v>
      </c>
      <c r="I24" s="7">
        <f>MIN('Large Cust Mains'!G11,I$20)</f>
        <v>245658.66666666666</v>
      </c>
      <c r="J24" s="7"/>
    </row>
    <row r="25" spans="1:10" x14ac:dyDescent="0.4">
      <c r="A25" s="20">
        <f>IF(ISBLANK(B25),"",MAX(A$6:$A24)+1)</f>
        <v>16</v>
      </c>
      <c r="B25" s="8" t="s">
        <v>239</v>
      </c>
      <c r="C25" s="7">
        <f t="shared" si="2"/>
        <v>3127022.3333333335</v>
      </c>
      <c r="D25" s="7">
        <f t="shared" si="3"/>
        <v>1492164</v>
      </c>
      <c r="E25" s="7">
        <f t="shared" si="4"/>
        <v>1011683</v>
      </c>
      <c r="F25" s="7">
        <f t="shared" si="5"/>
        <v>100565</v>
      </c>
      <c r="G25" s="7">
        <f t="shared" si="6"/>
        <v>120491</v>
      </c>
      <c r="H25" s="7">
        <f>MIN('Large Cust Mains'!D12,H$20)</f>
        <v>8554</v>
      </c>
      <c r="I25" s="7">
        <f>MIN('Large Cust Mains'!G12,I$20)</f>
        <v>393565.33333333337</v>
      </c>
      <c r="J25" s="7"/>
    </row>
    <row r="26" spans="1:10" x14ac:dyDescent="0.4">
      <c r="A26" s="20">
        <f>IF(ISBLANK(B26),"",MAX(A$6:$A25)+1)</f>
        <v>17</v>
      </c>
      <c r="B26" s="8" t="s">
        <v>195</v>
      </c>
      <c r="C26" s="7">
        <f t="shared" si="2"/>
        <v>2871861.3333333335</v>
      </c>
      <c r="D26" s="7">
        <f t="shared" si="3"/>
        <v>1492164</v>
      </c>
      <c r="E26" s="7">
        <f t="shared" si="4"/>
        <v>1011683</v>
      </c>
      <c r="F26" s="7">
        <f t="shared" si="5"/>
        <v>100565</v>
      </c>
      <c r="G26" s="7">
        <f t="shared" si="6"/>
        <v>120491</v>
      </c>
      <c r="H26" s="7">
        <f>MIN('Large Cust Mains'!D13,H$20)</f>
        <v>8554</v>
      </c>
      <c r="I26" s="7">
        <f>MIN('Large Cust Mains'!G13,I$20)</f>
        <v>138404.33333333334</v>
      </c>
      <c r="J26" s="7"/>
    </row>
    <row r="27" spans="1:10" x14ac:dyDescent="0.4">
      <c r="A27" s="20">
        <f>IF(ISBLANK(B27),"",MAX(A$6:$A26)+1)</f>
        <v>18</v>
      </c>
      <c r="B27" s="8" t="s">
        <v>196</v>
      </c>
      <c r="C27" s="7">
        <f t="shared" si="2"/>
        <v>2785042</v>
      </c>
      <c r="D27" s="7">
        <f t="shared" si="3"/>
        <v>1492164</v>
      </c>
      <c r="E27" s="7">
        <f t="shared" si="4"/>
        <v>1011683</v>
      </c>
      <c r="F27" s="7">
        <f t="shared" si="5"/>
        <v>100565</v>
      </c>
      <c r="G27" s="7">
        <f t="shared" si="6"/>
        <v>120491</v>
      </c>
      <c r="H27" s="7">
        <f>MIN('Large Cust Mains'!D14,H$20)</f>
        <v>479</v>
      </c>
      <c r="I27" s="7">
        <f>MIN('Large Cust Mains'!G14,I$20)</f>
        <v>59660</v>
      </c>
      <c r="J27" s="7"/>
    </row>
    <row r="28" spans="1:10" x14ac:dyDescent="0.4">
      <c r="A28" s="20" t="str">
        <f>IF(ISBLANK(B28),"",MAX(A$6:$A27)+1)</f>
        <v/>
      </c>
      <c r="C28" s="7"/>
      <c r="D28" s="7"/>
      <c r="E28" s="7"/>
      <c r="F28" s="7"/>
      <c r="G28" s="7"/>
      <c r="H28" s="7"/>
      <c r="I28" s="7"/>
      <c r="J28" s="7"/>
    </row>
    <row r="29" spans="1:10" x14ac:dyDescent="0.4">
      <c r="A29" s="20" t="str">
        <f>IF(ISBLANK(B29),"",MAX(A$6:$A28)+1)</f>
        <v/>
      </c>
      <c r="C29" s="7"/>
      <c r="D29" s="7"/>
      <c r="E29" s="7"/>
      <c r="F29" s="7"/>
      <c r="G29" s="7"/>
      <c r="H29" s="7"/>
      <c r="I29" s="7"/>
      <c r="J29" s="7"/>
    </row>
    <row r="30" spans="1:10" x14ac:dyDescent="0.4">
      <c r="A30" s="20">
        <f>IF(ISBLANK(B30),"",MAX(A$6:$A29)+1)</f>
        <v>19</v>
      </c>
      <c r="B30" s="77" t="s">
        <v>415</v>
      </c>
      <c r="C30" s="7"/>
      <c r="D30" s="7"/>
      <c r="E30" s="7"/>
      <c r="F30" s="7"/>
      <c r="G30" s="7"/>
      <c r="H30" s="7"/>
      <c r="I30" s="7"/>
      <c r="J30" s="7"/>
    </row>
    <row r="31" spans="1:10" x14ac:dyDescent="0.4">
      <c r="A31" s="20">
        <f>IF(ISBLANK(B31),"",MAX(A$6:$A30)+1)</f>
        <v>20</v>
      </c>
      <c r="B31" s="8" t="s">
        <v>190</v>
      </c>
      <c r="C31" s="7">
        <f>SUM(D31:J31)</f>
        <v>1290297698.7952998</v>
      </c>
      <c r="D31" s="7">
        <f>EXTERNAL!E134</f>
        <v>129913446.15533167</v>
      </c>
      <c r="E31" s="7">
        <f>EXTERNAL!F134</f>
        <v>91926474.127817988</v>
      </c>
      <c r="F31" s="7">
        <f>EXTERNAL!G134</f>
        <v>12174148.860819675</v>
      </c>
      <c r="G31" s="7">
        <f>EXTERNAL!H134</f>
        <v>16688677.440204078</v>
      </c>
      <c r="H31" s="7">
        <f>EXTERNAL!I134</f>
        <v>2097598</v>
      </c>
      <c r="I31" s="7">
        <f>EXTERNAL!J134</f>
        <v>854941070.21112633</v>
      </c>
      <c r="J31" s="7">
        <f>EXTERNAL!K134</f>
        <v>182556284</v>
      </c>
    </row>
    <row r="32" spans="1:10" x14ac:dyDescent="0.4">
      <c r="A32" s="20">
        <f>IF(ISBLANK(B32),"",MAX(A$6:$A31)+1)</f>
        <v>21</v>
      </c>
      <c r="B32" s="8" t="s">
        <v>191</v>
      </c>
      <c r="C32" s="7">
        <f t="shared" ref="C32:C38" si="7">SUM(D32:J32)</f>
        <v>1107741414.7952998</v>
      </c>
      <c r="D32" s="7">
        <f>D31</f>
        <v>129913446.15533167</v>
      </c>
      <c r="E32" s="7">
        <f t="shared" ref="E32:E38" si="8">E31</f>
        <v>91926474.127817988</v>
      </c>
      <c r="F32" s="7">
        <f t="shared" ref="F32:F38" si="9">F31</f>
        <v>12174148.860819675</v>
      </c>
      <c r="G32" s="7">
        <f t="shared" ref="G32:G38" si="10">G31</f>
        <v>16688677.440204078</v>
      </c>
      <c r="H32" s="7">
        <f>'Large Cust Mains'!E17*H$31</f>
        <v>2097598</v>
      </c>
      <c r="I32" s="7">
        <f>'Large Cust Mains'!H17*I$31</f>
        <v>854941070.21112633</v>
      </c>
      <c r="J32" s="7"/>
    </row>
    <row r="33" spans="1:10" x14ac:dyDescent="0.4">
      <c r="A33" s="20">
        <f>IF(ISBLANK(B33),"",MAX(A$6:$A32)+1)</f>
        <v>22</v>
      </c>
      <c r="B33" s="8" t="s">
        <v>192</v>
      </c>
      <c r="C33" s="7">
        <f t="shared" si="7"/>
        <v>606380643.26949751</v>
      </c>
      <c r="D33" s="7">
        <f t="shared" ref="D33:D38" si="11">D32</f>
        <v>129913446.15533167</v>
      </c>
      <c r="E33" s="7">
        <f t="shared" si="8"/>
        <v>91926474.127817988</v>
      </c>
      <c r="F33" s="7">
        <f t="shared" si="9"/>
        <v>12174148.860819675</v>
      </c>
      <c r="G33" s="7">
        <f t="shared" si="10"/>
        <v>16688677.440204078</v>
      </c>
      <c r="H33" s="7">
        <f>'Large Cust Mains'!E18*H$31</f>
        <v>2097598</v>
      </c>
      <c r="I33" s="7">
        <f>'Large Cust Mains'!H18*I$31</f>
        <v>353580298.68532407</v>
      </c>
      <c r="J33" s="7"/>
    </row>
    <row r="34" spans="1:10" x14ac:dyDescent="0.4">
      <c r="A34" s="20">
        <f>IF(ISBLANK(B34),"",MAX(A$6:$A33)+1)</f>
        <v>23</v>
      </c>
      <c r="B34" s="8" t="s">
        <v>193</v>
      </c>
      <c r="C34" s="7">
        <f t="shared" si="7"/>
        <v>562781338.58123863</v>
      </c>
      <c r="D34" s="7">
        <f t="shared" si="11"/>
        <v>129913446.15533167</v>
      </c>
      <c r="E34" s="7">
        <f t="shared" si="8"/>
        <v>91926474.127817988</v>
      </c>
      <c r="F34" s="7">
        <f t="shared" si="9"/>
        <v>12174148.860819675</v>
      </c>
      <c r="G34" s="7">
        <f t="shared" si="10"/>
        <v>16688677.440204078</v>
      </c>
      <c r="H34" s="7">
        <f>'Large Cust Mains'!E19*H$31</f>
        <v>2097598</v>
      </c>
      <c r="I34" s="7">
        <f>'Large Cust Mains'!H19*I$31</f>
        <v>309980993.99706519</v>
      </c>
      <c r="J34" s="7"/>
    </row>
    <row r="35" spans="1:10" x14ac:dyDescent="0.4">
      <c r="A35" s="20">
        <f>IF(ISBLANK(B35),"",MAX(A$6:$A34)+1)</f>
        <v>24</v>
      </c>
      <c r="B35" s="8" t="s">
        <v>194</v>
      </c>
      <c r="C35" s="7">
        <f t="shared" si="7"/>
        <v>478237107.4926666</v>
      </c>
      <c r="D35" s="7">
        <f t="shared" si="11"/>
        <v>129913446.15533167</v>
      </c>
      <c r="E35" s="7">
        <f t="shared" si="8"/>
        <v>91926474.127817988</v>
      </c>
      <c r="F35" s="7">
        <f t="shared" si="9"/>
        <v>12174148.860819675</v>
      </c>
      <c r="G35" s="7">
        <f t="shared" si="10"/>
        <v>16688677.440204078</v>
      </c>
      <c r="H35" s="7">
        <f>'Large Cust Mains'!E20*H$31</f>
        <v>352918</v>
      </c>
      <c r="I35" s="7">
        <f>'Large Cust Mains'!H20*I$31</f>
        <v>227181442.90849322</v>
      </c>
      <c r="J35" s="7"/>
    </row>
    <row r="36" spans="1:10" x14ac:dyDescent="0.4">
      <c r="A36" s="20">
        <f>IF(ISBLANK(B36),"",MAX(A$6:$A35)+1)</f>
        <v>25</v>
      </c>
      <c r="B36" s="8" t="s">
        <v>239</v>
      </c>
      <c r="C36" s="7">
        <f t="shared" si="7"/>
        <v>384995344.36449188</v>
      </c>
      <c r="D36" s="7">
        <f t="shared" si="11"/>
        <v>129913446.15533167</v>
      </c>
      <c r="E36" s="7">
        <f t="shared" si="8"/>
        <v>91926474.127817988</v>
      </c>
      <c r="F36" s="7">
        <f t="shared" si="9"/>
        <v>12174148.860819675</v>
      </c>
      <c r="G36" s="7">
        <f t="shared" si="10"/>
        <v>16688677.440204078</v>
      </c>
      <c r="H36" s="7">
        <f>'Large Cust Mains'!E21*H$31</f>
        <v>1833843</v>
      </c>
      <c r="I36" s="7">
        <f>'Large Cust Mains'!H21*I$31</f>
        <v>132458754.78031848</v>
      </c>
      <c r="J36" s="7"/>
    </row>
    <row r="37" spans="1:10" x14ac:dyDescent="0.4">
      <c r="A37" s="20">
        <f>IF(ISBLANK(B37),"",MAX(A$6:$A36)+1)</f>
        <v>26</v>
      </c>
      <c r="B37" s="8" t="s">
        <v>195</v>
      </c>
      <c r="C37" s="7">
        <f t="shared" si="7"/>
        <v>294105401.16325247</v>
      </c>
      <c r="D37" s="7">
        <f t="shared" si="11"/>
        <v>129913446.15533167</v>
      </c>
      <c r="E37" s="7">
        <f t="shared" si="8"/>
        <v>91926474.127817988</v>
      </c>
      <c r="F37" s="7">
        <f t="shared" si="9"/>
        <v>12174148.860819675</v>
      </c>
      <c r="G37" s="7">
        <f t="shared" si="10"/>
        <v>16688677.440204078</v>
      </c>
      <c r="H37" s="7">
        <f>'Large Cust Mains'!E22*H$31</f>
        <v>1833843</v>
      </c>
      <c r="I37" s="7">
        <f>'Large Cust Mains'!H22*I$31</f>
        <v>41568811.579079062</v>
      </c>
      <c r="J37" s="7"/>
    </row>
    <row r="38" spans="1:10" x14ac:dyDescent="0.4">
      <c r="A38" s="20">
        <f>IF(ISBLANK(B38),"",MAX(A$6:$A37)+1)</f>
        <v>27</v>
      </c>
      <c r="B38" s="8" t="s">
        <v>196</v>
      </c>
      <c r="C38" s="7">
        <f t="shared" si="7"/>
        <v>267845171.00380659</v>
      </c>
      <c r="D38" s="7">
        <f t="shared" si="11"/>
        <v>129913446.15533167</v>
      </c>
      <c r="E38" s="7">
        <f t="shared" si="8"/>
        <v>91926474.127817988</v>
      </c>
      <c r="F38" s="7">
        <f t="shared" si="9"/>
        <v>12174148.860819675</v>
      </c>
      <c r="G38" s="7">
        <f t="shared" si="10"/>
        <v>16688677.440204078</v>
      </c>
      <c r="H38" s="7">
        <f>'Large Cust Mains'!E23*H$31</f>
        <v>137863</v>
      </c>
      <c r="I38" s="7">
        <f>'Large Cust Mains'!H23*I$31</f>
        <v>17004561.419633165</v>
      </c>
      <c r="J38" s="7"/>
    </row>
    <row r="39" spans="1:10" x14ac:dyDescent="0.4">
      <c r="A39" s="20" t="str">
        <f>IF(ISBLANK(B39),"",MAX(A$6:$A38)+1)</f>
        <v/>
      </c>
      <c r="C39" s="7"/>
      <c r="D39" s="7"/>
      <c r="E39" s="7"/>
      <c r="F39" s="7"/>
      <c r="G39" s="7"/>
      <c r="H39" s="7"/>
      <c r="I39" s="7"/>
      <c r="J39" s="7"/>
    </row>
    <row r="40" spans="1:10" x14ac:dyDescent="0.4">
      <c r="A40" s="20" t="str">
        <f>IF(ISBLANK(B40),"",MAX(A$6:$A39)+1)</f>
        <v/>
      </c>
      <c r="C40" s="7"/>
      <c r="D40" s="7"/>
      <c r="E40" s="7"/>
      <c r="F40" s="7"/>
      <c r="G40" s="7"/>
      <c r="H40" s="7"/>
      <c r="I40" s="7"/>
      <c r="J40" s="7"/>
    </row>
    <row r="41" spans="1:10" x14ac:dyDescent="0.4">
      <c r="A41" s="20" t="str">
        <f>IF(ISBLANK(B41),"",MAX(A$6:$A40)+1)</f>
        <v/>
      </c>
      <c r="C41" s="7"/>
      <c r="D41" s="7"/>
      <c r="E41" s="7"/>
      <c r="F41" s="7"/>
      <c r="G41" s="7"/>
      <c r="H41" s="7"/>
      <c r="I41" s="7"/>
      <c r="J41" s="7"/>
    </row>
    <row r="42" spans="1:10" x14ac:dyDescent="0.4">
      <c r="A42" s="20" t="str">
        <f>IF(ISBLANK(B42),"",MAX(A$6:$A41)+1)</f>
        <v/>
      </c>
      <c r="C42" s="7"/>
      <c r="D42" s="7"/>
      <c r="E42" s="7"/>
      <c r="F42" s="7"/>
      <c r="G42" s="7"/>
      <c r="H42" s="7"/>
      <c r="I42" s="7"/>
      <c r="J42" s="7"/>
    </row>
    <row r="43" spans="1:10" x14ac:dyDescent="0.4">
      <c r="A43" s="20" t="str">
        <f>IF(ISBLANK(B43),"",MAX(A$6:$A42)+1)</f>
        <v/>
      </c>
      <c r="C43" s="7"/>
      <c r="D43" s="7"/>
      <c r="E43" s="7"/>
      <c r="F43" s="7"/>
      <c r="G43" s="7"/>
      <c r="H43" s="7"/>
      <c r="I43" s="7"/>
      <c r="J43" s="7"/>
    </row>
    <row r="44" spans="1:10" x14ac:dyDescent="0.4">
      <c r="A44" s="20" t="str">
        <f>IF(ISBLANK(B44),"",MAX(A$6:$A43)+1)</f>
        <v/>
      </c>
    </row>
    <row r="45" spans="1:10" x14ac:dyDescent="0.4">
      <c r="A45" s="20" t="str">
        <f>IF(ISBLANK(B45),"",MAX(A$6:$A44)+1)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85FD-25B8-4853-BE1E-BBF2A6FCA41E}">
  <sheetPr codeName="Sheet21"/>
  <dimension ref="A1:H23"/>
  <sheetViews>
    <sheetView workbookViewId="0">
      <selection activeCell="D8" sqref="D8"/>
    </sheetView>
  </sheetViews>
  <sheetFormatPr defaultColWidth="9.23046875" defaultRowHeight="14.6" x14ac:dyDescent="0.4"/>
  <cols>
    <col min="1" max="1" width="4.69140625" style="8" bestFit="1" customWidth="1"/>
    <col min="2" max="2" width="18.53515625" style="8" bestFit="1" customWidth="1"/>
    <col min="3" max="8" width="13.69140625" style="8" customWidth="1"/>
    <col min="9" max="16384" width="9.23046875" style="8"/>
  </cols>
  <sheetData>
    <row r="1" spans="1:8" x14ac:dyDescent="0.4">
      <c r="A1" s="8" t="str">
        <f>Contents!A1</f>
        <v>Cascade Natural Gas Corp.</v>
      </c>
    </row>
    <row r="2" spans="1:8" x14ac:dyDescent="0.4">
      <c r="A2" s="8" t="s">
        <v>410</v>
      </c>
    </row>
    <row r="5" spans="1:8" ht="17.149999999999999" x14ac:dyDescent="0.7">
      <c r="C5" s="150" t="str">
        <f>EXTERNAL!I5</f>
        <v>Interruptible
570</v>
      </c>
      <c r="D5" s="150"/>
      <c r="E5" s="150"/>
      <c r="F5" s="150" t="str">
        <f>EXTERNAL!J5</f>
        <v>Transport
663</v>
      </c>
      <c r="G5" s="150"/>
      <c r="H5" s="150"/>
    </row>
    <row r="6" spans="1:8" ht="17.149999999999999" x14ac:dyDescent="0.7">
      <c r="A6" s="26" t="str">
        <f>EXTERNAL!A5</f>
        <v>Line</v>
      </c>
      <c r="B6" s="50" t="s">
        <v>197</v>
      </c>
      <c r="C6" s="26" t="s">
        <v>48</v>
      </c>
      <c r="D6" s="26" t="s">
        <v>411</v>
      </c>
      <c r="E6" s="26" t="s">
        <v>412</v>
      </c>
      <c r="F6" s="26" t="s">
        <v>48</v>
      </c>
      <c r="G6" s="26" t="s">
        <v>411</v>
      </c>
      <c r="H6" s="26" t="s">
        <v>412</v>
      </c>
    </row>
    <row r="7" spans="1:8" x14ac:dyDescent="0.4">
      <c r="A7" s="20" t="str">
        <f>IF(ISBLANK(B7),"",MAX(A$6:$A6)+1)</f>
        <v/>
      </c>
      <c r="C7" s="18"/>
      <c r="D7" s="18"/>
      <c r="E7" s="18"/>
    </row>
    <row r="8" spans="1:8" x14ac:dyDescent="0.4">
      <c r="A8" s="20">
        <f>IF(ISBLANK(B8),"",MAX(A$6:$A7)+1)</f>
        <v>1</v>
      </c>
      <c r="B8" s="8" t="s">
        <v>191</v>
      </c>
      <c r="C8" s="7">
        <f>'[2]Large Customer Mains Summary'!D9</f>
        <v>7</v>
      </c>
      <c r="D8" s="7">
        <f>'[2]Large Customer Mains Summary'!E9</f>
        <v>9982.3333333333339</v>
      </c>
      <c r="E8" s="7">
        <f>'[2]Large Customer Mains Summary'!F9</f>
        <v>2097598</v>
      </c>
      <c r="F8" s="7">
        <f>'[2]Large Customer Mains Summary'!G9</f>
        <v>200</v>
      </c>
      <c r="G8" s="7">
        <f>'[2]Large Customer Mains Summary'!H9</f>
        <v>2202267.5442708335</v>
      </c>
      <c r="H8" s="7">
        <f>'[2]Large Customer Mains Summary'!I9</f>
        <v>857558277</v>
      </c>
    </row>
    <row r="9" spans="1:8" x14ac:dyDescent="0.4">
      <c r="A9" s="20">
        <f>IF(ISBLANK(B9),"",MAX(A$6:$A8)+1)</f>
        <v>2</v>
      </c>
      <c r="B9" s="8" t="s">
        <v>192</v>
      </c>
      <c r="C9" s="7">
        <f>'[2]Large Customer Mains Summary'!D10</f>
        <v>7</v>
      </c>
      <c r="D9" s="7">
        <f>'[2]Large Customer Mains Summary'!E10</f>
        <v>9982.3333333333339</v>
      </c>
      <c r="E9" s="7">
        <f>'[2]Large Customer Mains Summary'!F10</f>
        <v>2097598</v>
      </c>
      <c r="F9" s="7">
        <f>'[2]Large Customer Mains Summary'!G10</f>
        <v>191</v>
      </c>
      <c r="G9" s="7">
        <f>'[2]Large Customer Mains Summary'!H10</f>
        <v>707532.33333333326</v>
      </c>
      <c r="H9" s="7">
        <f>'[2]Large Customer Mains Summary'!I10</f>
        <v>354662704</v>
      </c>
    </row>
    <row r="10" spans="1:8" x14ac:dyDescent="0.4">
      <c r="A10" s="20">
        <f>IF(ISBLANK(B10),"",MAX(A$6:$A9)+1)</f>
        <v>3</v>
      </c>
      <c r="B10" s="8" t="s">
        <v>193</v>
      </c>
      <c r="C10" s="7">
        <f>'[2]Large Customer Mains Summary'!D11</f>
        <v>7</v>
      </c>
      <c r="D10" s="7">
        <f>'[2]Large Customer Mains Summary'!E11</f>
        <v>9982.3333333333339</v>
      </c>
      <c r="E10" s="7">
        <f>'[2]Large Customer Mains Summary'!F11</f>
        <v>2097598</v>
      </c>
      <c r="F10" s="7">
        <f>'[2]Large Customer Mains Summary'!G11</f>
        <v>167</v>
      </c>
      <c r="G10" s="7">
        <f>'[2]Large Customer Mains Summary'!H11</f>
        <v>537386.99999999988</v>
      </c>
      <c r="H10" s="7">
        <f>'[2]Large Customer Mains Summary'!I11</f>
        <v>310929930</v>
      </c>
    </row>
    <row r="11" spans="1:8" x14ac:dyDescent="0.4">
      <c r="A11" s="20">
        <f>IF(ISBLANK(B11),"",MAX(A$6:$A10)+1)</f>
        <v>4</v>
      </c>
      <c r="B11" s="8" t="s">
        <v>194</v>
      </c>
      <c r="C11" s="7">
        <f>'[2]Large Customer Mains Summary'!D12</f>
        <v>3</v>
      </c>
      <c r="D11" s="7">
        <f>'[2]Large Customer Mains Summary'!E12</f>
        <v>1696.3333333333335</v>
      </c>
      <c r="E11" s="7">
        <f>'[2]Large Customer Mains Summary'!F12</f>
        <v>352918</v>
      </c>
      <c r="F11" s="7">
        <f>'[2]Large Customer Mains Summary'!G12</f>
        <v>66</v>
      </c>
      <c r="G11" s="7">
        <f>'[2]Large Customer Mains Summary'!H12</f>
        <v>245658.66666666666</v>
      </c>
      <c r="H11" s="7">
        <f>'[2]Large Customer Mains Summary'!I12</f>
        <v>227876907</v>
      </c>
    </row>
    <row r="12" spans="1:8" x14ac:dyDescent="0.4">
      <c r="A12" s="20">
        <f>IF(ISBLANK(B12),"",MAX(A$6:$A11)+1)</f>
        <v>5</v>
      </c>
      <c r="B12" s="8" t="s">
        <v>239</v>
      </c>
      <c r="C12" s="7">
        <f>'[2]Large Customer Mains Summary'!D13</f>
        <v>4</v>
      </c>
      <c r="D12" s="7">
        <f>'[2]Large Customer Mains Summary'!E13</f>
        <v>8554</v>
      </c>
      <c r="E12" s="7">
        <f>'[2]Large Customer Mains Summary'!F13</f>
        <v>1833843</v>
      </c>
      <c r="F12" s="7">
        <f>'[2]Large Customer Mains Summary'!G13</f>
        <v>72</v>
      </c>
      <c r="G12" s="7">
        <f>'[2]Large Customer Mains Summary'!H13</f>
        <v>393565.33333333337</v>
      </c>
      <c r="H12" s="7">
        <f>'[2]Large Customer Mains Summary'!I13</f>
        <v>132864247</v>
      </c>
    </row>
    <row r="13" spans="1:8" x14ac:dyDescent="0.4">
      <c r="A13" s="20">
        <f>IF(ISBLANK(B13),"",MAX(A$6:$A12)+1)</f>
        <v>6</v>
      </c>
      <c r="B13" s="8" t="s">
        <v>195</v>
      </c>
      <c r="C13" s="7">
        <f>'[2]Large Customer Mains Summary'!D14</f>
        <v>4</v>
      </c>
      <c r="D13" s="7">
        <f>'[2]Large Customer Mains Summary'!E14</f>
        <v>8554</v>
      </c>
      <c r="E13" s="7">
        <f>'[2]Large Customer Mains Summary'!F14</f>
        <v>1833843</v>
      </c>
      <c r="F13" s="7">
        <f>'[2]Large Customer Mains Summary'!G14</f>
        <v>56</v>
      </c>
      <c r="G13" s="7">
        <f>'[2]Large Customer Mains Summary'!H14</f>
        <v>138404.33333333334</v>
      </c>
      <c r="H13" s="7">
        <f>'[2]Large Customer Mains Summary'!I14</f>
        <v>41696065</v>
      </c>
    </row>
    <row r="14" spans="1:8" x14ac:dyDescent="0.4">
      <c r="A14" s="20">
        <f>IF(ISBLANK(B14),"",MAX(A$6:$A13)+1)</f>
        <v>7</v>
      </c>
      <c r="B14" s="8" t="s">
        <v>196</v>
      </c>
      <c r="C14" s="7">
        <f>'[2]Large Customer Mains Summary'!D15</f>
        <v>1</v>
      </c>
      <c r="D14" s="7">
        <f>'[2]Large Customer Mains Summary'!E15</f>
        <v>479</v>
      </c>
      <c r="E14" s="7">
        <f>'[2]Large Customer Mains Summary'!F15</f>
        <v>137863</v>
      </c>
      <c r="F14" s="7">
        <f>'[2]Large Customer Mains Summary'!G15</f>
        <v>31</v>
      </c>
      <c r="G14" s="7">
        <f>'[2]Large Customer Mains Summary'!H15</f>
        <v>59660</v>
      </c>
      <c r="H14" s="7">
        <f>'[2]Large Customer Mains Summary'!I15</f>
        <v>17056617</v>
      </c>
    </row>
    <row r="16" spans="1:8" x14ac:dyDescent="0.4">
      <c r="A16" s="20">
        <f>IF(ISBLANK(B16),"",MAX(A$6:$A15)+1)</f>
        <v>8</v>
      </c>
      <c r="B16" s="8" t="s">
        <v>416</v>
      </c>
      <c r="D16" s="57"/>
      <c r="E16" s="57"/>
    </row>
    <row r="17" spans="1:8" x14ac:dyDescent="0.4">
      <c r="A17" s="20">
        <f>IF(ISBLANK(B17),"",MAX(A$6:$A16)+1)</f>
        <v>9</v>
      </c>
      <c r="B17" s="8" t="s">
        <v>191</v>
      </c>
      <c r="E17" s="15">
        <f>E8/E$8</f>
        <v>1</v>
      </c>
      <c r="H17" s="15">
        <f>H8/H$8</f>
        <v>1</v>
      </c>
    </row>
    <row r="18" spans="1:8" x14ac:dyDescent="0.4">
      <c r="A18" s="20">
        <f>IF(ISBLANK(B18),"",MAX(A$6:$A17)+1)</f>
        <v>10</v>
      </c>
      <c r="B18" s="8" t="s">
        <v>192</v>
      </c>
      <c r="E18" s="15">
        <f t="shared" ref="E18:E23" si="0">E9/E$8</f>
        <v>1</v>
      </c>
      <c r="H18" s="15">
        <f>H9/H$8</f>
        <v>0.41357271396262202</v>
      </c>
    </row>
    <row r="19" spans="1:8" x14ac:dyDescent="0.4">
      <c r="A19" s="20">
        <f>IF(ISBLANK(B19),"",MAX(A$6:$A18)+1)</f>
        <v>11</v>
      </c>
      <c r="B19" s="8" t="s">
        <v>193</v>
      </c>
      <c r="E19" s="15">
        <f t="shared" si="0"/>
        <v>1</v>
      </c>
      <c r="H19" s="15">
        <f t="shared" ref="H19:H22" si="1">H10/H$8</f>
        <v>0.36257586025258548</v>
      </c>
    </row>
    <row r="20" spans="1:8" x14ac:dyDescent="0.4">
      <c r="A20" s="20">
        <f>IF(ISBLANK(B20),"",MAX(A$6:$A19)+1)</f>
        <v>12</v>
      </c>
      <c r="B20" s="8" t="s">
        <v>194</v>
      </c>
      <c r="E20" s="15">
        <f t="shared" si="0"/>
        <v>0.16824863486711944</v>
      </c>
      <c r="H20" s="15">
        <f t="shared" si="1"/>
        <v>0.26572760488906111</v>
      </c>
    </row>
    <row r="21" spans="1:8" x14ac:dyDescent="0.4">
      <c r="A21" s="20">
        <f>IF(ISBLANK(B21),"",MAX(A$6:$A20)+1)</f>
        <v>13</v>
      </c>
      <c r="B21" s="8" t="s">
        <v>239</v>
      </c>
      <c r="E21" s="15">
        <f t="shared" si="0"/>
        <v>0.87425855669198771</v>
      </c>
      <c r="H21" s="15">
        <f t="shared" si="1"/>
        <v>0.15493319878480982</v>
      </c>
    </row>
    <row r="22" spans="1:8" x14ac:dyDescent="0.4">
      <c r="A22" s="20">
        <f>IF(ISBLANK(B22),"",MAX(A$6:$A21)+1)</f>
        <v>14</v>
      </c>
      <c r="B22" s="8" t="s">
        <v>195</v>
      </c>
      <c r="E22" s="15">
        <f t="shared" si="0"/>
        <v>0.87425855669198771</v>
      </c>
      <c r="H22" s="15">
        <f t="shared" si="1"/>
        <v>4.8621844273797385E-2</v>
      </c>
    </row>
    <row r="23" spans="1:8" x14ac:dyDescent="0.4">
      <c r="A23" s="20">
        <f>IF(ISBLANK(B23),"",MAX(A$6:$A22)+1)</f>
        <v>15</v>
      </c>
      <c r="B23" s="8" t="s">
        <v>196</v>
      </c>
      <c r="E23" s="15">
        <f t="shared" si="0"/>
        <v>6.5724223611959967E-2</v>
      </c>
      <c r="H23" s="15">
        <f>H14/H$8</f>
        <v>1.9889746804927638E-2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C9A6-43B9-4CCA-8FCD-60B6EFE9CD69}">
  <sheetPr codeName="Sheet11"/>
  <dimension ref="A1:O47"/>
  <sheetViews>
    <sheetView topLeftCell="D1" workbookViewId="0">
      <selection activeCell="D23" sqref="D23"/>
    </sheetView>
  </sheetViews>
  <sheetFormatPr defaultColWidth="9.23046875" defaultRowHeight="14.6" x14ac:dyDescent="0.4"/>
  <cols>
    <col min="1" max="1" width="4.69140625" style="8" bestFit="1" customWidth="1"/>
    <col min="2" max="2" width="14.84375" style="8" bestFit="1" customWidth="1"/>
    <col min="3" max="3" width="23.23046875" style="8" bestFit="1" customWidth="1"/>
    <col min="4" max="4" width="16.84375" style="8" customWidth="1"/>
    <col min="5" max="8" width="17" style="8" customWidth="1"/>
    <col min="9" max="10" width="17.84375" style="8" customWidth="1"/>
    <col min="11" max="11" width="17" style="8" customWidth="1"/>
    <col min="12" max="16384" width="9.23046875" style="8"/>
  </cols>
  <sheetData>
    <row r="1" spans="1:11" x14ac:dyDescent="0.4">
      <c r="A1" s="8" t="str">
        <f>Contents!A1</f>
        <v>Cascade Natural Gas Corp.</v>
      </c>
    </row>
    <row r="2" spans="1:11" x14ac:dyDescent="0.4">
      <c r="A2" s="8" t="s">
        <v>44</v>
      </c>
    </row>
    <row r="6" spans="1:11" ht="34.299999999999997" x14ac:dyDescent="0.7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1" x14ac:dyDescent="0.4">
      <c r="A7" s="20" t="str">
        <f>IF(ISBLANK(C7),"",MAX(A$6:$A6)+1)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1" x14ac:dyDescent="0.4">
      <c r="A8" s="20">
        <f>IF(ISBLANK(C8),"",MAX(A$6:$A7)+1)</f>
        <v>1</v>
      </c>
      <c r="C8" s="8" t="s">
        <v>21</v>
      </c>
      <c r="D8" s="7">
        <f>SUM(E8:K8)</f>
        <v>234356</v>
      </c>
      <c r="E8" s="7">
        <f>SUM($D$23:$J$23)</f>
        <v>205771</v>
      </c>
      <c r="F8" s="7">
        <f>SUM($D$24:$J$24)</f>
        <v>27779</v>
      </c>
      <c r="G8" s="7">
        <f>SUM($D$25:$J$25)</f>
        <v>497</v>
      </c>
      <c r="H8" s="7">
        <f>SUM($D$26:$J$26)</f>
        <v>101</v>
      </c>
      <c r="I8" s="7">
        <f>SUM($D$27:$J$27)</f>
        <v>7</v>
      </c>
      <c r="J8" s="7">
        <f>SUM($D$28:$J$28)</f>
        <v>193</v>
      </c>
      <c r="K8" s="7">
        <f>SUM($D$29:$J$29)</f>
        <v>8</v>
      </c>
    </row>
    <row r="9" spans="1:11" x14ac:dyDescent="0.4">
      <c r="A9" s="20" t="str">
        <f>IF(ISBLANK(C9),"",MAX(A$6:$A8)+1)</f>
        <v/>
      </c>
      <c r="D9" s="7"/>
      <c r="E9" s="7"/>
      <c r="F9" s="7"/>
      <c r="G9" s="7"/>
      <c r="H9" s="7"/>
      <c r="I9" s="7"/>
      <c r="J9" s="7"/>
      <c r="K9" s="7"/>
    </row>
    <row r="10" spans="1:11" x14ac:dyDescent="0.4">
      <c r="A10" s="20">
        <f>IF(ISBLANK(C10),"",MAX(A$6:$A9)+1)</f>
        <v>2</v>
      </c>
      <c r="C10" s="8" t="s">
        <v>45</v>
      </c>
      <c r="D10" s="18">
        <f>SUM(E10:K10)</f>
        <v>131601402.39999999</v>
      </c>
      <c r="E10" s="18">
        <f>SUMPRODUCT($D$23:$J$23,$D42:$J42)</f>
        <v>88548191.070000008</v>
      </c>
      <c r="F10" s="18">
        <f>SUMPRODUCT($D$24:$J$24,$D42:$J42)</f>
        <v>31368987.629999999</v>
      </c>
      <c r="G10" s="18">
        <f>SUMPRODUCT($D$25:$J$25,$D42:$J42)</f>
        <v>3217200.7800000003</v>
      </c>
      <c r="H10" s="18">
        <f>SUMPRODUCT($D$26:$J$26,$D42:$J42)</f>
        <v>2131854.21</v>
      </c>
      <c r="I10" s="18">
        <f>SUMPRODUCT($D$27:$J$27,$D42:$J42)</f>
        <v>220303.81</v>
      </c>
      <c r="J10" s="18">
        <f>SUMPRODUCT($D$28:$J$28,$D42:$J42)</f>
        <v>5756881.0700000003</v>
      </c>
      <c r="K10" s="18">
        <f>SUMPRODUCT($D$29:$J$29,$D42:$J42)</f>
        <v>357983.83</v>
      </c>
    </row>
    <row r="11" spans="1:11" x14ac:dyDescent="0.4">
      <c r="A11" s="20">
        <f>IF(ISBLANK(C11),"",MAX(A$6:$A10)+1)</f>
        <v>3</v>
      </c>
      <c r="C11" s="8" t="s">
        <v>179</v>
      </c>
      <c r="D11" s="18">
        <f t="shared" ref="D11" si="0">SUM(E11:K11)</f>
        <v>15698738.539999999</v>
      </c>
      <c r="E11" s="18">
        <f>SUMPRODUCT($D$23:$J$23,$D43:$J43)</f>
        <v>7241864.7400000002</v>
      </c>
      <c r="F11" s="18">
        <f>SUMPRODUCT($D$24:$J$24,$D43:$J43)</f>
        <v>6196765.25</v>
      </c>
      <c r="G11" s="18">
        <f>SUMPRODUCT($D$25:$J$25,$D43:$J43)</f>
        <v>728677.76</v>
      </c>
      <c r="H11" s="18">
        <f>SUMPRODUCT($D$26:$J$26,$D43:$J43)</f>
        <v>381331.19</v>
      </c>
      <c r="I11" s="18">
        <f>SUMPRODUCT($D$27:$J$27,$D43:$J43)</f>
        <v>35766.65</v>
      </c>
      <c r="J11" s="18">
        <f>SUMPRODUCT($D$28:$J$28,$D43:$J43)</f>
        <v>1016061.95</v>
      </c>
      <c r="K11" s="18">
        <f>SUMPRODUCT($D$29:$J$29,$D43:$J43)</f>
        <v>98271</v>
      </c>
    </row>
    <row r="12" spans="1:11" x14ac:dyDescent="0.4">
      <c r="A12" s="20" t="str">
        <f>IF(ISBLANK(C12),"",MAX(A$6:$A11)+1)</f>
        <v/>
      </c>
      <c r="E12" s="17"/>
      <c r="F12" s="17"/>
      <c r="G12" s="17"/>
      <c r="H12" s="17"/>
      <c r="I12" s="17"/>
      <c r="J12" s="17"/>
      <c r="K12" s="17"/>
    </row>
    <row r="13" spans="1:11" x14ac:dyDescent="0.4">
      <c r="A13" s="20">
        <f>IF(ISBLANK(C13),"",MAX(A$6:$A12)+1)</f>
        <v>4</v>
      </c>
      <c r="B13" s="8" t="s">
        <v>22</v>
      </c>
      <c r="C13" s="8" t="s">
        <v>181</v>
      </c>
      <c r="E13" s="151">
        <f t="shared" ref="E13:K14" si="1">E10/$D10</f>
        <v>0.67285142449211477</v>
      </c>
      <c r="F13" s="151">
        <f t="shared" si="1"/>
        <v>0.23836362727088994</v>
      </c>
      <c r="G13" s="151">
        <f t="shared" si="1"/>
        <v>2.4446553922133588E-2</v>
      </c>
      <c r="H13" s="151">
        <f t="shared" si="1"/>
        <v>1.6199327447288664E-2</v>
      </c>
      <c r="I13" s="151">
        <f t="shared" si="1"/>
        <v>1.6740232701349998E-3</v>
      </c>
      <c r="J13" s="151">
        <f t="shared" si="1"/>
        <v>4.3744830716180884E-2</v>
      </c>
      <c r="K13" s="151">
        <f t="shared" si="1"/>
        <v>2.7202128812572595E-3</v>
      </c>
    </row>
    <row r="14" spans="1:11" x14ac:dyDescent="0.4">
      <c r="A14" s="20">
        <f>IF(ISBLANK(C14),"",MAX(A$6:$A13)+1)</f>
        <v>5</v>
      </c>
      <c r="B14" s="8" t="s">
        <v>180</v>
      </c>
      <c r="C14" s="8" t="s">
        <v>182</v>
      </c>
      <c r="E14" s="151">
        <f t="shared" si="1"/>
        <v>0.46130233467790466</v>
      </c>
      <c r="F14" s="151">
        <f t="shared" si="1"/>
        <v>0.3947301392535964</v>
      </c>
      <c r="G14" s="151">
        <f t="shared" si="1"/>
        <v>4.6416325626632164E-2</v>
      </c>
      <c r="H14" s="151">
        <f t="shared" si="1"/>
        <v>2.4290562520573072E-2</v>
      </c>
      <c r="I14" s="151">
        <f t="shared" si="1"/>
        <v>2.2783136306695892E-3</v>
      </c>
      <c r="J14" s="151">
        <f t="shared" si="1"/>
        <v>6.4722521966405086E-2</v>
      </c>
      <c r="K14" s="151">
        <f t="shared" si="1"/>
        <v>6.259802324219103E-3</v>
      </c>
    </row>
    <row r="15" spans="1:11" x14ac:dyDescent="0.4">
      <c r="A15" s="20" t="str">
        <f>IF(ISBLANK(C15),"",MAX(A$6:$A14)+1)</f>
        <v/>
      </c>
    </row>
    <row r="16" spans="1:11" x14ac:dyDescent="0.4">
      <c r="A16" s="20" t="str">
        <f>IF(ISBLANK(C16),"",MAX(A$6:$A15)+1)</f>
        <v/>
      </c>
    </row>
    <row r="17" spans="1:15" x14ac:dyDescent="0.4">
      <c r="A17" s="20" t="str">
        <f>IF(ISBLANK(C17),"",MAX(A$6:$A16)+1)</f>
        <v/>
      </c>
    </row>
    <row r="18" spans="1:15" x14ac:dyDescent="0.4">
      <c r="A18" s="20" t="str">
        <f>IF(ISBLANK(C18),"",MAX(A$6:$A17)+1)</f>
        <v/>
      </c>
    </row>
    <row r="19" spans="1:15" x14ac:dyDescent="0.4">
      <c r="A19" s="20" t="str">
        <f>IF(ISBLANK(C19),"",MAX(A$6:$A18)+1)</f>
        <v/>
      </c>
      <c r="B19" s="8" t="s">
        <v>159</v>
      </c>
    </row>
    <row r="20" spans="1:15" ht="43.75" x14ac:dyDescent="0.4">
      <c r="A20" s="20">
        <f>IF(ISBLANK(C20),"",MAX(A$6:$A19)+1)</f>
        <v>6</v>
      </c>
      <c r="C20" s="8" t="s">
        <v>160</v>
      </c>
      <c r="D20" s="152" t="s">
        <v>162</v>
      </c>
      <c r="E20" s="152" t="s">
        <v>163</v>
      </c>
      <c r="F20" s="152" t="s">
        <v>164</v>
      </c>
      <c r="G20" s="152" t="s">
        <v>165</v>
      </c>
      <c r="H20" s="152" t="s">
        <v>166</v>
      </c>
      <c r="I20" s="152" t="s">
        <v>167</v>
      </c>
      <c r="J20" s="152" t="s">
        <v>168</v>
      </c>
    </row>
    <row r="21" spans="1:15" x14ac:dyDescent="0.4">
      <c r="A21" s="20" t="str">
        <f>IF(ISBLANK(C21),"",MAX(A$6:$A20)+1)</f>
        <v/>
      </c>
      <c r="D21" s="152"/>
      <c r="E21" s="152"/>
      <c r="F21" s="152"/>
      <c r="G21" s="152"/>
      <c r="H21" s="152"/>
      <c r="I21" s="152"/>
      <c r="J21" s="152"/>
    </row>
    <row r="22" spans="1:15" x14ac:dyDescent="0.4">
      <c r="A22" s="20">
        <f>IF(ISBLANK(C22),"",MAX(A$6:$A21)+1)</f>
        <v>7</v>
      </c>
      <c r="C22" s="77" t="s">
        <v>161</v>
      </c>
    </row>
    <row r="23" spans="1:15" x14ac:dyDescent="0.4">
      <c r="A23" s="20">
        <f>IF(ISBLANK(C23),"",MAX(A$6:$A22)+1)</f>
        <v>8</v>
      </c>
      <c r="C23" s="8" t="str">
        <f>$E$6</f>
        <v>Res
503</v>
      </c>
      <c r="D23" s="7">
        <f>[3]Meter!C51</f>
        <v>201707</v>
      </c>
      <c r="E23" s="7">
        <f>[3]Meter!D51</f>
        <v>3592</v>
      </c>
      <c r="F23" s="7">
        <f>[3]Meter!E51</f>
        <v>463</v>
      </c>
      <c r="G23" s="7">
        <f>[3]Meter!F51</f>
        <v>7</v>
      </c>
      <c r="H23" s="7">
        <f>[3]Meter!G51</f>
        <v>2</v>
      </c>
      <c r="I23" s="7">
        <f>[3]Meter!H51</f>
        <v>0</v>
      </c>
      <c r="J23" s="7">
        <f>[3]Meter!I51</f>
        <v>0</v>
      </c>
    </row>
    <row r="24" spans="1:15" x14ac:dyDescent="0.4">
      <c r="A24" s="20">
        <f>IF(ISBLANK(C24),"",MAX(A$6:$A23)+1)</f>
        <v>9</v>
      </c>
      <c r="C24" s="8" t="str">
        <f>$F$6</f>
        <v>GSC
504</v>
      </c>
      <c r="D24" s="7">
        <f>[3]Meter!C52</f>
        <v>16902</v>
      </c>
      <c r="E24" s="7">
        <f>[3]Meter!D52</f>
        <v>3995</v>
      </c>
      <c r="F24" s="7">
        <f>[3]Meter!E52</f>
        <v>5033</v>
      </c>
      <c r="G24" s="7">
        <f>[3]Meter!F52</f>
        <v>900</v>
      </c>
      <c r="H24" s="7">
        <f>[3]Meter!G52</f>
        <v>919</v>
      </c>
      <c r="I24" s="7">
        <f>[3]Meter!H52</f>
        <v>30</v>
      </c>
      <c r="J24" s="7">
        <f>[3]Meter!I52</f>
        <v>0</v>
      </c>
    </row>
    <row r="25" spans="1:15" x14ac:dyDescent="0.4">
      <c r="A25" s="20">
        <f>IF(ISBLANK(C25),"",MAX(A$6:$A24)+1)</f>
        <v>10</v>
      </c>
      <c r="C25" s="8" t="str">
        <f>$G$6</f>
        <v>GSI
505</v>
      </c>
      <c r="D25" s="7">
        <f>[3]Meter!C53</f>
        <v>56</v>
      </c>
      <c r="E25" s="7">
        <f>[3]Meter!D53</f>
        <v>39</v>
      </c>
      <c r="F25" s="7">
        <f>[3]Meter!E53</f>
        <v>133</v>
      </c>
      <c r="G25" s="7">
        <f>[3]Meter!F53</f>
        <v>73</v>
      </c>
      <c r="H25" s="7">
        <f>[3]Meter!G53</f>
        <v>157</v>
      </c>
      <c r="I25" s="7">
        <f>[3]Meter!H53</f>
        <v>39</v>
      </c>
      <c r="J25" s="7">
        <f>[3]Meter!I53</f>
        <v>0</v>
      </c>
    </row>
    <row r="26" spans="1:15" x14ac:dyDescent="0.4">
      <c r="A26" s="20">
        <f>IF(ISBLANK(C26),"",MAX(A$6:$A25)+1)</f>
        <v>11</v>
      </c>
      <c r="C26" s="8" t="str">
        <f>$H$6</f>
        <v>GSLV
511</v>
      </c>
      <c r="D26" s="7">
        <f>[3]Meter!C54</f>
        <v>0</v>
      </c>
      <c r="E26" s="7">
        <f>[3]Meter!D54</f>
        <v>0</v>
      </c>
      <c r="F26" s="7">
        <f>[3]Meter!E54</f>
        <v>2</v>
      </c>
      <c r="G26" s="7">
        <f>[3]Meter!F54</f>
        <v>2</v>
      </c>
      <c r="H26" s="7">
        <f>[3]Meter!G54</f>
        <v>47</v>
      </c>
      <c r="I26" s="7">
        <f>[3]Meter!H54</f>
        <v>50</v>
      </c>
      <c r="J26" s="7">
        <f>[3]Meter!I54</f>
        <v>0</v>
      </c>
    </row>
    <row r="27" spans="1:15" x14ac:dyDescent="0.4">
      <c r="A27" s="20">
        <f>IF(ISBLANK(C27),"",MAX(A$6:$A26)+1)</f>
        <v>12</v>
      </c>
      <c r="C27" s="8" t="str">
        <f>$I$6</f>
        <v>Interruptible
570</v>
      </c>
      <c r="D27" s="7">
        <f>[3]Meter!C55</f>
        <v>0</v>
      </c>
      <c r="E27" s="7">
        <f>[3]Meter!D55</f>
        <v>0</v>
      </c>
      <c r="F27" s="7">
        <f>[3]Meter!E55</f>
        <v>0</v>
      </c>
      <c r="G27" s="7">
        <f>[3]Meter!F55</f>
        <v>0</v>
      </c>
      <c r="H27" s="7">
        <f>[3]Meter!G55</f>
        <v>1</v>
      </c>
      <c r="I27" s="7">
        <f>[3]Meter!H55</f>
        <v>6</v>
      </c>
      <c r="J27" s="7">
        <f>[3]Meter!I55</f>
        <v>0</v>
      </c>
    </row>
    <row r="28" spans="1:15" x14ac:dyDescent="0.4">
      <c r="A28" s="20">
        <f>IF(ISBLANK(C28),"",MAX(A$6:$A27)+1)</f>
        <v>13</v>
      </c>
      <c r="C28" s="8" t="str">
        <f>$J$6</f>
        <v>Transport
663</v>
      </c>
      <c r="D28" s="7">
        <f>[3]Meter!C56</f>
        <v>0</v>
      </c>
      <c r="E28" s="7">
        <f>[3]Meter!D56</f>
        <v>0</v>
      </c>
      <c r="F28" s="7">
        <f>[3]Meter!E56</f>
        <v>0</v>
      </c>
      <c r="G28" s="7">
        <f>[3]Meter!F56</f>
        <v>0</v>
      </c>
      <c r="H28" s="7">
        <f>[3]Meter!G56</f>
        <v>43</v>
      </c>
      <c r="I28" s="7">
        <f>[3]Meter!H56</f>
        <v>142</v>
      </c>
      <c r="J28" s="7">
        <f>[3]Meter!I56</f>
        <v>8</v>
      </c>
    </row>
    <row r="29" spans="1:15" x14ac:dyDescent="0.4">
      <c r="A29" s="20">
        <f>IF(ISBLANK(C29),"",MAX(A$6:$A28)+1)</f>
        <v>14</v>
      </c>
      <c r="C29" s="8" t="str">
        <f>$K$6</f>
        <v>Spl Contracts</v>
      </c>
      <c r="D29" s="7">
        <f>[3]Meter!C57</f>
        <v>0</v>
      </c>
      <c r="E29" s="7">
        <f>[3]Meter!D57</f>
        <v>0</v>
      </c>
      <c r="F29" s="7">
        <f>[3]Meter!E57</f>
        <v>0</v>
      </c>
      <c r="G29" s="7">
        <f>[3]Meter!F57</f>
        <v>0</v>
      </c>
      <c r="H29" s="7">
        <f>[3]Meter!G57</f>
        <v>0</v>
      </c>
      <c r="I29" s="7">
        <f>[3]Meter!H57</f>
        <v>3</v>
      </c>
      <c r="J29" s="7">
        <f>[3]Meter!I57</f>
        <v>5</v>
      </c>
      <c r="O29" s="8" t="s">
        <v>564</v>
      </c>
    </row>
    <row r="30" spans="1:15" x14ac:dyDescent="0.4">
      <c r="A30" s="20" t="str">
        <f>IF(ISBLANK(C30),"",MAX(A$6:$A29)+1)</f>
        <v/>
      </c>
    </row>
    <row r="31" spans="1:15" x14ac:dyDescent="0.4">
      <c r="A31" s="20">
        <f>IF(ISBLANK(C31),"",MAX(A$6:$A30)+1)</f>
        <v>15</v>
      </c>
      <c r="C31" s="77" t="s">
        <v>169</v>
      </c>
    </row>
    <row r="32" spans="1:15" x14ac:dyDescent="0.4">
      <c r="A32" s="20">
        <f>IF(ISBLANK(C32),"",MAX(A$6:$A31)+1)</f>
        <v>16</v>
      </c>
      <c r="C32" s="8" t="s">
        <v>170</v>
      </c>
      <c r="D32" s="153">
        <f>[3]Meter!C35</f>
        <v>125.17</v>
      </c>
      <c r="E32" s="153">
        <f>[3]Meter!D35</f>
        <v>259.58</v>
      </c>
      <c r="F32" s="153">
        <f>[3]Meter!E35</f>
        <v>1386.21</v>
      </c>
      <c r="G32" s="153">
        <f>[3]Meter!F35</f>
        <v>2634.64</v>
      </c>
      <c r="H32" s="153">
        <f>[3]Meter!G35</f>
        <v>4217.33</v>
      </c>
      <c r="I32" s="153">
        <f>[3]Meter!H35</f>
        <v>7376</v>
      </c>
      <c r="J32" s="153">
        <f>[3]Meter!I35</f>
        <v>8100</v>
      </c>
    </row>
    <row r="33" spans="1:10" x14ac:dyDescent="0.4">
      <c r="A33" s="20">
        <f>IF(ISBLANK(C33),"",MAX(A$6:$A32)+1)</f>
        <v>17</v>
      </c>
      <c r="C33" s="8" t="s">
        <v>171</v>
      </c>
      <c r="D33" s="153">
        <f>[3]Meter!C36</f>
        <v>70.67</v>
      </c>
      <c r="E33" s="153">
        <f>[3]Meter!D36</f>
        <v>70.67</v>
      </c>
      <c r="F33" s="153">
        <f>[3]Meter!E36</f>
        <v>85.06</v>
      </c>
      <c r="G33" s="153">
        <f>[3]Meter!F36</f>
        <v>122.07</v>
      </c>
      <c r="H33" s="153">
        <f>[3]Meter!G36</f>
        <v>122.07</v>
      </c>
      <c r="I33" s="153">
        <f>[3]Meter!H36</f>
        <v>0</v>
      </c>
      <c r="J33" s="153">
        <f>[3]Meter!I36</f>
        <v>0</v>
      </c>
    </row>
    <row r="34" spans="1:10" x14ac:dyDescent="0.4">
      <c r="A34" s="20">
        <f>IF(ISBLANK(C34),"",MAX(A$6:$A33)+1)</f>
        <v>18</v>
      </c>
      <c r="C34" s="8" t="s">
        <v>172</v>
      </c>
      <c r="D34" s="153">
        <f>[3]Meter!C37</f>
        <v>91.94</v>
      </c>
      <c r="E34" s="153">
        <f>[3]Meter!D37</f>
        <v>124.87</v>
      </c>
      <c r="F34" s="153">
        <f>[3]Meter!E37</f>
        <v>203.5</v>
      </c>
      <c r="G34" s="153">
        <f>[3]Meter!F37</f>
        <v>1783.1</v>
      </c>
      <c r="H34" s="153">
        <f>[3]Meter!G37</f>
        <v>1827.87</v>
      </c>
      <c r="I34" s="153">
        <f>[3]Meter!H37</f>
        <v>17472.09</v>
      </c>
      <c r="J34" s="153">
        <f>[3]Meter!I37</f>
        <v>31537.48</v>
      </c>
    </row>
    <row r="35" spans="1:10" x14ac:dyDescent="0.4">
      <c r="A35" s="20">
        <f>IF(ISBLANK(C35),"",MAX(A$6:$A34)+1)</f>
        <v>19</v>
      </c>
      <c r="C35" s="8" t="s">
        <v>173</v>
      </c>
      <c r="D35" s="153">
        <f>[3]Meter!C38</f>
        <v>0</v>
      </c>
      <c r="E35" s="153">
        <f>[3]Meter!D38</f>
        <v>0</v>
      </c>
      <c r="F35" s="153">
        <f>[3]Meter!E38</f>
        <v>0</v>
      </c>
      <c r="G35" s="153">
        <f>[3]Meter!F38</f>
        <v>0</v>
      </c>
      <c r="H35" s="153">
        <f>[3]Meter!G38</f>
        <v>0</v>
      </c>
      <c r="I35" s="153">
        <f>[3]Meter!H38</f>
        <v>6314</v>
      </c>
      <c r="J35" s="153">
        <f>[3]Meter!I38</f>
        <v>6314</v>
      </c>
    </row>
    <row r="36" spans="1:10" x14ac:dyDescent="0.4">
      <c r="A36" s="20">
        <f>IF(ISBLANK(C36),"",MAX(A$6:$A35)+1)</f>
        <v>20</v>
      </c>
      <c r="C36" s="8" t="s">
        <v>174</v>
      </c>
      <c r="D36" s="153">
        <f>[3]Meter!C39</f>
        <v>136.24</v>
      </c>
      <c r="E36" s="153">
        <f>[3]Meter!D39</f>
        <v>137.25</v>
      </c>
      <c r="F36" s="153">
        <f>[3]Meter!E39</f>
        <v>138.36000000000001</v>
      </c>
      <c r="G36" s="153">
        <f>[3]Meter!F39</f>
        <v>969.39</v>
      </c>
      <c r="H36" s="153">
        <f>[3]Meter!G39</f>
        <v>1108.8800000000001</v>
      </c>
      <c r="I36" s="153">
        <f>[3]Meter!H39</f>
        <v>4342.5200000000004</v>
      </c>
      <c r="J36" s="153">
        <f>[3]Meter!I39</f>
        <v>4342.5200000000004</v>
      </c>
    </row>
    <row r="37" spans="1:10" x14ac:dyDescent="0.4">
      <c r="A37" s="20">
        <f>IF(ISBLANK(C37),"",MAX(A$6:$A36)+1)</f>
        <v>21</v>
      </c>
      <c r="C37" s="8" t="s">
        <v>175</v>
      </c>
      <c r="D37" s="153">
        <f>[3]Meter!C40</f>
        <v>0</v>
      </c>
      <c r="E37" s="153">
        <f>[3]Meter!D40</f>
        <v>0</v>
      </c>
      <c r="F37" s="153">
        <f>[3]Meter!E40</f>
        <v>0</v>
      </c>
      <c r="G37" s="153">
        <f>[3]Meter!F40</f>
        <v>0</v>
      </c>
      <c r="H37" s="153">
        <f>[3]Meter!G40</f>
        <v>0</v>
      </c>
      <c r="I37" s="153">
        <f>[3]Meter!H40</f>
        <v>0</v>
      </c>
      <c r="J37" s="153">
        <f>[3]Meter!I40</f>
        <v>0</v>
      </c>
    </row>
    <row r="38" spans="1:10" x14ac:dyDescent="0.4">
      <c r="A38" s="20">
        <f>IF(ISBLANK(C38),"",MAX(A$6:$A37)+1)</f>
        <v>22</v>
      </c>
      <c r="C38" s="8" t="s">
        <v>176</v>
      </c>
      <c r="D38" s="153">
        <f>[3]Meter!C41</f>
        <v>0</v>
      </c>
      <c r="E38" s="153">
        <f>[3]Meter!D41</f>
        <v>0</v>
      </c>
      <c r="F38" s="153">
        <f>[3]Meter!E41</f>
        <v>0</v>
      </c>
      <c r="G38" s="153">
        <f>[3]Meter!F41</f>
        <v>0</v>
      </c>
      <c r="H38" s="153">
        <f>[3]Meter!G41</f>
        <v>0</v>
      </c>
      <c r="I38" s="153">
        <f>[3]Meter!H41</f>
        <v>0</v>
      </c>
      <c r="J38" s="153">
        <f>[3]Meter!I41</f>
        <v>0</v>
      </c>
    </row>
    <row r="39" spans="1:10" x14ac:dyDescent="0.4">
      <c r="A39" s="20">
        <f>IF(ISBLANK(C39),"",MAX(A$6:$A38)+1)</f>
        <v>23</v>
      </c>
      <c r="C39" s="8" t="s">
        <v>177</v>
      </c>
      <c r="D39" s="153">
        <f>[3]Meter!C42</f>
        <v>33.32</v>
      </c>
      <c r="E39" s="153">
        <f>[3]Meter!D42</f>
        <v>105.57</v>
      </c>
      <c r="F39" s="153">
        <f>[3]Meter!E42</f>
        <v>266.67</v>
      </c>
      <c r="G39" s="153">
        <f>[3]Meter!F42</f>
        <v>2034.65</v>
      </c>
      <c r="H39" s="153">
        <f>[3]Meter!G42</f>
        <v>2034.65</v>
      </c>
      <c r="I39" s="153">
        <f>[3]Meter!H42</f>
        <v>5622</v>
      </c>
      <c r="J39" s="153">
        <f>[3]Meter!I42</f>
        <v>16281</v>
      </c>
    </row>
    <row r="40" spans="1:10" x14ac:dyDescent="0.4">
      <c r="A40" s="20">
        <f>IF(ISBLANK(C40),"",MAX(A$6:$A39)+1)</f>
        <v>24</v>
      </c>
      <c r="C40" s="8" t="s">
        <v>12</v>
      </c>
      <c r="D40" s="154">
        <f>SUM(D32:D39)</f>
        <v>457.34</v>
      </c>
      <c r="E40" s="154">
        <f t="shared" ref="E40:J40" si="2">SUM(E32:E39)</f>
        <v>697.94</v>
      </c>
      <c r="F40" s="154">
        <f t="shared" si="2"/>
        <v>2079.8000000000002</v>
      </c>
      <c r="G40" s="154">
        <f t="shared" si="2"/>
        <v>7543.85</v>
      </c>
      <c r="H40" s="154">
        <f t="shared" si="2"/>
        <v>9310.7999999999993</v>
      </c>
      <c r="I40" s="154">
        <f t="shared" si="2"/>
        <v>41126.61</v>
      </c>
      <c r="J40" s="154">
        <f t="shared" si="2"/>
        <v>66575</v>
      </c>
    </row>
    <row r="41" spans="1:10" x14ac:dyDescent="0.4">
      <c r="A41" s="20" t="str">
        <f>IF(ISBLANK(C41),"",MAX(A$6:$A40)+1)</f>
        <v/>
      </c>
    </row>
    <row r="42" spans="1:10" x14ac:dyDescent="0.4">
      <c r="A42" s="20">
        <f>IF(ISBLANK(C42),"",MAX(A$6:$A41)+1)</f>
        <v>25</v>
      </c>
      <c r="C42" s="8" t="s">
        <v>565</v>
      </c>
      <c r="D42" s="154">
        <f>SUM(D32:D38)</f>
        <v>424.02</v>
      </c>
      <c r="E42" s="154">
        <f t="shared" ref="E42:J42" si="3">SUM(E32:E38)</f>
        <v>592.37</v>
      </c>
      <c r="F42" s="154">
        <f t="shared" si="3"/>
        <v>1813.13</v>
      </c>
      <c r="G42" s="154">
        <f t="shared" si="3"/>
        <v>5509.2</v>
      </c>
      <c r="H42" s="154">
        <f>SUM(H32:H38)</f>
        <v>7276.15</v>
      </c>
      <c r="I42" s="154">
        <f t="shared" si="3"/>
        <v>35504.61</v>
      </c>
      <c r="J42" s="154">
        <f t="shared" si="3"/>
        <v>50294</v>
      </c>
    </row>
    <row r="43" spans="1:10" x14ac:dyDescent="0.4">
      <c r="A43" s="20">
        <f>IF(ISBLANK(C43),"",MAX(A$6:$A42)+1)</f>
        <v>26</v>
      </c>
      <c r="C43" s="8" t="s">
        <v>178</v>
      </c>
      <c r="D43" s="154">
        <f>D39</f>
        <v>33.32</v>
      </c>
      <c r="E43" s="154">
        <f t="shared" ref="E43:J43" si="4">E39</f>
        <v>105.57</v>
      </c>
      <c r="F43" s="154">
        <f t="shared" si="4"/>
        <v>266.67</v>
      </c>
      <c r="G43" s="154">
        <f t="shared" si="4"/>
        <v>2034.65</v>
      </c>
      <c r="H43" s="154">
        <f t="shared" si="4"/>
        <v>2034.65</v>
      </c>
      <c r="I43" s="154">
        <f>I39</f>
        <v>5622</v>
      </c>
      <c r="J43" s="154">
        <f t="shared" si="4"/>
        <v>16281</v>
      </c>
    </row>
    <row r="44" spans="1:10" x14ac:dyDescent="0.4">
      <c r="A44" s="20" t="str">
        <f>IF(ISBLANK(C44),"",MAX(A$6:$A43)+1)</f>
        <v/>
      </c>
    </row>
    <row r="45" spans="1:10" x14ac:dyDescent="0.4">
      <c r="A45" s="20" t="str">
        <f>IF(ISBLANK(C45),"",MAX(A$6:$A44)+1)</f>
        <v/>
      </c>
    </row>
    <row r="46" spans="1:10" x14ac:dyDescent="0.4">
      <c r="A46" s="20" t="str">
        <f>IF(ISBLANK(C46),"",MAX(A$6:$A45)+1)</f>
        <v/>
      </c>
    </row>
    <row r="47" spans="1:10" x14ac:dyDescent="0.4">
      <c r="A47" s="20" t="str">
        <f>IF(ISBLANK(C47),"",MAX(A$6:$A46)+1)</f>
        <v/>
      </c>
      <c r="D47" s="21"/>
      <c r="E47" s="21"/>
      <c r="F47" s="21"/>
      <c r="G47" s="21"/>
      <c r="H47" s="21"/>
      <c r="I47" s="21"/>
      <c r="J47" s="21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577-CCD8-47A8-ABE4-B4BA9FF756A4}">
  <sheetPr codeName="Sheet13"/>
  <dimension ref="A1:L39"/>
  <sheetViews>
    <sheetView topLeftCell="E1" workbookViewId="0">
      <selection activeCell="I12" sqref="I12"/>
    </sheetView>
  </sheetViews>
  <sheetFormatPr defaultColWidth="8.69140625" defaultRowHeight="14.6" x14ac:dyDescent="0.4"/>
  <cols>
    <col min="1" max="1" width="4.69140625" style="8" bestFit="1" customWidth="1"/>
    <col min="2" max="2" width="16.15234375" style="8" customWidth="1"/>
    <col min="3" max="3" width="28.84375" style="8" bestFit="1" customWidth="1"/>
    <col min="4" max="4" width="14.53515625" style="8" bestFit="1" customWidth="1"/>
    <col min="5" max="8" width="17" style="8" customWidth="1"/>
    <col min="9" max="10" width="17.69140625" style="8" customWidth="1"/>
    <col min="11" max="11" width="17" style="8" customWidth="1"/>
    <col min="12" max="16384" width="8.69140625" style="8"/>
  </cols>
  <sheetData>
    <row r="1" spans="1:11" x14ac:dyDescent="0.4">
      <c r="A1" s="8" t="str">
        <f>Contents!A1</f>
        <v>Cascade Natural Gas Corp.</v>
      </c>
    </row>
    <row r="2" spans="1:11" x14ac:dyDescent="0.4">
      <c r="A2" s="8" t="s">
        <v>46</v>
      </c>
    </row>
    <row r="6" spans="1:11" ht="34.299999999999997" x14ac:dyDescent="0.7">
      <c r="A6" s="26" t="str">
        <f>EXTERNAL!A5</f>
        <v>Line</v>
      </c>
      <c r="B6" s="50" t="str">
        <f>EXTERNAL!B5</f>
        <v>Allocation Factor</v>
      </c>
      <c r="C6" s="50" t="str">
        <f>EXTERNAL!C5</f>
        <v>Description</v>
      </c>
      <c r="D6" s="26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1" x14ac:dyDescent="0.4">
      <c r="A7" s="20" t="str">
        <f>IF(ISBLANK(C7),"",MAX(A$6:$A6)+1)</f>
        <v/>
      </c>
      <c r="D7" s="18"/>
      <c r="E7" s="18"/>
      <c r="F7" s="18"/>
      <c r="G7" s="18"/>
      <c r="H7" s="18"/>
      <c r="I7" s="18"/>
      <c r="J7" s="18"/>
      <c r="K7" s="18"/>
    </row>
    <row r="8" spans="1:11" x14ac:dyDescent="0.4">
      <c r="A8" s="20">
        <f>IF(ISBLANK(C8),"",MAX(A$6:$A7)+1)</f>
        <v>1</v>
      </c>
      <c r="C8" s="8" t="s">
        <v>256</v>
      </c>
      <c r="D8" s="18"/>
      <c r="E8" s="18">
        <f>G36</f>
        <v>1008.0603596908052</v>
      </c>
      <c r="F8" s="18">
        <f>G36</f>
        <v>1008.0603596908052</v>
      </c>
      <c r="G8" s="18">
        <f>G37</f>
        <v>1558.0339186888032</v>
      </c>
      <c r="H8" s="18">
        <f>G37</f>
        <v>1558.0339186888032</v>
      </c>
      <c r="I8" s="18" t="s">
        <v>566</v>
      </c>
      <c r="J8" s="18" t="s">
        <v>566</v>
      </c>
      <c r="K8" s="18" t="s">
        <v>566</v>
      </c>
    </row>
    <row r="9" spans="1:11" x14ac:dyDescent="0.4">
      <c r="A9" s="20" t="str">
        <f>IF(ISBLANK(C9),"",MAX(A$6:$A8)+1)</f>
        <v/>
      </c>
      <c r="D9" s="7"/>
      <c r="E9" s="18"/>
      <c r="F9" s="18"/>
      <c r="G9" s="18"/>
      <c r="H9" s="18"/>
      <c r="I9" s="18"/>
      <c r="J9" s="18"/>
      <c r="K9" s="18"/>
    </row>
    <row r="10" spans="1:11" x14ac:dyDescent="0.4">
      <c r="A10" s="20">
        <f>IF(ISBLANK(C10),"",MAX(A$6:$A9)+1)</f>
        <v>2</v>
      </c>
      <c r="C10" s="8" t="s">
        <v>255</v>
      </c>
      <c r="D10" s="17">
        <f>SUM(E10:K10)</f>
        <v>232973</v>
      </c>
      <c r="E10" s="7">
        <f>EXTERNAL!E86</f>
        <v>204516</v>
      </c>
      <c r="F10" s="7">
        <f>EXTERNAL!F86</f>
        <v>27656</v>
      </c>
      <c r="G10" s="7">
        <f>EXTERNAL!G86</f>
        <v>495</v>
      </c>
      <c r="H10" s="7">
        <f>EXTERNAL!H86</f>
        <v>99</v>
      </c>
      <c r="I10" s="7">
        <f>EXTERNAL!I86</f>
        <v>7</v>
      </c>
      <c r="J10" s="7">
        <f>EXTERNAL!J86</f>
        <v>193</v>
      </c>
      <c r="K10" s="7">
        <f>EXTERNAL!K86</f>
        <v>7</v>
      </c>
    </row>
    <row r="11" spans="1:11" x14ac:dyDescent="0.4">
      <c r="A11" s="20" t="str">
        <f>IF(ISBLANK(C11),"",MAX(A$6:$A10)+1)</f>
        <v/>
      </c>
      <c r="D11" s="153"/>
      <c r="E11" s="153"/>
      <c r="F11" s="153"/>
      <c r="G11" s="153"/>
      <c r="H11" s="153"/>
      <c r="I11" s="153"/>
      <c r="J11" s="153"/>
      <c r="K11" s="153"/>
    </row>
    <row r="12" spans="1:11" x14ac:dyDescent="0.4">
      <c r="A12" s="20">
        <f>IF(ISBLANK(C12),"",MAX(A$6:$A11)+1)</f>
        <v>3</v>
      </c>
      <c r="B12" s="8" t="s">
        <v>24</v>
      </c>
      <c r="C12" s="8" t="s">
        <v>259</v>
      </c>
      <c r="D12" s="18">
        <f>SUM(E12:K12)</f>
        <v>235297177.68801618</v>
      </c>
      <c r="E12" s="18">
        <f>E8*E10</f>
        <v>206164472.52252471</v>
      </c>
      <c r="F12" s="18">
        <f t="shared" ref="F12:H12" si="0">F8*F10</f>
        <v>27878917.307608906</v>
      </c>
      <c r="G12" s="18">
        <f t="shared" si="0"/>
        <v>771226.78975095751</v>
      </c>
      <c r="H12" s="18">
        <f t="shared" si="0"/>
        <v>154245.35795019151</v>
      </c>
      <c r="I12" s="18">
        <f>'[2]Large Customer Plant'!$T$32</f>
        <v>7869.6455208385751</v>
      </c>
      <c r="J12" s="18">
        <f>'[2]Large Customer Plant'!$T$31</f>
        <v>298204.27466059296</v>
      </c>
      <c r="K12" s="18">
        <f>'Spl Contract Direct'!Q41</f>
        <v>22241.79</v>
      </c>
    </row>
    <row r="13" spans="1:11" x14ac:dyDescent="0.4">
      <c r="A13" s="20" t="str">
        <f>IF(ISBLANK(C13),"",MAX(A$6:$A12)+1)</f>
        <v/>
      </c>
      <c r="E13" s="17"/>
      <c r="F13" s="17"/>
      <c r="G13" s="17"/>
      <c r="H13" s="17"/>
      <c r="I13" s="17"/>
      <c r="J13" s="17"/>
      <c r="K13" s="17"/>
    </row>
    <row r="14" spans="1:11" x14ac:dyDescent="0.4">
      <c r="A14" s="20">
        <f>IF(ISBLANK(C14),"",MAX(A$6:$A13)+1)</f>
        <v>4</v>
      </c>
      <c r="C14" s="8" t="s">
        <v>47</v>
      </c>
      <c r="E14" s="155">
        <f>E8/$E$8</f>
        <v>1</v>
      </c>
      <c r="F14" s="155">
        <f t="shared" ref="F14:G14" si="1">F8/$E$8</f>
        <v>1</v>
      </c>
      <c r="G14" s="155">
        <f t="shared" si="1"/>
        <v>1.5455760200378152</v>
      </c>
      <c r="H14" s="155">
        <f>H8/$E$8</f>
        <v>1.5455760200378152</v>
      </c>
      <c r="I14" s="58"/>
      <c r="J14" s="58"/>
      <c r="K14" s="58"/>
    </row>
    <row r="15" spans="1:11" x14ac:dyDescent="0.4">
      <c r="A15" s="20" t="str">
        <f>IF(ISBLANK(C15),"",MAX(A$6:$A14)+1)</f>
        <v/>
      </c>
    </row>
    <row r="16" spans="1:11" x14ac:dyDescent="0.4">
      <c r="A16" s="20" t="str">
        <f>IF(ISBLANK(C16),"",MAX(A$6:$A15)+1)</f>
        <v/>
      </c>
    </row>
    <row r="17" spans="1:12" x14ac:dyDescent="0.4">
      <c r="A17" s="20" t="str">
        <f>IF(ISBLANK(C17),"",MAX(A$6:$A16)+1)</f>
        <v/>
      </c>
    </row>
    <row r="18" spans="1:12" x14ac:dyDescent="0.4">
      <c r="A18" s="20" t="str">
        <f>IF(ISBLANK(C18),"",MAX(A$6:$A17)+1)</f>
        <v/>
      </c>
    </row>
    <row r="19" spans="1:12" x14ac:dyDescent="0.4">
      <c r="A19" s="20" t="str">
        <f>IF(ISBLANK(C19),"",MAX(A$6:$A18)+1)</f>
        <v/>
      </c>
    </row>
    <row r="20" spans="1:12" x14ac:dyDescent="0.4">
      <c r="A20" s="20" t="str">
        <f>IF(ISBLANK(C20),"",MAX(A$6:$A19)+1)</f>
        <v/>
      </c>
    </row>
    <row r="21" spans="1:12" ht="34.299999999999997" x14ac:dyDescent="0.7">
      <c r="A21" s="20">
        <f>IF(ISBLANK(C21),"",MAX(A$6:$A20)+1)</f>
        <v>5</v>
      </c>
      <c r="B21" s="50" t="s">
        <v>232</v>
      </c>
      <c r="C21" s="26" t="s">
        <v>233</v>
      </c>
      <c r="D21" s="26" t="s">
        <v>254</v>
      </c>
      <c r="E21" s="26" t="s">
        <v>189</v>
      </c>
      <c r="F21" s="26" t="s">
        <v>187</v>
      </c>
      <c r="G21" s="26" t="s">
        <v>253</v>
      </c>
      <c r="L21" s="8" t="s">
        <v>234</v>
      </c>
    </row>
    <row r="22" spans="1:12" x14ac:dyDescent="0.4">
      <c r="A22" s="20">
        <f>IF(ISBLANK(C22),"",MAX(A$6:$A21)+1)</f>
        <v>6</v>
      </c>
      <c r="B22" s="8" t="s">
        <v>242</v>
      </c>
      <c r="C22" s="8" t="s">
        <v>243</v>
      </c>
      <c r="D22" s="7">
        <v>128562</v>
      </c>
      <c r="E22" s="7">
        <v>171909634.25999999</v>
      </c>
      <c r="F22" s="8">
        <v>1.25</v>
      </c>
      <c r="G22" s="153">
        <f>E22/D22</f>
        <v>1337.1729924861156</v>
      </c>
    </row>
    <row r="23" spans="1:12" x14ac:dyDescent="0.4">
      <c r="A23" s="20">
        <f>IF(ISBLANK(C23),"",MAX(A$6:$A22)+1)</f>
        <v>7</v>
      </c>
      <c r="B23" s="8" t="s">
        <v>242</v>
      </c>
      <c r="C23" s="8" t="s">
        <v>244</v>
      </c>
      <c r="D23" s="7">
        <v>4288</v>
      </c>
      <c r="E23" s="7">
        <v>9675984.8399999961</v>
      </c>
      <c r="F23" s="8">
        <v>2</v>
      </c>
      <c r="G23" s="153">
        <f t="shared" ref="G23:G31" si="2">E23/D23</f>
        <v>2256.5263152985067</v>
      </c>
    </row>
    <row r="24" spans="1:12" x14ac:dyDescent="0.4">
      <c r="A24" s="20">
        <f>IF(ISBLANK(C24),"",MAX(A$6:$A23)+1)</f>
        <v>8</v>
      </c>
      <c r="B24" s="8" t="s">
        <v>242</v>
      </c>
      <c r="C24" s="8" t="s">
        <v>245</v>
      </c>
      <c r="D24" s="7">
        <v>1667</v>
      </c>
      <c r="E24" s="7">
        <v>1868127.1800000004</v>
      </c>
      <c r="F24" s="8">
        <v>4</v>
      </c>
      <c r="G24" s="153">
        <f t="shared" si="2"/>
        <v>1120.6521775644874</v>
      </c>
    </row>
    <row r="25" spans="1:12" x14ac:dyDescent="0.4">
      <c r="A25" s="20">
        <f>IF(ISBLANK(C25),"",MAX(A$6:$A24)+1)</f>
        <v>9</v>
      </c>
      <c r="B25" s="8" t="s">
        <v>242</v>
      </c>
      <c r="C25" s="8" t="s">
        <v>246</v>
      </c>
      <c r="D25" s="7">
        <v>15</v>
      </c>
      <c r="E25" s="7">
        <v>270804.97000000003</v>
      </c>
      <c r="F25" s="8">
        <v>6</v>
      </c>
      <c r="G25" s="153">
        <f>E25/D25</f>
        <v>18053.664666666667</v>
      </c>
    </row>
    <row r="26" spans="1:12" x14ac:dyDescent="0.4">
      <c r="A26" s="20">
        <f>IF(ISBLANK(C26),"",MAX(A$6:$A25)+1)</f>
        <v>10</v>
      </c>
      <c r="B26" s="8" t="s">
        <v>242</v>
      </c>
      <c r="C26" s="8" t="s">
        <v>212</v>
      </c>
      <c r="D26" s="7">
        <v>299</v>
      </c>
      <c r="E26" s="7">
        <v>581647.4099999998</v>
      </c>
      <c r="G26" s="153">
        <f t="shared" si="2"/>
        <v>1945.3090635451499</v>
      </c>
    </row>
    <row r="27" spans="1:12" x14ac:dyDescent="0.4">
      <c r="A27" s="20">
        <f>IF(ISBLANK(C27),"",MAX(A$6:$A26)+1)</f>
        <v>11</v>
      </c>
      <c r="B27" s="8" t="s">
        <v>247</v>
      </c>
      <c r="C27" s="8" t="s">
        <v>248</v>
      </c>
      <c r="D27" s="7">
        <v>99773</v>
      </c>
      <c r="E27" s="7">
        <v>58265827.969999999</v>
      </c>
      <c r="F27" s="8">
        <v>1.25</v>
      </c>
      <c r="G27" s="153">
        <f t="shared" si="2"/>
        <v>583.98392320567689</v>
      </c>
    </row>
    <row r="28" spans="1:12" x14ac:dyDescent="0.4">
      <c r="A28" s="20">
        <f>IF(ISBLANK(C28),"",MAX(A$6:$A27)+1)</f>
        <v>12</v>
      </c>
      <c r="B28" s="8" t="s">
        <v>247</v>
      </c>
      <c r="C28" s="8" t="s">
        <v>249</v>
      </c>
      <c r="D28" s="7">
        <v>2080</v>
      </c>
      <c r="E28" s="7">
        <v>2205200.9900000002</v>
      </c>
      <c r="F28" s="8">
        <v>2</v>
      </c>
      <c r="G28" s="153">
        <f t="shared" si="2"/>
        <v>1060.1927836538462</v>
      </c>
    </row>
    <row r="29" spans="1:12" x14ac:dyDescent="0.4">
      <c r="A29" s="20">
        <f>IF(ISBLANK(C29),"",MAX(A$6:$A28)+1)</f>
        <v>13</v>
      </c>
      <c r="B29" s="8" t="s">
        <v>247</v>
      </c>
      <c r="C29" s="8" t="s">
        <v>250</v>
      </c>
      <c r="D29" s="7">
        <v>8</v>
      </c>
      <c r="E29" s="7">
        <v>2481</v>
      </c>
      <c r="F29" s="8">
        <v>3</v>
      </c>
      <c r="G29" s="153">
        <f t="shared" si="2"/>
        <v>310.125</v>
      </c>
    </row>
    <row r="30" spans="1:12" x14ac:dyDescent="0.4">
      <c r="A30" s="20">
        <f>IF(ISBLANK(C30),"",MAX(A$6:$A29)+1)</f>
        <v>14</v>
      </c>
      <c r="B30" s="8" t="s">
        <v>247</v>
      </c>
      <c r="C30" s="8" t="s">
        <v>251</v>
      </c>
      <c r="D30" s="7">
        <v>1353</v>
      </c>
      <c r="E30" s="7">
        <v>887492.69</v>
      </c>
      <c r="F30" s="8">
        <v>4</v>
      </c>
      <c r="G30" s="153">
        <f t="shared" si="2"/>
        <v>655.94433850702137</v>
      </c>
    </row>
    <row r="31" spans="1:12" x14ac:dyDescent="0.4">
      <c r="A31" s="20">
        <f>IF(ISBLANK(C31),"",MAX(A$6:$A30)+1)</f>
        <v>15</v>
      </c>
      <c r="B31" s="8" t="s">
        <v>247</v>
      </c>
      <c r="C31" s="8" t="s">
        <v>252</v>
      </c>
      <c r="D31" s="7">
        <v>19</v>
      </c>
      <c r="E31" s="7">
        <v>42369</v>
      </c>
      <c r="F31" s="8">
        <v>6</v>
      </c>
      <c r="G31" s="153">
        <f t="shared" si="2"/>
        <v>2229.9473684210525</v>
      </c>
    </row>
    <row r="32" spans="1:12" x14ac:dyDescent="0.4">
      <c r="A32" s="20">
        <f>IF(ISBLANK(C32),"",MAX(A$6:$A31)+1)</f>
        <v>16</v>
      </c>
      <c r="B32" s="8" t="s">
        <v>247</v>
      </c>
      <c r="C32" s="8" t="s">
        <v>212</v>
      </c>
      <c r="D32" s="7">
        <v>164</v>
      </c>
      <c r="E32" s="7">
        <v>0.05</v>
      </c>
    </row>
    <row r="33" spans="1:7" x14ac:dyDescent="0.4">
      <c r="A33" s="20" t="str">
        <f>IF(ISBLANK(C33),"",MAX(A$6:$A32)+1)</f>
        <v/>
      </c>
      <c r="D33" s="7">
        <v>238238</v>
      </c>
      <c r="E33" s="7">
        <v>245709570.36000001</v>
      </c>
    </row>
    <row r="35" spans="1:7" ht="17.149999999999999" x14ac:dyDescent="0.7">
      <c r="F35" s="150" t="s">
        <v>257</v>
      </c>
      <c r="G35" s="150"/>
    </row>
    <row r="36" spans="1:7" x14ac:dyDescent="0.4">
      <c r="F36" s="20">
        <v>1.25</v>
      </c>
      <c r="G36" s="153">
        <f>(E22+E27)/(D22+D27)</f>
        <v>1008.0603596908052</v>
      </c>
    </row>
    <row r="37" spans="1:7" x14ac:dyDescent="0.4">
      <c r="F37" s="20" t="s">
        <v>258</v>
      </c>
      <c r="G37" s="153">
        <f>SUM(E23:E24,E28:E30)/SUM(D23:D24,D28:D30)</f>
        <v>1558.0339186888032</v>
      </c>
    </row>
    <row r="38" spans="1:7" x14ac:dyDescent="0.4">
      <c r="F38" s="20">
        <v>6</v>
      </c>
      <c r="G38" s="153">
        <f>(E25+E31)/(D25+D31)</f>
        <v>9210.9991176470594</v>
      </c>
    </row>
    <row r="39" spans="1:7" x14ac:dyDescent="0.4">
      <c r="F39" s="20"/>
      <c r="G39" s="153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D0A7-CDE0-4892-9A87-9A620A046A0D}">
  <sheetPr codeName="Sheet12"/>
  <dimension ref="A1:Q36"/>
  <sheetViews>
    <sheetView workbookViewId="0">
      <selection activeCell="H28" sqref="H28"/>
    </sheetView>
  </sheetViews>
  <sheetFormatPr defaultColWidth="8.69140625" defaultRowHeight="14.6" x14ac:dyDescent="0.4"/>
  <cols>
    <col min="1" max="1" width="5.69140625" style="8" customWidth="1"/>
    <col min="2" max="2" width="35.84375" style="8" bestFit="1" customWidth="1"/>
    <col min="3" max="3" width="14.69140625" style="8" bestFit="1" customWidth="1"/>
    <col min="4" max="5" width="10.53515625" style="8" bestFit="1" customWidth="1"/>
    <col min="6" max="8" width="9.15234375" style="8" bestFit="1" customWidth="1"/>
    <col min="9" max="9" width="11.3828125" style="8" bestFit="1" customWidth="1"/>
    <col min="10" max="10" width="9.15234375" style="8" bestFit="1" customWidth="1"/>
    <col min="11" max="11" width="11.53515625" style="8" bestFit="1" customWidth="1"/>
    <col min="12" max="14" width="9.15234375" style="8" bestFit="1" customWidth="1"/>
    <col min="15" max="15" width="10.69140625" style="8" bestFit="1" customWidth="1"/>
    <col min="16" max="16" width="15" style="8" bestFit="1" customWidth="1"/>
    <col min="17" max="16384" width="8.69140625" style="8"/>
  </cols>
  <sheetData>
    <row r="1" spans="1:17" x14ac:dyDescent="0.4">
      <c r="A1" s="8" t="str">
        <f>Contents!A1</f>
        <v>Cascade Natural Gas Corp.</v>
      </c>
    </row>
    <row r="2" spans="1:17" x14ac:dyDescent="0.4">
      <c r="A2" s="8" t="s">
        <v>593</v>
      </c>
    </row>
    <row r="6" spans="1:17" ht="34.299999999999997" x14ac:dyDescent="0.7">
      <c r="A6" s="45" t="str">
        <f>EXTERNAL!A5</f>
        <v>Line</v>
      </c>
      <c r="B6" s="46" t="str">
        <f>EXTERNAL!B5</f>
        <v>Allocation Factor</v>
      </c>
      <c r="C6" s="46" t="str">
        <f>EXTERNAL!C5</f>
        <v>Description</v>
      </c>
      <c r="D6" s="45" t="str">
        <f>EXTERNAL!D5</f>
        <v>Total</v>
      </c>
      <c r="E6" s="26" t="str">
        <f>EXTERNAL!E5</f>
        <v>Res
503</v>
      </c>
      <c r="F6" s="26" t="str">
        <f>EXTERNAL!F5</f>
        <v>GSC
504</v>
      </c>
      <c r="G6" s="26" t="str">
        <f>EXTERNAL!G5</f>
        <v>GSI
505</v>
      </c>
      <c r="H6" s="26" t="str">
        <f>EXTERNAL!H5</f>
        <v>GSLV
511</v>
      </c>
      <c r="I6" s="26" t="str">
        <f>EXTERNAL!I5</f>
        <v>Interruptible
570</v>
      </c>
      <c r="J6" s="26" t="str">
        <f>EXTERNAL!J5</f>
        <v>Transport
663</v>
      </c>
      <c r="K6" s="26" t="str">
        <f>EXTERNAL!K5</f>
        <v>Spl Contracts</v>
      </c>
    </row>
    <row r="7" spans="1:17" x14ac:dyDescent="0.4">
      <c r="A7" s="20" t="str">
        <f>IF(ISBLANK(C7),"",MAX(#REF!)+1)</f>
        <v/>
      </c>
      <c r="D7" s="18"/>
      <c r="E7" s="18"/>
      <c r="F7" s="18"/>
      <c r="G7" s="18"/>
      <c r="H7" s="18"/>
      <c r="I7" s="18"/>
      <c r="J7" s="18"/>
      <c r="K7" s="18"/>
    </row>
    <row r="8" spans="1:17" x14ac:dyDescent="0.4">
      <c r="A8" s="20">
        <f>IF(ISBLANK(C8),"",MAX(A$6:$A7)+1)</f>
        <v>1</v>
      </c>
      <c r="B8" s="8" t="s">
        <v>49</v>
      </c>
      <c r="C8" s="8" t="s">
        <v>594</v>
      </c>
      <c r="D8" s="7">
        <f>SUM(E8:K8)</f>
        <v>2476281.1600000006</v>
      </c>
      <c r="E8" s="7">
        <f>C31</f>
        <v>1896199.4000000004</v>
      </c>
      <c r="F8" s="7">
        <f>C32</f>
        <v>506348.79</v>
      </c>
      <c r="G8" s="7">
        <f>C33</f>
        <v>73732.970000000016</v>
      </c>
      <c r="H8" s="7">
        <v>0</v>
      </c>
      <c r="I8" s="7">
        <v>0</v>
      </c>
      <c r="J8" s="7">
        <v>0</v>
      </c>
      <c r="K8" s="7">
        <v>0</v>
      </c>
    </row>
    <row r="9" spans="1:17" x14ac:dyDescent="0.4">
      <c r="A9" s="20" t="str">
        <f>IF(ISBLANK(C9),"",MAX(A$6:$A8)+1)</f>
        <v/>
      </c>
    </row>
    <row r="10" spans="1:17" x14ac:dyDescent="0.4">
      <c r="A10" s="20" t="str">
        <f>IF(ISBLANK(C10),"",MAX(A$6:$A9)+1)</f>
        <v/>
      </c>
    </row>
    <row r="11" spans="1:17" x14ac:dyDescent="0.4">
      <c r="A11" s="20">
        <f>IF(ISBLANK(C11),"",MAX(A$6:$A10)+1)</f>
        <v>2</v>
      </c>
      <c r="B11" s="77" t="s">
        <v>595</v>
      </c>
      <c r="C11" s="156" t="s">
        <v>592</v>
      </c>
      <c r="D11" s="156" t="s">
        <v>591</v>
      </c>
      <c r="E11" s="156" t="s">
        <v>590</v>
      </c>
      <c r="F11" s="156" t="s">
        <v>589</v>
      </c>
      <c r="G11" s="156" t="s">
        <v>588</v>
      </c>
      <c r="H11" s="156" t="s">
        <v>587</v>
      </c>
      <c r="I11" s="156" t="s">
        <v>586</v>
      </c>
      <c r="J11" s="156" t="s">
        <v>585</v>
      </c>
      <c r="K11" s="156" t="s">
        <v>584</v>
      </c>
      <c r="L11" s="156" t="s">
        <v>583</v>
      </c>
      <c r="M11" s="156" t="s">
        <v>582</v>
      </c>
      <c r="N11" s="156" t="s">
        <v>581</v>
      </c>
      <c r="O11" s="156" t="s">
        <v>12</v>
      </c>
      <c r="Q11" s="157" t="s">
        <v>596</v>
      </c>
    </row>
    <row r="12" spans="1:17" x14ac:dyDescent="0.4">
      <c r="A12" s="20">
        <f>IF(ISBLANK(C12),"",MAX(A$6:$A11)+1)</f>
        <v>3</v>
      </c>
      <c r="B12" s="158" t="s">
        <v>580</v>
      </c>
      <c r="C12" s="159">
        <v>100244.94</v>
      </c>
      <c r="D12" s="159">
        <v>123442.53</v>
      </c>
      <c r="E12" s="159">
        <v>193749.71</v>
      </c>
      <c r="F12" s="159">
        <v>113000.18</v>
      </c>
      <c r="G12" s="159">
        <v>278967.28999999998</v>
      </c>
      <c r="H12" s="159">
        <v>247162.1</v>
      </c>
      <c r="I12" s="159">
        <v>275168.88</v>
      </c>
      <c r="J12" s="159">
        <v>333247.90000000002</v>
      </c>
      <c r="K12" s="159">
        <v>156559.6</v>
      </c>
      <c r="L12" s="159">
        <v>150787.71</v>
      </c>
      <c r="M12" s="159">
        <v>333943.63</v>
      </c>
      <c r="N12" s="159">
        <v>360982.32</v>
      </c>
      <c r="O12" s="159">
        <f>SUM(C12:N12)</f>
        <v>2667256.7899999996</v>
      </c>
    </row>
    <row r="13" spans="1:17" x14ac:dyDescent="0.4">
      <c r="A13" s="20">
        <f>IF(ISBLANK(C13),"",MAX(A$6:$A12)+1)</f>
        <v>4</v>
      </c>
      <c r="B13" s="158" t="s">
        <v>579</v>
      </c>
      <c r="C13" s="160">
        <v>-7868.61</v>
      </c>
      <c r="D13" s="160">
        <v>-10287.65</v>
      </c>
      <c r="E13" s="160">
        <v>-9547.86</v>
      </c>
      <c r="F13" s="160">
        <v>-10285.49</v>
      </c>
      <c r="G13" s="160">
        <v>-9690.1200000000008</v>
      </c>
      <c r="H13" s="160">
        <v>-18034.86</v>
      </c>
      <c r="I13" s="160">
        <v>-20208.490000000002</v>
      </c>
      <c r="J13" s="160">
        <v>-16335.3</v>
      </c>
      <c r="K13" s="160">
        <v>-21356.639999999999</v>
      </c>
      <c r="L13" s="160">
        <v>-26740.48</v>
      </c>
      <c r="M13" s="160">
        <v>-20410.22</v>
      </c>
      <c r="N13" s="160">
        <v>-20185.71</v>
      </c>
      <c r="O13" s="160">
        <f>SUM(C13:N13)</f>
        <v>-190951.43</v>
      </c>
    </row>
    <row r="14" spans="1:17" x14ac:dyDescent="0.4">
      <c r="A14" s="20">
        <f>IF(ISBLANK(C14),"",MAX(A$6:$A13)+1)</f>
        <v>5</v>
      </c>
      <c r="B14" s="161" t="s">
        <v>578</v>
      </c>
      <c r="C14" s="159">
        <f t="shared" ref="C14:O14" si="0">SUM(C12:C13)</f>
        <v>92376.33</v>
      </c>
      <c r="D14" s="159">
        <f t="shared" si="0"/>
        <v>113154.88</v>
      </c>
      <c r="E14" s="159">
        <f t="shared" si="0"/>
        <v>184201.84999999998</v>
      </c>
      <c r="F14" s="159">
        <f t="shared" si="0"/>
        <v>102714.68999999999</v>
      </c>
      <c r="G14" s="159">
        <f t="shared" si="0"/>
        <v>269277.17</v>
      </c>
      <c r="H14" s="159">
        <f t="shared" si="0"/>
        <v>229127.24</v>
      </c>
      <c r="I14" s="159">
        <f t="shared" si="0"/>
        <v>254960.39</v>
      </c>
      <c r="J14" s="159">
        <f t="shared" si="0"/>
        <v>316912.60000000003</v>
      </c>
      <c r="K14" s="159">
        <f t="shared" si="0"/>
        <v>135202.96000000002</v>
      </c>
      <c r="L14" s="159">
        <f t="shared" si="0"/>
        <v>124047.23</v>
      </c>
      <c r="M14" s="159">
        <f t="shared" si="0"/>
        <v>313533.41000000003</v>
      </c>
      <c r="N14" s="159">
        <f t="shared" si="0"/>
        <v>340796.61</v>
      </c>
      <c r="O14" s="159">
        <f t="shared" si="0"/>
        <v>2476305.3599999994</v>
      </c>
    </row>
    <row r="15" spans="1:17" x14ac:dyDescent="0.4">
      <c r="A15" s="20" t="str">
        <f>IF(ISBLANK(C15),"",MAX(A$6:$A14)+1)</f>
        <v/>
      </c>
    </row>
    <row r="16" spans="1:17" x14ac:dyDescent="0.4">
      <c r="A16" s="20" t="str">
        <f>IF(ISBLANK(C16),"",MAX(A$6:$A15)+1)</f>
        <v/>
      </c>
    </row>
    <row r="17" spans="1:3" x14ac:dyDescent="0.4">
      <c r="A17" s="20">
        <f>IF(ISBLANK(C17),"",MAX(A$6:$A16)+1)</f>
        <v>6</v>
      </c>
      <c r="B17" s="162" t="s">
        <v>577</v>
      </c>
      <c r="C17" s="162" t="s">
        <v>12</v>
      </c>
    </row>
    <row r="18" spans="1:3" x14ac:dyDescent="0.4">
      <c r="A18" s="20">
        <f>IF(ISBLANK(C18),"",MAX(A$6:$A17)+1)</f>
        <v>7</v>
      </c>
      <c r="B18" s="8" t="s">
        <v>572</v>
      </c>
      <c r="C18" s="153">
        <v>2055268.7200000004</v>
      </c>
    </row>
    <row r="19" spans="1:3" x14ac:dyDescent="0.4">
      <c r="A19" s="20">
        <f>IF(ISBLANK(C19),"",MAX(A$6:$A18)+1)</f>
        <v>8</v>
      </c>
      <c r="B19" s="8" t="s">
        <v>571</v>
      </c>
      <c r="C19" s="17">
        <v>538255.1</v>
      </c>
    </row>
    <row r="20" spans="1:3" x14ac:dyDescent="0.4">
      <c r="A20" s="20">
        <f>IF(ISBLANK(C20),"",MAX(A$6:$A19)+1)</f>
        <v>9</v>
      </c>
      <c r="B20" s="8" t="s">
        <v>570</v>
      </c>
      <c r="C20" s="163">
        <v>73732.970000000016</v>
      </c>
    </row>
    <row r="21" spans="1:3" x14ac:dyDescent="0.4">
      <c r="A21" s="20">
        <f>IF(ISBLANK(C21),"",MAX(A$6:$A20)+1)</f>
        <v>10</v>
      </c>
      <c r="B21" s="8" t="s">
        <v>576</v>
      </c>
      <c r="C21" s="153">
        <f>SUM(C18:C20)</f>
        <v>2667256.7900000005</v>
      </c>
    </row>
    <row r="22" spans="1:3" x14ac:dyDescent="0.4">
      <c r="A22" s="20" t="str">
        <f>IF(ISBLANK(C22),"",MAX(A$6:$A21)+1)</f>
        <v/>
      </c>
      <c r="C22" s="153"/>
    </row>
    <row r="23" spans="1:3" x14ac:dyDescent="0.4">
      <c r="A23" s="20">
        <f>IF(ISBLANK(C23),"",MAX(A$6:$A22)+1)</f>
        <v>11</v>
      </c>
      <c r="B23" s="162" t="s">
        <v>575</v>
      </c>
      <c r="C23" s="162" t="s">
        <v>12</v>
      </c>
    </row>
    <row r="24" spans="1:3" x14ac:dyDescent="0.4">
      <c r="A24" s="20">
        <f>IF(ISBLANK(C24),"",MAX(A$6:$A23)+1)</f>
        <v>12</v>
      </c>
      <c r="B24" s="8" t="s">
        <v>572</v>
      </c>
      <c r="C24" s="153">
        <v>-159069.32</v>
      </c>
    </row>
    <row r="25" spans="1:3" x14ac:dyDescent="0.4">
      <c r="A25" s="20">
        <f>IF(ISBLANK(C25),"",MAX(A$6:$A24)+1)</f>
        <v>13</v>
      </c>
      <c r="B25" s="8" t="s">
        <v>571</v>
      </c>
      <c r="C25" s="17">
        <v>-31906.31</v>
      </c>
    </row>
    <row r="26" spans="1:3" x14ac:dyDescent="0.4">
      <c r="A26" s="20">
        <f>IF(ISBLANK(C26),"",MAX(A$6:$A25)+1)</f>
        <v>14</v>
      </c>
      <c r="B26" s="8" t="s">
        <v>569</v>
      </c>
      <c r="C26" s="17">
        <v>-280.24</v>
      </c>
    </row>
    <row r="27" spans="1:3" x14ac:dyDescent="0.4">
      <c r="A27" s="20">
        <f>IF(ISBLANK(C27),"",MAX(A$6:$A26)+1)</f>
        <v>15</v>
      </c>
      <c r="B27" s="8" t="s">
        <v>568</v>
      </c>
      <c r="C27" s="163">
        <v>304.44</v>
      </c>
    </row>
    <row r="28" spans="1:3" x14ac:dyDescent="0.4">
      <c r="A28" s="20">
        <f>IF(ISBLANK(C28),"",MAX(A$6:$A27)+1)</f>
        <v>16</v>
      </c>
      <c r="B28" s="8" t="s">
        <v>574</v>
      </c>
      <c r="C28" s="153">
        <f>SUM(C24:C27)</f>
        <v>-190951.43</v>
      </c>
    </row>
    <row r="29" spans="1:3" x14ac:dyDescent="0.4">
      <c r="A29" s="20" t="str">
        <f>IF(ISBLANK(C29),"",MAX(A$6:$A28)+1)</f>
        <v/>
      </c>
    </row>
    <row r="30" spans="1:3" x14ac:dyDescent="0.4">
      <c r="A30" s="20">
        <f>IF(ISBLANK(C30),"",MAX(A$6:$A29)+1)</f>
        <v>17</v>
      </c>
      <c r="B30" s="137" t="s">
        <v>573</v>
      </c>
      <c r="C30" s="137" t="s">
        <v>12</v>
      </c>
    </row>
    <row r="31" spans="1:3" x14ac:dyDescent="0.4">
      <c r="A31" s="20">
        <f>IF(ISBLANK(C31),"",MAX(A$6:$A30)+1)</f>
        <v>18</v>
      </c>
      <c r="B31" s="77" t="s">
        <v>572</v>
      </c>
      <c r="C31" s="164">
        <f>C18+C24</f>
        <v>1896199.4000000004</v>
      </c>
    </row>
    <row r="32" spans="1:3" x14ac:dyDescent="0.4">
      <c r="A32" s="20">
        <f>IF(ISBLANK(C32),"",MAX(A$6:$A31)+1)</f>
        <v>19</v>
      </c>
      <c r="B32" s="77" t="s">
        <v>571</v>
      </c>
      <c r="C32" s="110">
        <f>C19+C25</f>
        <v>506348.79</v>
      </c>
    </row>
    <row r="33" spans="1:3" x14ac:dyDescent="0.4">
      <c r="A33" s="20">
        <f>IF(ISBLANK(C33),"",MAX(A$6:$A32)+1)</f>
        <v>20</v>
      </c>
      <c r="B33" s="77" t="s">
        <v>570</v>
      </c>
      <c r="C33" s="165">
        <f>C20</f>
        <v>73732.970000000016</v>
      </c>
    </row>
    <row r="34" spans="1:3" x14ac:dyDescent="0.4">
      <c r="A34" s="20">
        <f>IF(ISBLANK(C34),"",MAX(A$6:$A33)+1)</f>
        <v>21</v>
      </c>
      <c r="B34" s="77" t="s">
        <v>569</v>
      </c>
      <c r="C34" s="166">
        <f>C26</f>
        <v>-280.24</v>
      </c>
    </row>
    <row r="35" spans="1:3" x14ac:dyDescent="0.4">
      <c r="A35" s="20">
        <f>IF(ISBLANK(C35),"",MAX(A$6:$A34)+1)</f>
        <v>22</v>
      </c>
      <c r="B35" s="77" t="s">
        <v>568</v>
      </c>
      <c r="C35" s="167">
        <f>C27</f>
        <v>304.44</v>
      </c>
    </row>
    <row r="36" spans="1:3" x14ac:dyDescent="0.4">
      <c r="A36" s="20">
        <f>IF(ISBLANK(C36),"",MAX(A$6:$A35)+1)</f>
        <v>23</v>
      </c>
      <c r="B36" s="77" t="s">
        <v>567</v>
      </c>
      <c r="C36" s="168">
        <f>SUM(C31:C35)</f>
        <v>2476305.3600000003</v>
      </c>
    </row>
  </sheetData>
  <pageMargins left="0.7" right="0.7" top="0.75" bottom="0.75" header="0.3" footer="0.3"/>
  <pageSetup scale="7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C693-EE04-4E44-B948-2566A46D7876}">
  <sheetPr codeName="Sheet19"/>
  <dimension ref="A1:P20"/>
  <sheetViews>
    <sheetView workbookViewId="0">
      <selection activeCell="C8" sqref="C8"/>
    </sheetView>
  </sheetViews>
  <sheetFormatPr defaultColWidth="9.23046875" defaultRowHeight="14.6" x14ac:dyDescent="0.4"/>
  <cols>
    <col min="1" max="1" width="4.69140625" style="8" bestFit="1" customWidth="1"/>
    <col min="2" max="2" width="24.84375" style="8" bestFit="1" customWidth="1"/>
    <col min="3" max="3" width="8.23046875" style="8" bestFit="1" customWidth="1"/>
    <col min="4" max="9" width="11.15234375" style="8" customWidth="1"/>
    <col min="10" max="16" width="11.53515625" style="8" customWidth="1"/>
    <col min="17" max="16384" width="9.23046875" style="8"/>
  </cols>
  <sheetData>
    <row r="1" spans="1:16" x14ac:dyDescent="0.4">
      <c r="A1" s="8" t="str">
        <f>Contents!A1</f>
        <v>Cascade Natural Gas Corp.</v>
      </c>
    </row>
    <row r="2" spans="1:16" x14ac:dyDescent="0.4">
      <c r="A2" s="8" t="s">
        <v>50</v>
      </c>
    </row>
    <row r="6" spans="1:16" ht="51.45" x14ac:dyDescent="0.7">
      <c r="A6" s="26" t="str">
        <f>EXTERNAL!A5</f>
        <v>Line</v>
      </c>
      <c r="B6" s="26" t="s">
        <v>116</v>
      </c>
      <c r="C6" s="26" t="s">
        <v>117</v>
      </c>
      <c r="D6" s="26" t="s">
        <v>118</v>
      </c>
      <c r="E6" s="26" t="s">
        <v>119</v>
      </c>
      <c r="F6" s="26" t="s">
        <v>120</v>
      </c>
      <c r="G6" s="26" t="s">
        <v>121</v>
      </c>
      <c r="H6" s="26" t="s">
        <v>122</v>
      </c>
      <c r="I6" s="26" t="s">
        <v>123</v>
      </c>
      <c r="J6" s="169" t="str">
        <f>EXTERNAL!E5</f>
        <v>Res
503</v>
      </c>
      <c r="K6" s="26" t="str">
        <f>EXTERNAL!F5</f>
        <v>GSC
504</v>
      </c>
      <c r="L6" s="26" t="str">
        <f>EXTERNAL!G5</f>
        <v>GSI
505</v>
      </c>
      <c r="M6" s="26" t="str">
        <f>EXTERNAL!H5</f>
        <v>GSLV
511</v>
      </c>
      <c r="N6" s="26" t="str">
        <f>EXTERNAL!I5</f>
        <v>Interruptible
570</v>
      </c>
      <c r="O6" s="26" t="str">
        <f>EXTERNAL!J5</f>
        <v>Transport
663</v>
      </c>
      <c r="P6" s="26" t="str">
        <f>EXTERNAL!K5</f>
        <v>Spl Contracts</v>
      </c>
    </row>
    <row r="7" spans="1:16" x14ac:dyDescent="0.4">
      <c r="A7" s="20" t="str">
        <f>IF(ISBLANK(C7),"",MAX(#REF!)+1)</f>
        <v/>
      </c>
      <c r="J7" s="59"/>
      <c r="K7" s="18"/>
      <c r="L7" s="18"/>
      <c r="M7" s="18"/>
      <c r="N7" s="18"/>
      <c r="O7" s="18"/>
      <c r="P7" s="18"/>
    </row>
    <row r="8" spans="1:16" x14ac:dyDescent="0.4">
      <c r="A8" s="20">
        <f>IF(ISBLANK(B8),"",MAX(A$6:$A7)+1)</f>
        <v>1</v>
      </c>
      <c r="B8" s="8" t="s">
        <v>124</v>
      </c>
      <c r="C8" s="20">
        <f>'[4]2024'!G11</f>
        <v>2</v>
      </c>
      <c r="D8" s="170">
        <f>'[4]2024'!H11</f>
        <v>36.78</v>
      </c>
      <c r="E8" s="170">
        <f>'[4]2024'!I11</f>
        <v>17.930250000000001</v>
      </c>
      <c r="F8" s="170">
        <f>+D8+E8</f>
        <v>54.710250000000002</v>
      </c>
      <c r="G8" s="60">
        <f>C8*F8*2080</f>
        <v>227594.64</v>
      </c>
      <c r="H8" s="61">
        <f>'[4]2024'!$M11</f>
        <v>1</v>
      </c>
      <c r="I8" s="60">
        <f>H8*G8</f>
        <v>227594.64</v>
      </c>
      <c r="J8" s="62">
        <f>J16/($J$16+$K$16)*$I8</f>
        <v>200462.64797322813</v>
      </c>
      <c r="K8" s="60">
        <f>K16/($J$16+$K$16)*$I8</f>
        <v>27131.992026771877</v>
      </c>
      <c r="L8" s="7"/>
      <c r="M8" s="7"/>
      <c r="N8" s="7"/>
      <c r="O8" s="7"/>
      <c r="P8" s="7"/>
    </row>
    <row r="9" spans="1:16" x14ac:dyDescent="0.4">
      <c r="A9" s="20">
        <f>IF(ISBLANK(B9),"",MAX(A$6:$A8)+1)</f>
        <v>2</v>
      </c>
      <c r="B9" s="8" t="s">
        <v>125</v>
      </c>
      <c r="C9" s="20">
        <f>'[4]2024'!G12</f>
        <v>14</v>
      </c>
      <c r="D9" s="170">
        <f>'[4]2024'!H12</f>
        <v>44.18</v>
      </c>
      <c r="E9" s="170">
        <f>'[4]2024'!I12</f>
        <v>21.537749999999999</v>
      </c>
      <c r="F9" s="170">
        <f t="shared" ref="F9:F10" si="0">+D9+E9</f>
        <v>65.717749999999995</v>
      </c>
      <c r="G9" s="60">
        <f t="shared" ref="G9:G10" si="1">C9*F9*2080</f>
        <v>1913700.8799999997</v>
      </c>
      <c r="H9" s="61">
        <f>'[4]2024'!$M12</f>
        <v>0.03</v>
      </c>
      <c r="I9" s="60">
        <f>H9*G9</f>
        <v>57411.026399999988</v>
      </c>
      <c r="J9" s="30"/>
      <c r="K9" s="7"/>
      <c r="L9" s="60">
        <f>L$16/SUM($L$16:$P$16)*$I9</f>
        <v>35341.37980246191</v>
      </c>
      <c r="M9" s="60">
        <f>M$16/SUM($L$16:$P$16)*$I9</f>
        <v>7138.9467419987459</v>
      </c>
      <c r="N9" s="60">
        <f>N$16/SUM($L$16:$P$16)*$I9</f>
        <v>503.08013953682439</v>
      </c>
      <c r="O9" s="60">
        <f>O$16/SUM($L$16:$P$16)*$I9</f>
        <v>13924.539576465675</v>
      </c>
      <c r="P9" s="60">
        <f>P$16/SUM($L$16:$P$16)*$I9</f>
        <v>503.08013953682439</v>
      </c>
    </row>
    <row r="10" spans="1:16" x14ac:dyDescent="0.4">
      <c r="A10" s="20">
        <f>IF(ISBLANK(B10),"",MAX(A$6:$A9)+1)</f>
        <v>3</v>
      </c>
      <c r="B10" s="8" t="s">
        <v>126</v>
      </c>
      <c r="C10" s="20">
        <f>'[4]2024'!G13</f>
        <v>71</v>
      </c>
      <c r="D10" s="170">
        <f>'[4]2024'!H13</f>
        <v>42.65</v>
      </c>
      <c r="E10" s="170">
        <f>'[4]2024'!I13</f>
        <v>20.791874999999997</v>
      </c>
      <c r="F10" s="170">
        <f t="shared" si="0"/>
        <v>63.441874999999996</v>
      </c>
      <c r="G10" s="60">
        <f t="shared" si="1"/>
        <v>9369096.0999999996</v>
      </c>
      <c r="H10" s="61" t="str">
        <f>'[4]2024'!$M13</f>
        <v>Back-up</v>
      </c>
      <c r="I10" s="60"/>
      <c r="J10" s="30"/>
      <c r="K10" s="7"/>
      <c r="L10" s="7"/>
      <c r="M10" s="7"/>
      <c r="N10" s="7"/>
      <c r="O10" s="7"/>
      <c r="P10" s="7"/>
    </row>
    <row r="11" spans="1:16" x14ac:dyDescent="0.4">
      <c r="A11" s="20" t="str">
        <f>IF(ISBLANK(B11),"",MAX(A$6:$A10)+1)</f>
        <v/>
      </c>
      <c r="J11" s="171"/>
    </row>
    <row r="12" spans="1:16" x14ac:dyDescent="0.4">
      <c r="A12" s="20">
        <f>IF(ISBLANK(B12),"",MAX(A$6:$A11)+1)</f>
        <v>4</v>
      </c>
      <c r="B12" s="8" t="s">
        <v>29</v>
      </c>
      <c r="I12" s="21">
        <f>SUM(I8:I11)</f>
        <v>285005.66639999999</v>
      </c>
      <c r="J12" s="62">
        <f t="shared" ref="J12:P12" si="2">SUM(J8:J10)</f>
        <v>200462.64797322813</v>
      </c>
      <c r="K12" s="60">
        <f t="shared" si="2"/>
        <v>27131.992026771877</v>
      </c>
      <c r="L12" s="60">
        <f t="shared" si="2"/>
        <v>35341.37980246191</v>
      </c>
      <c r="M12" s="60">
        <f t="shared" si="2"/>
        <v>7138.9467419987459</v>
      </c>
      <c r="N12" s="60">
        <f t="shared" si="2"/>
        <v>503.08013953682439</v>
      </c>
      <c r="O12" s="60">
        <f t="shared" si="2"/>
        <v>13924.539576465675</v>
      </c>
      <c r="P12" s="60">
        <f t="shared" si="2"/>
        <v>503.08013953682439</v>
      </c>
    </row>
    <row r="13" spans="1:16" x14ac:dyDescent="0.4">
      <c r="A13" s="20" t="str">
        <f>IF(ISBLANK(B13),"",MAX(A$6:$A12)+1)</f>
        <v/>
      </c>
      <c r="J13" s="63">
        <f>J12/$I$12</f>
        <v>0.70336372783509027</v>
      </c>
      <c r="K13" s="41">
        <f t="shared" ref="K13:P13" si="3">K12/$I$12</f>
        <v>9.5198079285527773E-2</v>
      </c>
      <c r="L13" s="41">
        <f t="shared" si="3"/>
        <v>0.12400237598385487</v>
      </c>
      <c r="M13" s="41">
        <f t="shared" si="3"/>
        <v>2.5048437921158281E-2</v>
      </c>
      <c r="N13" s="41">
        <f t="shared" si="3"/>
        <v>1.7651583769943756E-3</v>
      </c>
      <c r="O13" s="41">
        <f t="shared" si="3"/>
        <v>4.8857062220380033E-2</v>
      </c>
      <c r="P13" s="41">
        <f t="shared" si="3"/>
        <v>1.7651583769943756E-3</v>
      </c>
    </row>
    <row r="14" spans="1:16" x14ac:dyDescent="0.4">
      <c r="A14" s="20" t="str">
        <f>IF(ISBLANK(B14),"",MAX(A$6:$A13)+1)</f>
        <v/>
      </c>
      <c r="J14" s="30"/>
    </row>
    <row r="15" spans="1:16" x14ac:dyDescent="0.4">
      <c r="A15" s="20" t="str">
        <f>IF(ISBLANK(B15),"",MAX(A$6:$A14)+1)</f>
        <v/>
      </c>
      <c r="J15" s="30"/>
    </row>
    <row r="16" spans="1:16" s="52" customFormat="1" x14ac:dyDescent="0.4">
      <c r="A16" s="172">
        <f>IF(ISBLANK(B16),"",MAX(A$6:$A15)+1)</f>
        <v>5</v>
      </c>
      <c r="B16" s="52" t="str">
        <f>EXTERNAL!C85</f>
        <v>2023 Actual Customer Count</v>
      </c>
      <c r="J16" s="64">
        <f>EXTERNAL!E85</f>
        <v>203232.75</v>
      </c>
      <c r="K16" s="65">
        <f>EXTERNAL!F85</f>
        <v>27506.916666666668</v>
      </c>
      <c r="L16" s="65">
        <f>EXTERNAL!G85</f>
        <v>491.75</v>
      </c>
      <c r="M16" s="65">
        <f>EXTERNAL!H85</f>
        <v>99.333333333333329</v>
      </c>
      <c r="N16" s="65">
        <f>EXTERNAL!I85</f>
        <v>7</v>
      </c>
      <c r="O16" s="65">
        <f>EXTERNAL!J85</f>
        <v>193.75</v>
      </c>
      <c r="P16" s="65">
        <f>EXTERNAL!K85</f>
        <v>7</v>
      </c>
    </row>
    <row r="17" spans="1:1" x14ac:dyDescent="0.4">
      <c r="A17" s="20" t="str">
        <f>IF(ISBLANK(C17),"",MAX(A$6:$A16)+1)</f>
        <v/>
      </c>
    </row>
    <row r="18" spans="1:1" x14ac:dyDescent="0.4">
      <c r="A18" s="20" t="str">
        <f>IF(ISBLANK(C18),"",MAX(A$6:$A17)+1)</f>
        <v/>
      </c>
    </row>
    <row r="19" spans="1:1" x14ac:dyDescent="0.4">
      <c r="A19" s="20" t="str">
        <f>IF(ISBLANK(C19),"",MAX(A$6:$A18)+1)</f>
        <v/>
      </c>
    </row>
    <row r="20" spans="1:1" x14ac:dyDescent="0.4">
      <c r="A20" s="20" t="str">
        <f>IF(ISBLANK(C20),"",MAX(A$6:$A19)+1)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1FA0-DDAC-436B-8CD2-01FC8A9A0286}">
  <sheetPr codeName="Sheet24"/>
  <dimension ref="A1:O67"/>
  <sheetViews>
    <sheetView workbookViewId="0"/>
  </sheetViews>
  <sheetFormatPr defaultColWidth="9.15234375" defaultRowHeight="12.45" x14ac:dyDescent="0.3"/>
  <cols>
    <col min="1" max="1" width="5.23046875" style="174" customWidth="1"/>
    <col min="2" max="2" width="16" style="174" customWidth="1"/>
    <col min="3" max="3" width="3.4609375" style="174" customWidth="1"/>
    <col min="4" max="4" width="18.15234375" style="174" customWidth="1"/>
    <col min="5" max="5" width="4" style="174" customWidth="1"/>
    <col min="6" max="6" width="14.3828125" style="174" customWidth="1"/>
    <col min="7" max="7" width="18" style="174" customWidth="1"/>
    <col min="8" max="8" width="15.84375" style="174" customWidth="1"/>
    <col min="9" max="9" width="14.84375" style="174" customWidth="1"/>
    <col min="10" max="10" width="13.69140625" style="174" customWidth="1"/>
    <col min="11" max="11" width="17.23046875" style="174" customWidth="1"/>
    <col min="12" max="12" width="16.53515625" style="174" customWidth="1"/>
    <col min="13" max="16384" width="9.15234375" style="174"/>
  </cols>
  <sheetData>
    <row r="1" spans="1:15" ht="14.6" x14ac:dyDescent="0.4">
      <c r="A1" s="8" t="str">
        <f>Contents!A1</f>
        <v>Cascade Natural Gas Corp.</v>
      </c>
      <c r="B1" s="12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5" ht="14.6" x14ac:dyDescent="0.4">
      <c r="A2" s="174" t="s">
        <v>519</v>
      </c>
      <c r="B2" s="12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5" ht="14.6" x14ac:dyDescent="0.4">
      <c r="B3" s="128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5" ht="14.6" x14ac:dyDescent="0.4">
      <c r="B4" s="12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5" ht="14.6" x14ac:dyDescent="0.4">
      <c r="B5" s="12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5" x14ac:dyDescent="0.3">
      <c r="B6" s="175"/>
      <c r="C6" s="176"/>
      <c r="D6" s="240" t="s">
        <v>518</v>
      </c>
      <c r="E6" s="240"/>
      <c r="F6" s="240"/>
      <c r="G6" s="240"/>
      <c r="H6" s="240"/>
      <c r="I6" s="240"/>
      <c r="J6" s="240"/>
      <c r="K6" s="240"/>
      <c r="L6" s="241"/>
    </row>
    <row r="7" spans="1:15" ht="28.3" x14ac:dyDescent="0.3">
      <c r="A7" s="177" t="s">
        <v>517</v>
      </c>
      <c r="B7" s="178" t="s">
        <v>513</v>
      </c>
      <c r="C7" s="176"/>
      <c r="D7" s="179" t="s">
        <v>516</v>
      </c>
      <c r="E7" s="176"/>
      <c r="F7" s="180" t="s">
        <v>113</v>
      </c>
      <c r="G7" s="180" t="s">
        <v>515</v>
      </c>
      <c r="H7" s="180" t="s">
        <v>53</v>
      </c>
      <c r="I7" s="180" t="s">
        <v>54</v>
      </c>
      <c r="J7" s="180" t="s">
        <v>115</v>
      </c>
      <c r="K7" s="180" t="s">
        <v>55</v>
      </c>
      <c r="L7" s="181" t="s">
        <v>56</v>
      </c>
      <c r="O7" s="182"/>
    </row>
    <row r="8" spans="1:15" ht="14.6" x14ac:dyDescent="0.4">
      <c r="A8" s="139"/>
      <c r="B8" s="183"/>
      <c r="L8" s="184"/>
    </row>
    <row r="9" spans="1:15" ht="14.6" x14ac:dyDescent="0.4">
      <c r="A9" s="139">
        <v>1</v>
      </c>
      <c r="B9" s="185">
        <v>503</v>
      </c>
      <c r="D9" s="66">
        <v>21468.36</v>
      </c>
      <c r="F9" s="186">
        <f>$D9</f>
        <v>21468.36</v>
      </c>
      <c r="L9" s="184"/>
    </row>
    <row r="10" spans="1:15" ht="14.6" x14ac:dyDescent="0.4">
      <c r="A10" s="139">
        <f>IF(D10="","", MAX($A$8:A9)+1)</f>
        <v>2</v>
      </c>
      <c r="B10" s="185">
        <v>504</v>
      </c>
      <c r="D10" s="66">
        <v>1470783.5600000003</v>
      </c>
      <c r="G10" s="186">
        <f>$D10</f>
        <v>1470783.5600000003</v>
      </c>
      <c r="L10" s="184"/>
    </row>
    <row r="11" spans="1:15" ht="14.6" x14ac:dyDescent="0.4">
      <c r="A11" s="139">
        <f>IF(D11="","", MAX($A$8:A10)+1)</f>
        <v>3</v>
      </c>
      <c r="B11" s="185">
        <v>505</v>
      </c>
      <c r="D11" s="66">
        <v>289981.45000000007</v>
      </c>
      <c r="H11" s="186">
        <f>$D11</f>
        <v>289981.45000000007</v>
      </c>
      <c r="L11" s="184"/>
    </row>
    <row r="12" spans="1:15" ht="14.6" x14ac:dyDescent="0.4">
      <c r="A12" s="139">
        <f>IF(D12="","", MAX($A$8:A11)+1)</f>
        <v>4</v>
      </c>
      <c r="B12" s="185">
        <v>511</v>
      </c>
      <c r="D12" s="66">
        <v>90077.319999999992</v>
      </c>
      <c r="I12" s="186">
        <f>$D12</f>
        <v>90077.319999999992</v>
      </c>
      <c r="L12" s="184"/>
    </row>
    <row r="13" spans="1:15" ht="14.6" x14ac:dyDescent="0.4">
      <c r="A13" s="139">
        <f>IF(D13="","", MAX($A$8:A12)+1)</f>
        <v>5</v>
      </c>
      <c r="B13" s="185">
        <v>570</v>
      </c>
      <c r="D13" s="66">
        <v>5898.46</v>
      </c>
      <c r="J13" s="186">
        <f>$D13</f>
        <v>5898.46</v>
      </c>
      <c r="L13" s="184"/>
    </row>
    <row r="14" spans="1:15" ht="14.6" x14ac:dyDescent="0.4">
      <c r="A14" s="139">
        <f>IF(D14="","", MAX($A$8:A13)+1)</f>
        <v>6</v>
      </c>
      <c r="B14" s="185">
        <v>663</v>
      </c>
      <c r="D14" s="66">
        <v>1141987.7699999998</v>
      </c>
      <c r="K14" s="186">
        <f>$D14</f>
        <v>1141987.7699999998</v>
      </c>
      <c r="L14" s="184"/>
    </row>
    <row r="15" spans="1:15" ht="14.6" x14ac:dyDescent="0.4">
      <c r="A15" s="139">
        <f>IF(D15="","", MAX($A$8:A14)+1)</f>
        <v>7</v>
      </c>
      <c r="B15" s="185">
        <v>906</v>
      </c>
      <c r="D15" s="66">
        <v>546617.96000000008</v>
      </c>
      <c r="L15" s="187">
        <f>$D15</f>
        <v>546617.96000000008</v>
      </c>
    </row>
    <row r="16" spans="1:15" ht="14.6" x14ac:dyDescent="0.4">
      <c r="A16" s="139">
        <f>IF(D16="","", MAX($A$8:A15)+1)</f>
        <v>8</v>
      </c>
      <c r="B16" s="185">
        <v>907</v>
      </c>
      <c r="D16" s="66">
        <v>178.6</v>
      </c>
      <c r="L16" s="187">
        <f>$D16</f>
        <v>178.6</v>
      </c>
    </row>
    <row r="17" spans="1:12" ht="14.6" x14ac:dyDescent="0.4">
      <c r="A17" s="139">
        <f>IF(D17="","", MAX($A$8:A16)+1)</f>
        <v>9</v>
      </c>
      <c r="B17" s="185">
        <v>908</v>
      </c>
      <c r="D17" s="66">
        <v>144320.39000000001</v>
      </c>
      <c r="L17" s="187">
        <f>$D17</f>
        <v>144320.39000000001</v>
      </c>
    </row>
    <row r="18" spans="1:12" ht="14.6" x14ac:dyDescent="0.4">
      <c r="A18" s="139">
        <f>IF(D18="","", MAX($A$8:A17)+1)</f>
        <v>10</v>
      </c>
      <c r="B18" s="185">
        <v>914</v>
      </c>
      <c r="D18" s="66">
        <v>211381.82</v>
      </c>
      <c r="L18" s="187">
        <f>$D18</f>
        <v>211381.82</v>
      </c>
    </row>
    <row r="19" spans="1:12" ht="14.6" x14ac:dyDescent="0.4">
      <c r="A19" s="139">
        <f>IF(D19="","", MAX($A$8:A18)+1)</f>
        <v>11</v>
      </c>
      <c r="B19" s="185" t="s">
        <v>512</v>
      </c>
      <c r="D19" s="66">
        <v>85.58</v>
      </c>
      <c r="L19" s="187">
        <f>$D19</f>
        <v>85.58</v>
      </c>
    </row>
    <row r="20" spans="1:12" ht="14.6" x14ac:dyDescent="0.4">
      <c r="A20" s="139">
        <f>IF(D20="","", MAX($A$8:A19)+1)</f>
        <v>12</v>
      </c>
      <c r="B20" s="185" t="s">
        <v>511</v>
      </c>
      <c r="D20" s="66">
        <v>0</v>
      </c>
      <c r="L20" s="184"/>
    </row>
    <row r="21" spans="1:12" ht="14.6" x14ac:dyDescent="0.4">
      <c r="A21" s="139">
        <f>IF(D21="","", MAX($A$8:A20)+1)</f>
        <v>13</v>
      </c>
      <c r="B21" s="185" t="s">
        <v>509</v>
      </c>
      <c r="C21" s="174" t="s">
        <v>508</v>
      </c>
      <c r="D21" s="66">
        <v>4014362.67</v>
      </c>
      <c r="L21" s="184"/>
    </row>
    <row r="22" spans="1:12" ht="14.6" x14ac:dyDescent="0.4">
      <c r="A22" s="139">
        <f>IF(D22="","", MAX($A$8:A21)+1)</f>
        <v>14</v>
      </c>
      <c r="B22" s="185" t="s">
        <v>507</v>
      </c>
      <c r="D22" s="66">
        <v>2304.27</v>
      </c>
      <c r="F22" s="186">
        <f>($D22*F$64/($F$64+$G$64))</f>
        <v>56.733920454545455</v>
      </c>
      <c r="G22" s="186">
        <f>($D22*G$64/($F$64+$G$64))</f>
        <v>2247.5360795454544</v>
      </c>
      <c r="L22" s="184"/>
    </row>
    <row r="23" spans="1:12" ht="14.6" x14ac:dyDescent="0.4">
      <c r="A23" s="139">
        <f>IF(D23="","", MAX($A$8:A22)+1)</f>
        <v>15</v>
      </c>
      <c r="B23" s="185" t="s">
        <v>506</v>
      </c>
      <c r="D23" s="66">
        <v>668.08</v>
      </c>
      <c r="F23" s="186"/>
      <c r="G23" s="186">
        <f>($D23*G$64/($G$64+$H$64))</f>
        <v>575.35317725752509</v>
      </c>
      <c r="H23" s="186">
        <f>($D23*H$64/($G$64+$H$64))</f>
        <v>92.726822742474923</v>
      </c>
      <c r="L23" s="184"/>
    </row>
    <row r="24" spans="1:12" ht="14.6" x14ac:dyDescent="0.4">
      <c r="A24" s="139">
        <f>IF(D24="","", MAX($A$8:A23)+1)</f>
        <v>16</v>
      </c>
      <c r="B24" s="185" t="s">
        <v>505</v>
      </c>
      <c r="D24" s="66">
        <v>2659.44</v>
      </c>
      <c r="G24" s="186">
        <f>($D24*G$64/($G$64+$H$64))</f>
        <v>2290.3204013377926</v>
      </c>
      <c r="H24" s="186">
        <f>($D24*H$64/($G$64+$H$64))</f>
        <v>369.11959866220741</v>
      </c>
      <c r="L24" s="184"/>
    </row>
    <row r="25" spans="1:12" ht="14.6" x14ac:dyDescent="0.4">
      <c r="A25" s="139">
        <f>IF(D25="","", MAX($A$8:A24)+1)</f>
        <v>17</v>
      </c>
      <c r="B25" s="185" t="s">
        <v>504</v>
      </c>
      <c r="D25" s="66">
        <v>2903.43</v>
      </c>
      <c r="G25" s="186">
        <f>($D25*G$64/($G$64+$H$64+$I$64))</f>
        <v>2396.2603365384616</v>
      </c>
      <c r="H25" s="186">
        <f>($D25*H$64/($G$64+$H$64+$I$64))</f>
        <v>386.1934134615384</v>
      </c>
      <c r="I25" s="186">
        <f>($D25*I$64/($G$64+$H$64+$I$64))</f>
        <v>120.97624999999999</v>
      </c>
      <c r="L25" s="184"/>
    </row>
    <row r="26" spans="1:12" ht="14.6" x14ac:dyDescent="0.4">
      <c r="A26" s="139">
        <f>IF(D26="","", MAX($A$8:A25)+1)</f>
        <v>18</v>
      </c>
      <c r="B26" s="185" t="s">
        <v>503</v>
      </c>
      <c r="D26" s="66">
        <v>10954.02</v>
      </c>
      <c r="G26" s="186">
        <f>($D26*G$64/($G$64+$H$64))</f>
        <v>9433.6459866220739</v>
      </c>
      <c r="H26" s="186">
        <f>($D26*H$64/($G$64+$H$64))</f>
        <v>1520.3740133779265</v>
      </c>
      <c r="L26" s="184"/>
    </row>
    <row r="27" spans="1:12" ht="14.6" x14ac:dyDescent="0.4">
      <c r="A27" s="139">
        <f>IF(D27="","", MAX($A$8:A26)+1)</f>
        <v>19</v>
      </c>
      <c r="B27" s="185" t="s">
        <v>502</v>
      </c>
      <c r="D27" s="66">
        <v>36132.04</v>
      </c>
      <c r="G27" s="186">
        <f>($D27*G$64/($G$64+$K$64))</f>
        <v>32645.615087719299</v>
      </c>
      <c r="K27" s="186">
        <f>($D27*K$64/($G$64+$K$64))</f>
        <v>3486.4249122807018</v>
      </c>
      <c r="L27" s="184"/>
    </row>
    <row r="28" spans="1:12" ht="14.6" x14ac:dyDescent="0.4">
      <c r="A28" s="139">
        <f>IF(D28="","", MAX($A$8:A27)+1)</f>
        <v>20</v>
      </c>
      <c r="B28" s="185" t="s">
        <v>501</v>
      </c>
      <c r="D28" s="66">
        <v>9074.59</v>
      </c>
      <c r="G28" s="186"/>
      <c r="H28" s="186">
        <f>($D28*H$64/($H$64+$K$64))</f>
        <v>5457.9055797101446</v>
      </c>
      <c r="K28" s="186">
        <f>($D28*K$64/($H$64+$K$64))</f>
        <v>3616.6844202898551</v>
      </c>
      <c r="L28" s="184"/>
    </row>
    <row r="29" spans="1:12" ht="14.6" x14ac:dyDescent="0.4">
      <c r="A29" s="139">
        <f>IF(D29="","", MAX($A$8:A28)+1)</f>
        <v>21</v>
      </c>
      <c r="B29" s="185" t="s">
        <v>500</v>
      </c>
      <c r="D29" s="66">
        <v>9211.2999999999993</v>
      </c>
      <c r="G29" s="186">
        <f>($D29*G$64/($G$64+$K$64))</f>
        <v>8322.4903508771931</v>
      </c>
      <c r="K29" s="186">
        <f>($D29*K$64/($G$64+$K$64))</f>
        <v>888.80964912280695</v>
      </c>
      <c r="L29" s="184"/>
    </row>
    <row r="30" spans="1:12" ht="14.6" x14ac:dyDescent="0.4">
      <c r="A30" s="139">
        <f>IF(D30="","", MAX($A$8:A29)+1)</f>
        <v>22</v>
      </c>
      <c r="B30" s="185" t="s">
        <v>499</v>
      </c>
      <c r="D30" s="66">
        <v>4102.47</v>
      </c>
      <c r="G30" s="186">
        <f>($D30*G$64/($G$64+$K$64))</f>
        <v>3706.617631578948</v>
      </c>
      <c r="K30" s="186">
        <f>($D30*K$64/($G$64+$K$64))</f>
        <v>395.85236842105263</v>
      </c>
      <c r="L30" s="184"/>
    </row>
    <row r="31" spans="1:12" ht="14.6" x14ac:dyDescent="0.4">
      <c r="A31" s="139">
        <f>IF(D31="","", MAX($A$8:A30)+1)</f>
        <v>23</v>
      </c>
      <c r="B31" s="185" t="s">
        <v>498</v>
      </c>
      <c r="D31" s="66">
        <v>9084.84</v>
      </c>
      <c r="L31" s="184"/>
    </row>
    <row r="32" spans="1:12" ht="14.6" x14ac:dyDescent="0.4">
      <c r="A32" s="139" t="str">
        <f>IF(D32="","", MAX($A$8:A31)+1)</f>
        <v/>
      </c>
      <c r="B32" s="185"/>
      <c r="D32" s="66"/>
      <c r="L32" s="184"/>
    </row>
    <row r="33" spans="1:12" ht="14.6" x14ac:dyDescent="0.4">
      <c r="A33" s="139">
        <f>IF(D33="","", MAX($A$8:A32)+1)</f>
        <v>24</v>
      </c>
      <c r="B33" s="188" t="s">
        <v>497</v>
      </c>
      <c r="C33" s="189"/>
      <c r="D33" s="67">
        <f>SUM(D9:D19,D22:D30)</f>
        <v>4000790.9100000006</v>
      </c>
      <c r="E33" s="189"/>
      <c r="F33" s="190">
        <f t="shared" ref="F33:L33" si="0">SUM(F9:F32)</f>
        <v>21525.093920454547</v>
      </c>
      <c r="G33" s="190">
        <f>SUM(G9:G32)</f>
        <v>1532401.3990514772</v>
      </c>
      <c r="H33" s="190">
        <f>SUM(H9:H32)</f>
        <v>297807.76942795439</v>
      </c>
      <c r="I33" s="190">
        <f t="shared" si="0"/>
        <v>90198.296249999999</v>
      </c>
      <c r="J33" s="190">
        <f t="shared" si="0"/>
        <v>5898.46</v>
      </c>
      <c r="K33" s="190">
        <f t="shared" si="0"/>
        <v>1150375.5413501144</v>
      </c>
      <c r="L33" s="191">
        <f t="shared" si="0"/>
        <v>902584.35</v>
      </c>
    </row>
    <row r="34" spans="1:12" ht="14.6" x14ac:dyDescent="0.4">
      <c r="A34" s="139">
        <f>IF(D34="","", MAX($A$8:A33)+1)</f>
        <v>25</v>
      </c>
      <c r="B34" s="183" t="s">
        <v>12</v>
      </c>
      <c r="C34" s="182"/>
      <c r="D34" s="68">
        <f>SUM(D21,D33)</f>
        <v>8015153.5800000001</v>
      </c>
      <c r="E34" s="182"/>
      <c r="F34" s="182"/>
      <c r="G34" s="182"/>
      <c r="H34" s="182"/>
      <c r="I34" s="182"/>
      <c r="J34" s="182"/>
      <c r="K34" s="182"/>
      <c r="L34" s="192"/>
    </row>
    <row r="35" spans="1:12" ht="14.6" x14ac:dyDescent="0.4">
      <c r="A35" s="139">
        <f>IF(D35="","", MAX($A$8:A34)+1)</f>
        <v>26</v>
      </c>
      <c r="B35" s="193"/>
      <c r="C35" s="194"/>
      <c r="D35" s="69">
        <f>D33/D34</f>
        <v>0.49915336868691673</v>
      </c>
      <c r="E35" s="194"/>
      <c r="F35" s="70">
        <f t="shared" ref="F35:L35" si="1">F33/$D33</f>
        <v>5.3802096647071578E-3</v>
      </c>
      <c r="G35" s="70">
        <f>G33/$D33</f>
        <v>0.38302461526325476</v>
      </c>
      <c r="H35" s="70">
        <f t="shared" si="1"/>
        <v>7.4437224070766139E-2</v>
      </c>
      <c r="I35" s="70">
        <f t="shared" si="1"/>
        <v>2.2545116273022123E-2</v>
      </c>
      <c r="J35" s="70">
        <f t="shared" si="1"/>
        <v>1.4743234857029805E-3</v>
      </c>
      <c r="K35" s="70">
        <f t="shared" si="1"/>
        <v>0.28753703135916048</v>
      </c>
      <c r="L35" s="71">
        <f t="shared" si="1"/>
        <v>0.22560147988338633</v>
      </c>
    </row>
    <row r="36" spans="1:12" ht="12.75" customHeight="1" x14ac:dyDescent="0.4">
      <c r="A36" s="139" t="str">
        <f>IF(D36="","", MAX($A$8:A35)+1)</f>
        <v/>
      </c>
      <c r="B36" s="195" t="s">
        <v>496</v>
      </c>
    </row>
    <row r="37" spans="1:12" ht="14.6" x14ac:dyDescent="0.4">
      <c r="A37" s="139">
        <f>IF(D37="","", MAX($A$8:A36)+1)</f>
        <v>27</v>
      </c>
      <c r="B37" s="175"/>
      <c r="C37" s="176"/>
      <c r="D37" s="240" t="s">
        <v>514</v>
      </c>
      <c r="E37" s="240"/>
      <c r="F37" s="240"/>
      <c r="G37" s="240"/>
      <c r="H37" s="240"/>
      <c r="I37" s="240"/>
      <c r="J37" s="240"/>
      <c r="K37" s="240"/>
      <c r="L37" s="241"/>
    </row>
    <row r="38" spans="1:12" ht="28.3" x14ac:dyDescent="0.4">
      <c r="A38" s="139"/>
      <c r="B38" s="196" t="s">
        <v>513</v>
      </c>
      <c r="C38" s="197"/>
      <c r="D38" s="179" t="s">
        <v>12</v>
      </c>
      <c r="E38" s="197"/>
      <c r="F38" s="180" t="s">
        <v>113</v>
      </c>
      <c r="G38" s="180" t="s">
        <v>114</v>
      </c>
      <c r="H38" s="180" t="s">
        <v>53</v>
      </c>
      <c r="I38" s="180" t="s">
        <v>54</v>
      </c>
      <c r="J38" s="180" t="s">
        <v>115</v>
      </c>
      <c r="K38" s="180" t="s">
        <v>55</v>
      </c>
      <c r="L38" s="181" t="s">
        <v>56</v>
      </c>
    </row>
    <row r="39" spans="1:12" ht="14.6" x14ac:dyDescent="0.4">
      <c r="A39" s="139" t="str">
        <f>IF(D39="","", MAX($A$8:A38)+1)</f>
        <v/>
      </c>
      <c r="B39" s="198"/>
      <c r="C39" s="199"/>
      <c r="E39" s="199"/>
      <c r="F39" s="199"/>
      <c r="G39" s="199"/>
      <c r="H39" s="199"/>
      <c r="I39" s="199"/>
      <c r="J39" s="199"/>
      <c r="K39" s="199"/>
      <c r="L39" s="200"/>
    </row>
    <row r="40" spans="1:12" ht="14.6" x14ac:dyDescent="0.4">
      <c r="A40" s="139">
        <f>IF(D40="","", MAX($A$8:A39)+1)</f>
        <v>28</v>
      </c>
      <c r="B40" s="201">
        <v>503</v>
      </c>
      <c r="D40" s="72">
        <v>12</v>
      </c>
      <c r="E40" s="72"/>
      <c r="F40" s="72">
        <f>D40</f>
        <v>12</v>
      </c>
      <c r="G40" s="72"/>
      <c r="H40" s="72"/>
      <c r="I40" s="72"/>
      <c r="J40" s="72"/>
      <c r="K40" s="72"/>
      <c r="L40" s="73"/>
    </row>
    <row r="41" spans="1:12" ht="14.6" x14ac:dyDescent="0.4">
      <c r="A41" s="139">
        <f>IF(D41="","", MAX($A$8:A40)+1)</f>
        <v>29</v>
      </c>
      <c r="B41" s="201">
        <v>504</v>
      </c>
      <c r="D41" s="72">
        <v>509</v>
      </c>
      <c r="E41" s="72"/>
      <c r="F41" s="72"/>
      <c r="G41" s="72">
        <f>D41</f>
        <v>509</v>
      </c>
      <c r="H41" s="72"/>
      <c r="I41" s="72"/>
      <c r="J41" s="72"/>
      <c r="K41" s="72"/>
      <c r="L41" s="73"/>
    </row>
    <row r="42" spans="1:12" ht="14.6" x14ac:dyDescent="0.4">
      <c r="A42" s="139">
        <f>IF(D42="","", MAX($A$8:A41)+1)</f>
        <v>30</v>
      </c>
      <c r="B42" s="201">
        <v>505</v>
      </c>
      <c r="D42" s="72">
        <v>79</v>
      </c>
      <c r="E42" s="72"/>
      <c r="F42" s="72"/>
      <c r="G42" s="72"/>
      <c r="H42" s="72">
        <f>D42</f>
        <v>79</v>
      </c>
      <c r="I42" s="72"/>
      <c r="J42" s="72"/>
      <c r="K42" s="72"/>
      <c r="L42" s="73"/>
    </row>
    <row r="43" spans="1:12" ht="14.6" x14ac:dyDescent="0.4">
      <c r="A43" s="139">
        <f>IF(D43="","", MAX($A$8:A42)+1)</f>
        <v>31</v>
      </c>
      <c r="B43" s="201">
        <v>511</v>
      </c>
      <c r="D43" s="72">
        <v>25</v>
      </c>
      <c r="E43" s="72"/>
      <c r="F43" s="72"/>
      <c r="G43" s="72"/>
      <c r="H43" s="72"/>
      <c r="I43" s="72">
        <f>D43</f>
        <v>25</v>
      </c>
      <c r="J43" s="72"/>
      <c r="K43" s="72"/>
      <c r="L43" s="73"/>
    </row>
    <row r="44" spans="1:12" ht="14.6" x14ac:dyDescent="0.4">
      <c r="A44" s="139">
        <f>IF(D44="","", MAX($A$8:A43)+1)</f>
        <v>32</v>
      </c>
      <c r="B44" s="201">
        <v>570</v>
      </c>
      <c r="D44" s="72">
        <v>2</v>
      </c>
      <c r="E44" s="72"/>
      <c r="F44" s="72"/>
      <c r="G44" s="72"/>
      <c r="H44" s="72"/>
      <c r="I44" s="72"/>
      <c r="J44" s="72">
        <f>D44</f>
        <v>2</v>
      </c>
      <c r="K44" s="72"/>
      <c r="L44" s="73"/>
    </row>
    <row r="45" spans="1:12" ht="14.6" x14ac:dyDescent="0.4">
      <c r="A45" s="139">
        <f>IF(D45="","", MAX($A$8:A44)+1)</f>
        <v>33</v>
      </c>
      <c r="B45" s="201">
        <v>663</v>
      </c>
      <c r="D45" s="72">
        <v>52</v>
      </c>
      <c r="E45" s="72"/>
      <c r="F45" s="72"/>
      <c r="G45" s="72"/>
      <c r="H45" s="72"/>
      <c r="I45" s="72"/>
      <c r="J45" s="72"/>
      <c r="K45" s="72">
        <f>D45</f>
        <v>52</v>
      </c>
      <c r="L45" s="73"/>
    </row>
    <row r="46" spans="1:12" ht="14.6" x14ac:dyDescent="0.4">
      <c r="A46" s="139">
        <f>IF(D46="","", MAX($A$8:A45)+1)</f>
        <v>34</v>
      </c>
      <c r="B46" s="201">
        <v>906</v>
      </c>
      <c r="D46" s="72">
        <v>2</v>
      </c>
      <c r="E46" s="72"/>
      <c r="F46" s="72"/>
      <c r="G46" s="72"/>
      <c r="H46" s="72"/>
      <c r="I46" s="72"/>
      <c r="J46" s="72"/>
      <c r="K46" s="72"/>
      <c r="L46" s="73">
        <f>D46</f>
        <v>2</v>
      </c>
    </row>
    <row r="47" spans="1:12" ht="14.6" x14ac:dyDescent="0.4">
      <c r="A47" s="139">
        <f>IF(D47="","", MAX($A$8:A46)+1)</f>
        <v>35</v>
      </c>
      <c r="B47" s="201">
        <v>907</v>
      </c>
      <c r="D47" s="72">
        <v>1</v>
      </c>
      <c r="E47" s="72"/>
      <c r="F47" s="72"/>
      <c r="G47" s="72"/>
      <c r="H47" s="72"/>
      <c r="I47" s="72"/>
      <c r="J47" s="72"/>
      <c r="K47" s="72"/>
      <c r="L47" s="73">
        <f>D47</f>
        <v>1</v>
      </c>
    </row>
    <row r="48" spans="1:12" ht="14.6" x14ac:dyDescent="0.4">
      <c r="A48" s="139">
        <f>IF(D48="","", MAX($A$8:A47)+1)</f>
        <v>36</v>
      </c>
      <c r="B48" s="201">
        <v>908</v>
      </c>
      <c r="D48" s="72">
        <v>2</v>
      </c>
      <c r="E48" s="72"/>
      <c r="F48" s="72"/>
      <c r="G48" s="72"/>
      <c r="H48" s="72"/>
      <c r="I48" s="72"/>
      <c r="J48" s="72"/>
      <c r="K48" s="72"/>
      <c r="L48" s="73">
        <f>D48</f>
        <v>2</v>
      </c>
    </row>
    <row r="49" spans="1:12" ht="14.6" x14ac:dyDescent="0.4">
      <c r="A49" s="139">
        <f>IF(D49="","", MAX($A$8:A48)+1)</f>
        <v>37</v>
      </c>
      <c r="B49" s="201">
        <v>914</v>
      </c>
      <c r="D49" s="72">
        <v>2</v>
      </c>
      <c r="E49" s="72"/>
      <c r="F49" s="72"/>
      <c r="G49" s="72"/>
      <c r="H49" s="72"/>
      <c r="I49" s="72"/>
      <c r="J49" s="72"/>
      <c r="K49" s="72"/>
      <c r="L49" s="73">
        <f>D49</f>
        <v>2</v>
      </c>
    </row>
    <row r="50" spans="1:12" ht="14.6" x14ac:dyDescent="0.4">
      <c r="A50" s="139">
        <f>IF(D50="","", MAX($A$8:A49)+1)</f>
        <v>38</v>
      </c>
      <c r="B50" s="201" t="s">
        <v>512</v>
      </c>
      <c r="D50" s="72">
        <v>1</v>
      </c>
      <c r="E50" s="72"/>
      <c r="F50" s="72"/>
      <c r="G50" s="72"/>
      <c r="H50" s="72"/>
      <c r="I50" s="72"/>
      <c r="J50" s="72"/>
      <c r="K50" s="72"/>
      <c r="L50" s="73">
        <f>D50</f>
        <v>1</v>
      </c>
    </row>
    <row r="51" spans="1:12" ht="14.6" x14ac:dyDescent="0.4">
      <c r="A51" s="139">
        <f>IF(D51="","", MAX($A$8:A50)+1)</f>
        <v>39</v>
      </c>
      <c r="B51" s="201" t="s">
        <v>511</v>
      </c>
      <c r="D51" s="72" t="s">
        <v>510</v>
      </c>
      <c r="E51" s="72"/>
      <c r="F51" s="72"/>
      <c r="G51" s="72"/>
      <c r="H51" s="72"/>
      <c r="I51" s="72"/>
      <c r="J51" s="72"/>
      <c r="K51" s="72"/>
      <c r="L51" s="73"/>
    </row>
    <row r="52" spans="1:12" ht="14.6" x14ac:dyDescent="0.4">
      <c r="A52" s="139">
        <f>IF(D52="","", MAX($A$8:A51)+1)</f>
        <v>40</v>
      </c>
      <c r="B52" s="201" t="s">
        <v>509</v>
      </c>
      <c r="C52" s="174" t="s">
        <v>508</v>
      </c>
      <c r="D52" s="72">
        <v>670</v>
      </c>
      <c r="E52" s="72"/>
      <c r="F52" s="72"/>
      <c r="G52" s="72"/>
      <c r="H52" s="72"/>
      <c r="I52" s="72"/>
      <c r="J52" s="72"/>
      <c r="K52" s="72"/>
      <c r="L52" s="73"/>
    </row>
    <row r="53" spans="1:12" ht="14.6" x14ac:dyDescent="0.4">
      <c r="A53" s="139">
        <f>IF(D53="","", MAX($A$8:A52)+1)</f>
        <v>41</v>
      </c>
      <c r="B53" s="201" t="s">
        <v>507</v>
      </c>
      <c r="D53" s="72">
        <v>2</v>
      </c>
      <c r="E53" s="72"/>
      <c r="F53" s="72">
        <v>1</v>
      </c>
      <c r="G53" s="72">
        <v>1</v>
      </c>
      <c r="H53" s="72"/>
      <c r="I53" s="72"/>
      <c r="J53" s="72"/>
      <c r="K53" s="72"/>
      <c r="L53" s="73"/>
    </row>
    <row r="54" spans="1:12" ht="14.6" x14ac:dyDescent="0.4">
      <c r="A54" s="139">
        <f>IF(D54="","", MAX($A$8:A53)+1)</f>
        <v>42</v>
      </c>
      <c r="B54" s="201" t="s">
        <v>506</v>
      </c>
      <c r="D54" s="72">
        <v>1</v>
      </c>
      <c r="E54" s="72"/>
      <c r="F54" s="72"/>
      <c r="G54" s="72">
        <v>0.5</v>
      </c>
      <c r="H54" s="72">
        <v>0.5</v>
      </c>
      <c r="I54" s="72"/>
      <c r="J54" s="72"/>
      <c r="K54" s="72"/>
      <c r="L54" s="73"/>
    </row>
    <row r="55" spans="1:12" ht="14.6" x14ac:dyDescent="0.4">
      <c r="A55" s="139">
        <f>IF(D55="","", MAX($A$8:A54)+1)</f>
        <v>43</v>
      </c>
      <c r="B55" s="201" t="s">
        <v>505</v>
      </c>
      <c r="D55" s="72">
        <v>1</v>
      </c>
      <c r="E55" s="72"/>
      <c r="F55" s="72"/>
      <c r="G55" s="72">
        <v>0.5</v>
      </c>
      <c r="H55" s="72">
        <v>0.5</v>
      </c>
      <c r="I55" s="72"/>
      <c r="J55" s="72"/>
      <c r="K55" s="72"/>
      <c r="L55" s="73"/>
    </row>
    <row r="56" spans="1:12" ht="14.6" x14ac:dyDescent="0.4">
      <c r="A56" s="139">
        <f>IF(D56="","", MAX($A$8:A55)+1)</f>
        <v>44</v>
      </c>
      <c r="B56" s="201" t="s">
        <v>504</v>
      </c>
      <c r="D56" s="72">
        <v>2</v>
      </c>
      <c r="E56" s="72"/>
      <c r="F56" s="72"/>
      <c r="G56" s="72">
        <v>0.5</v>
      </c>
      <c r="H56" s="72">
        <v>0.5</v>
      </c>
      <c r="I56" s="72">
        <v>1</v>
      </c>
      <c r="J56" s="72"/>
      <c r="K56" s="72"/>
      <c r="L56" s="73"/>
    </row>
    <row r="57" spans="1:12" ht="14.6" x14ac:dyDescent="0.4">
      <c r="A57" s="139">
        <f>IF(D57="","", MAX($A$8:A56)+1)</f>
        <v>45</v>
      </c>
      <c r="B57" s="201" t="s">
        <v>503</v>
      </c>
      <c r="D57" s="72">
        <v>3</v>
      </c>
      <c r="E57" s="72"/>
      <c r="F57" s="72"/>
      <c r="G57" s="72">
        <f>3/2</f>
        <v>1.5</v>
      </c>
      <c r="H57" s="72">
        <f>3/2</f>
        <v>1.5</v>
      </c>
      <c r="I57" s="72"/>
      <c r="J57" s="72"/>
      <c r="K57" s="72"/>
      <c r="L57" s="73"/>
    </row>
    <row r="58" spans="1:12" ht="14.6" x14ac:dyDescent="0.4">
      <c r="A58" s="139">
        <f>IF(D58="","", MAX($A$8:A57)+1)</f>
        <v>46</v>
      </c>
      <c r="B58" s="201" t="s">
        <v>502</v>
      </c>
      <c r="D58" s="72">
        <v>3</v>
      </c>
      <c r="E58" s="72"/>
      <c r="F58" s="72"/>
      <c r="G58" s="72">
        <f>3/2</f>
        <v>1.5</v>
      </c>
      <c r="H58" s="72"/>
      <c r="I58" s="72"/>
      <c r="J58" s="72"/>
      <c r="K58" s="72">
        <f>3/2</f>
        <v>1.5</v>
      </c>
      <c r="L58" s="73"/>
    </row>
    <row r="59" spans="1:12" ht="14.6" x14ac:dyDescent="0.4">
      <c r="A59" s="139">
        <f>IF(D59="","", MAX($A$8:A58)+1)</f>
        <v>47</v>
      </c>
      <c r="B59" s="201" t="s">
        <v>501</v>
      </c>
      <c r="D59" s="72">
        <v>1</v>
      </c>
      <c r="E59" s="72"/>
      <c r="F59" s="72"/>
      <c r="G59" s="72"/>
      <c r="H59" s="72">
        <v>0.5</v>
      </c>
      <c r="I59" s="72"/>
      <c r="J59" s="72"/>
      <c r="K59" s="72">
        <v>0.5</v>
      </c>
      <c r="L59" s="73"/>
    </row>
    <row r="60" spans="1:12" ht="14.6" x14ac:dyDescent="0.4">
      <c r="A60" s="139">
        <f>IF(D60="","", MAX($A$8:A59)+1)</f>
        <v>48</v>
      </c>
      <c r="B60" s="201" t="s">
        <v>500</v>
      </c>
      <c r="D60" s="72">
        <v>1</v>
      </c>
      <c r="E60" s="72"/>
      <c r="F60" s="72"/>
      <c r="G60" s="72"/>
      <c r="H60" s="72">
        <v>0.5</v>
      </c>
      <c r="I60" s="72"/>
      <c r="J60" s="72"/>
      <c r="K60" s="72">
        <v>0.5</v>
      </c>
      <c r="L60" s="73"/>
    </row>
    <row r="61" spans="1:12" ht="14.6" x14ac:dyDescent="0.4">
      <c r="A61" s="139">
        <f>IF(D61="","", MAX($A$8:A60)+1)</f>
        <v>49</v>
      </c>
      <c r="B61" s="201" t="s">
        <v>499</v>
      </c>
      <c r="D61" s="72">
        <v>1</v>
      </c>
      <c r="E61" s="72"/>
      <c r="F61" s="72"/>
      <c r="G61" s="72">
        <v>0.5</v>
      </c>
      <c r="H61" s="72"/>
      <c r="I61" s="72"/>
      <c r="J61" s="72"/>
      <c r="K61" s="72">
        <v>0.5</v>
      </c>
      <c r="L61" s="73"/>
    </row>
    <row r="62" spans="1:12" ht="14.6" x14ac:dyDescent="0.4">
      <c r="A62" s="139">
        <f>IF(D62="","", MAX($A$8:A61)+1)</f>
        <v>50</v>
      </c>
      <c r="B62" s="202" t="s">
        <v>498</v>
      </c>
      <c r="D62" s="72">
        <v>1</v>
      </c>
      <c r="E62" s="72"/>
      <c r="F62" s="72"/>
      <c r="G62" s="72"/>
      <c r="H62" s="72"/>
      <c r="I62" s="72"/>
      <c r="J62" s="72"/>
      <c r="K62" s="72"/>
      <c r="L62" s="73"/>
    </row>
    <row r="63" spans="1:12" ht="14.6" x14ac:dyDescent="0.4">
      <c r="A63" s="139" t="str">
        <f>IF(D63="","", MAX($A$8:A62)+1)</f>
        <v/>
      </c>
      <c r="B63" s="201"/>
      <c r="D63" s="72"/>
      <c r="E63" s="72"/>
      <c r="F63" s="72"/>
      <c r="G63" s="72"/>
      <c r="H63" s="72"/>
      <c r="I63" s="72"/>
      <c r="J63" s="72"/>
      <c r="K63" s="72"/>
      <c r="L63" s="73"/>
    </row>
    <row r="64" spans="1:12" ht="14.6" x14ac:dyDescent="0.4">
      <c r="A64" s="139">
        <f>IF(D64="","", MAX($A$8:A63)+1)</f>
        <v>51</v>
      </c>
      <c r="B64" s="198" t="s">
        <v>497</v>
      </c>
      <c r="C64" s="189"/>
      <c r="D64" s="74">
        <f>SUM(D53:D61,D40:D50)</f>
        <v>702</v>
      </c>
      <c r="E64" s="74"/>
      <c r="F64" s="74">
        <f t="shared" ref="F64:L64" si="2">SUM(F40:F63)</f>
        <v>13</v>
      </c>
      <c r="G64" s="74">
        <f t="shared" si="2"/>
        <v>515</v>
      </c>
      <c r="H64" s="74">
        <f t="shared" si="2"/>
        <v>83</v>
      </c>
      <c r="I64" s="74">
        <f t="shared" si="2"/>
        <v>26</v>
      </c>
      <c r="J64" s="74">
        <f t="shared" si="2"/>
        <v>2</v>
      </c>
      <c r="K64" s="74">
        <f t="shared" si="2"/>
        <v>55</v>
      </c>
      <c r="L64" s="75">
        <f t="shared" si="2"/>
        <v>8</v>
      </c>
    </row>
    <row r="65" spans="1:12" ht="14.6" x14ac:dyDescent="0.4">
      <c r="A65" s="139">
        <f>IF(D65="","", MAX($A$8:A64)+1)</f>
        <v>52</v>
      </c>
      <c r="B65" s="203" t="s">
        <v>12</v>
      </c>
      <c r="C65" s="182"/>
      <c r="D65" s="76">
        <f>SUM(D52,D64)</f>
        <v>1372</v>
      </c>
      <c r="E65" s="204"/>
      <c r="F65" s="204"/>
      <c r="G65" s="204"/>
      <c r="H65" s="204"/>
      <c r="I65" s="204"/>
      <c r="J65" s="204"/>
      <c r="K65" s="204"/>
      <c r="L65" s="205"/>
    </row>
    <row r="66" spans="1:12" ht="14.6" x14ac:dyDescent="0.4">
      <c r="A66" s="139">
        <f>IF(F66="","", MAX($A$8:A65)+1)</f>
        <v>53</v>
      </c>
      <c r="B66" s="193"/>
      <c r="C66" s="194"/>
      <c r="D66" s="194"/>
      <c r="E66" s="194"/>
      <c r="F66" s="70">
        <f t="shared" ref="F66:L66" si="3">F64/$D64</f>
        <v>1.8518518518518517E-2</v>
      </c>
      <c r="G66" s="70">
        <f t="shared" si="3"/>
        <v>0.73361823361823364</v>
      </c>
      <c r="H66" s="70">
        <f t="shared" si="3"/>
        <v>0.11823361823361823</v>
      </c>
      <c r="I66" s="70">
        <f t="shared" si="3"/>
        <v>3.7037037037037035E-2</v>
      </c>
      <c r="J66" s="70">
        <f t="shared" si="3"/>
        <v>2.8490028490028491E-3</v>
      </c>
      <c r="K66" s="70">
        <f t="shared" si="3"/>
        <v>7.8347578347578342E-2</v>
      </c>
      <c r="L66" s="71">
        <f t="shared" si="3"/>
        <v>1.1396011396011397E-2</v>
      </c>
    </row>
    <row r="67" spans="1:12" ht="12.9" x14ac:dyDescent="0.35">
      <c r="B67" s="195" t="s">
        <v>496</v>
      </c>
    </row>
  </sheetData>
  <mergeCells count="2">
    <mergeCell ref="D6:L6"/>
    <mergeCell ref="D37:L37"/>
  </mergeCells>
  <printOptions horizontalCentered="1"/>
  <pageMargins left="0.25" right="0.25" top="1.25" bottom="0.75" header="0.3" footer="0.3"/>
  <pageSetup scale="67" orientation="portrait" r:id="rId1"/>
  <headerFooter>
    <oddHeader>&amp;CCascade Natural Gas Corporation
UG 17 ____
RJA WP - 2.18
Industrial MR Equipment
Twelve Months Ended December 31, 2016</oddHeader>
    <oddFooter>&amp;LElectronic Workbook Name: &amp;F
Electronic Tab Name:&amp;A, Page &amp;P of 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A618-184B-43DD-AF61-A42E6730BD20}">
  <dimension ref="A1:A7"/>
  <sheetViews>
    <sheetView workbookViewId="0">
      <selection activeCell="A16" sqref="A16"/>
    </sheetView>
  </sheetViews>
  <sheetFormatPr defaultRowHeight="14.6" x14ac:dyDescent="0.4"/>
  <cols>
    <col min="1" max="1" width="43.69140625" customWidth="1"/>
  </cols>
  <sheetData>
    <row r="1" spans="1:1" x14ac:dyDescent="0.4">
      <c r="A1" s="3" t="s">
        <v>635</v>
      </c>
    </row>
    <row r="3" spans="1:1" x14ac:dyDescent="0.4">
      <c r="A3" t="s">
        <v>641</v>
      </c>
    </row>
    <row r="4" spans="1:1" x14ac:dyDescent="0.4">
      <c r="A4" t="s">
        <v>636</v>
      </c>
    </row>
    <row r="5" spans="1:1" x14ac:dyDescent="0.4">
      <c r="A5" t="s">
        <v>637</v>
      </c>
    </row>
    <row r="6" spans="1:1" x14ac:dyDescent="0.4">
      <c r="A6" t="s">
        <v>638</v>
      </c>
    </row>
    <row r="7" spans="1:1" x14ac:dyDescent="0.4">
      <c r="A7" t="s">
        <v>639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F949F03-CFB1-4266-9C2C-92ED18539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DEEEB-1329-4CDC-B1BC-18AB670C94F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9b681777-512b-478d-8e63-5ac3e973db6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d3ad02-bc00-492b-a000-5c79a458ee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35949C-DF71-4C5F-B03D-BD1972952DCC}"/>
</file>

<file path=customXml/itemProps4.xml><?xml version="1.0" encoding="utf-8"?>
<ds:datastoreItem xmlns:ds="http://schemas.openxmlformats.org/officeDocument/2006/customXml" ds:itemID="{B0E2811C-22BC-47D0-A0AC-423D321D0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Contents</vt:lpstr>
      <vt:lpstr>EXTERNAL</vt:lpstr>
      <vt:lpstr>Mains Workpaper</vt:lpstr>
      <vt:lpstr>Acct303</vt:lpstr>
      <vt:lpstr>Spl Contract Direct</vt:lpstr>
      <vt:lpstr>Customers</vt:lpstr>
      <vt:lpstr>Volumes</vt:lpstr>
      <vt:lpstr>RJA-4A Gas Supply</vt:lpstr>
      <vt:lpstr>Revenue</vt:lpstr>
      <vt:lpstr>Design Day</vt:lpstr>
      <vt:lpstr>Seasonal Vols</vt:lpstr>
      <vt:lpstr>Mains Allocators</vt:lpstr>
      <vt:lpstr>Large Cust Mains</vt:lpstr>
      <vt:lpstr>Meter Costs</vt:lpstr>
      <vt:lpstr>Service Costs</vt:lpstr>
      <vt:lpstr>2023 Net Write Offs</vt:lpstr>
      <vt:lpstr>Meter Reading</vt:lpstr>
      <vt:lpstr>385Summary</vt:lpstr>
      <vt:lpstr>Index to External Links</vt:lpstr>
      <vt:lpstr>'2023 Net Write Offs'!Print_Area</vt:lpstr>
      <vt:lpstr>EXTERNAL!Print_Area</vt:lpstr>
      <vt:lpstr>'Mains Workpaper'!Print_Area</vt:lpstr>
      <vt:lpstr>Revenue!Print_Area</vt:lpstr>
      <vt:lpstr>EXTERNAL!Print_Titles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Macias</dc:creator>
  <cp:keywords/>
  <dc:description/>
  <cp:lastModifiedBy>Greg Macias</cp:lastModifiedBy>
  <cp:revision/>
  <cp:lastPrinted>2024-03-26T23:13:49Z</cp:lastPrinted>
  <dcterms:created xsi:type="dcterms:W3CDTF">2021-05-10T19:22:55Z</dcterms:created>
  <dcterms:modified xsi:type="dcterms:W3CDTF">2024-03-29T21:10:01Z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{A44787D4-0540-4523-9961-78E4036D8C6D}">
    <vt:lpwstr>{01535AA7-B669-47AD-A7D7-752794660ABB}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</Properties>
</file>