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Regulatory_Affairs\Walker\Rate Case\Washington\Decoupling\"/>
    </mc:Choice>
  </mc:AlternateContent>
  <bookViews>
    <workbookView xWindow="225" yWindow="1395" windowWidth="13890" windowHeight="6480" tabRatio="933" activeTab="4"/>
  </bookViews>
  <sheets>
    <sheet name="Inputs" sheetId="2" r:id="rId1"/>
    <sheet name="Washington volumes" sheetId="1" r:id="rId2"/>
    <sheet name="Avg Bill by RS" sheetId="12" r:id="rId3"/>
    <sheet name="Rates in summary" sheetId="11" r:id="rId4"/>
    <sheet name="Rates in detail" sheetId="3" r:id="rId5"/>
    <sheet name="Temporaries" sheetId="7" r:id="rId6"/>
    <sheet name="Allocation = % of margin" sheetId="8" r:id="rId7"/>
  </sheets>
  <externalReferences>
    <externalReference r:id="rId8"/>
    <externalReference r:id="rId9"/>
  </externalReferences>
  <definedNames>
    <definedName name="calcsheet1">#N/A</definedName>
    <definedName name="calcsheet2">#N/A</definedName>
    <definedName name="calcsheet3">#N/A</definedName>
    <definedName name="CMonth">#REF!</definedName>
    <definedName name="CYTD">#REF!</definedName>
    <definedName name="Differences">#REF!</definedName>
    <definedName name="DivM">#REF!</definedName>
    <definedName name="DivY">#REF!</definedName>
    <definedName name="EFFDATE">Inputs!#REF!</definedName>
    <definedName name="EMonth">[1]Data!$G$4:$G$4,[1]Data!#REF!</definedName>
    <definedName name="ExpM">#REF!</definedName>
    <definedName name="ExpY">#REF!</definedName>
    <definedName name="EYTD">[1]Data!#REF!,[1]Data!#REF!</definedName>
    <definedName name="Month">#REF!</definedName>
    <definedName name="_xlnm.Print_Area" localSheetId="6">'Allocation = % of margin'!$A$1:$AH$69</definedName>
    <definedName name="_xlnm.Print_Area" localSheetId="0">Inputs!$A$1:$G$52</definedName>
    <definedName name="_xlnm.Print_Area" localSheetId="4">'Rates in detail'!$A$1:$R$74</definedName>
    <definedName name="_xlnm.Print_Area" localSheetId="3">'Rates in summary'!$A$1:$R$74</definedName>
    <definedName name="_xlnm.Print_Area" localSheetId="5">Temporaries!$A$1:$J$75</definedName>
    <definedName name="_xlnm.Print_Area" localSheetId="1">'Washington volumes'!$A$1:$I$72</definedName>
    <definedName name="_xlnm.Print_Titles" localSheetId="6">'Allocation = % of margin'!$A:$M</definedName>
    <definedName name="_xlnm.Print_Titles" localSheetId="2">'Avg Bill by RS'!$A:$J</definedName>
    <definedName name="_xlnm.Print_Titles" localSheetId="5">Temporaries!$A:$C,Temporaries!$1:$12</definedName>
    <definedName name="print55">#REF!</definedName>
    <definedName name="RevM">#REF!</definedName>
    <definedName name="revsens">Inputs!$B$14</definedName>
    <definedName name="RevY">#REF!</definedName>
    <definedName name="RptDate">#REF!</definedName>
    <definedName name="shitodear">#N/A</definedName>
    <definedName name="shitodear2">#N/A</definedName>
    <definedName name="shitodear3">#N/A</definedName>
    <definedName name="Version">#REF!</definedName>
    <definedName name="wa_revsens">'[2]General Inputs'!$E$10</definedName>
  </definedNames>
  <calcPr calcId="152511"/>
</workbook>
</file>

<file path=xl/calcChain.xml><?xml version="1.0" encoding="utf-8"?>
<calcChain xmlns="http://schemas.openxmlformats.org/spreadsheetml/2006/main">
  <c r="A13" i="2" l="1"/>
  <c r="A14" i="2"/>
  <c r="A15" i="2" s="1"/>
  <c r="AF75" i="12" l="1"/>
  <c r="AF68" i="12"/>
  <c r="AF61" i="12"/>
  <c r="AF54" i="12"/>
  <c r="AF47" i="12"/>
  <c r="AF40" i="12"/>
  <c r="AF33" i="12"/>
  <c r="AF30" i="12"/>
  <c r="AF27" i="12"/>
  <c r="AF21" i="12"/>
  <c r="AF14" i="12"/>
  <c r="AF15" i="12"/>
  <c r="AF16" i="12"/>
  <c r="AF17" i="12"/>
  <c r="AF18" i="12"/>
  <c r="AF13" i="12"/>
  <c r="K21" i="1" l="1"/>
  <c r="T81" i="3" l="1"/>
  <c r="T79" i="3"/>
  <c r="T67" i="3" l="1"/>
  <c r="I59" i="1" l="1"/>
  <c r="I53" i="1"/>
  <c r="I47" i="1"/>
  <c r="I41" i="1"/>
  <c r="I35" i="1"/>
  <c r="I29" i="1"/>
  <c r="I27" i="1"/>
  <c r="I25" i="1"/>
  <c r="I23" i="1"/>
  <c r="I21" i="1"/>
  <c r="I19" i="1"/>
  <c r="U14" i="3" l="1"/>
  <c r="U15" i="3"/>
  <c r="U16" i="3"/>
  <c r="U17" i="3"/>
  <c r="U18" i="3"/>
  <c r="U13" i="3"/>
  <c r="F13" i="1"/>
  <c r="F14" i="1"/>
  <c r="F76" i="1" s="1"/>
  <c r="F15" i="1"/>
  <c r="F16" i="1"/>
  <c r="F17" i="1"/>
  <c r="F18" i="1"/>
  <c r="F19" i="1"/>
  <c r="F20" i="1"/>
  <c r="F21" i="1"/>
  <c r="F22" i="1"/>
  <c r="F23" i="1"/>
  <c r="F75" i="1" s="1"/>
  <c r="F24" i="1"/>
  <c r="F25" i="1"/>
  <c r="F26" i="1"/>
  <c r="F27" i="1"/>
  <c r="F80" i="1" s="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8" i="1"/>
  <c r="F78" i="1"/>
  <c r="F81" i="1"/>
  <c r="I14" i="1"/>
  <c r="I15" i="1"/>
  <c r="I16" i="1"/>
  <c r="I17" i="1"/>
  <c r="I18" i="1"/>
  <c r="I13" i="1"/>
  <c r="I65" i="1"/>
  <c r="I66" i="1"/>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13" i="3"/>
  <c r="U67" i="3" l="1"/>
  <c r="F77" i="1"/>
  <c r="F83" i="1"/>
  <c r="F79" i="1"/>
  <c r="F82" i="1" s="1"/>
  <c r="F84" i="1"/>
  <c r="T80" i="3" l="1"/>
  <c r="T82" i="3" s="1"/>
  <c r="T69" i="3"/>
  <c r="T71" i="3" s="1"/>
  <c r="T73" i="3" s="1"/>
  <c r="F85" i="1"/>
  <c r="H69" i="12" l="1"/>
  <c r="H48" i="12"/>
  <c r="H25" i="12"/>
  <c r="Z77" i="12"/>
  <c r="Z76" i="12"/>
  <c r="Z70" i="12"/>
  <c r="Z71" i="12"/>
  <c r="Z72" i="12"/>
  <c r="Z73" i="12"/>
  <c r="Z74" i="12"/>
  <c r="Z69" i="12"/>
  <c r="Z63" i="12"/>
  <c r="Z64" i="12"/>
  <c r="Z65" i="12"/>
  <c r="Z66" i="12"/>
  <c r="Z67" i="12"/>
  <c r="Z62" i="12"/>
  <c r="Z56" i="12"/>
  <c r="Z57" i="12"/>
  <c r="Z58" i="12"/>
  <c r="Z59" i="12"/>
  <c r="Z60" i="12"/>
  <c r="Z55" i="12"/>
  <c r="Z49" i="12"/>
  <c r="Z50" i="12"/>
  <c r="Z51" i="12"/>
  <c r="Z52" i="12"/>
  <c r="Z53" i="12"/>
  <c r="Z48" i="12"/>
  <c r="Z42" i="12"/>
  <c r="Z43" i="12"/>
  <c r="Z44" i="12"/>
  <c r="Z45" i="12"/>
  <c r="Z46" i="12"/>
  <c r="Z41" i="12"/>
  <c r="Z35" i="12"/>
  <c r="Z36" i="12"/>
  <c r="Z37" i="12"/>
  <c r="Z38" i="12"/>
  <c r="Z39" i="12"/>
  <c r="Z34" i="12"/>
  <c r="Z32" i="12"/>
  <c r="Z31" i="12"/>
  <c r="Z29" i="12"/>
  <c r="Z28" i="12"/>
  <c r="Z26" i="12"/>
  <c r="Z25" i="12"/>
  <c r="Z23" i="12"/>
  <c r="Z22" i="12"/>
  <c r="Z14" i="12"/>
  <c r="Z15" i="12"/>
  <c r="Z16" i="12"/>
  <c r="Z17" i="12"/>
  <c r="Z18" i="12"/>
  <c r="Z19" i="12"/>
  <c r="Z20" i="12"/>
  <c r="Z13" i="12"/>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13" i="11"/>
  <c r="AG10" i="8" l="1"/>
  <c r="AD10" i="8"/>
  <c r="AA10" i="8"/>
  <c r="AG8" i="8"/>
  <c r="AD8" i="8"/>
  <c r="AF9" i="8"/>
  <c r="AC9" i="8"/>
  <c r="Z9" i="8"/>
  <c r="AF7" i="8" l="1"/>
  <c r="AC7" i="8"/>
  <c r="I23" i="3" l="1"/>
  <c r="I24" i="3"/>
  <c r="I41" i="3"/>
  <c r="I42" i="3"/>
  <c r="I43" i="3"/>
  <c r="I44" i="3"/>
  <c r="I45" i="3"/>
  <c r="I46" i="3"/>
  <c r="I59" i="3"/>
  <c r="I60" i="3"/>
  <c r="I61" i="3"/>
  <c r="I62" i="3"/>
  <c r="I63" i="3"/>
  <c r="I64" i="3"/>
  <c r="I65" i="3"/>
  <c r="I66" i="3"/>
  <c r="I13" i="3"/>
  <c r="B49" i="2" l="1"/>
  <c r="AC8" i="8" s="1"/>
  <c r="AC10" i="8" s="1"/>
  <c r="B47" i="2"/>
  <c r="B51" i="2"/>
  <c r="AF8" i="8" s="1"/>
  <c r="AF10" i="8" s="1"/>
  <c r="D12" i="2" l="1"/>
  <c r="D10" i="2"/>
  <c r="N66" i="3" l="1"/>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AE67" i="3" l="1"/>
  <c r="AB67" i="3"/>
  <c r="Y67" i="3"/>
  <c r="S8" i="12" l="1"/>
  <c r="R8" i="12"/>
  <c r="Q8" i="12"/>
  <c r="M8" i="12"/>
  <c r="T8" i="12"/>
  <c r="N8" i="12"/>
  <c r="U8" i="12"/>
  <c r="O8" i="12"/>
  <c r="P8" i="12"/>
  <c r="L8" i="12"/>
  <c r="V8" i="12"/>
  <c r="K8" i="12"/>
  <c r="G18" i="3" l="1"/>
  <c r="G17" i="3"/>
  <c r="G16" i="3"/>
  <c r="G15" i="3"/>
  <c r="G14" i="3"/>
  <c r="F28" i="3"/>
  <c r="I28" i="3" s="1"/>
  <c r="F27" i="3"/>
  <c r="I27" i="3" s="1"/>
  <c r="F26" i="3"/>
  <c r="I26" i="3" s="1"/>
  <c r="F25" i="3"/>
  <c r="I25" i="3" s="1"/>
  <c r="F40" i="3"/>
  <c r="I40" i="3" s="1"/>
  <c r="F39" i="3"/>
  <c r="I39" i="3" s="1"/>
  <c r="F38" i="3"/>
  <c r="I38" i="3" s="1"/>
  <c r="F37" i="3"/>
  <c r="I37" i="3" s="1"/>
  <c r="F36" i="3"/>
  <c r="I36" i="3" s="1"/>
  <c r="F35" i="3"/>
  <c r="I35" i="3" s="1"/>
  <c r="F34" i="3"/>
  <c r="I34" i="3" s="1"/>
  <c r="F33" i="3"/>
  <c r="I33" i="3" s="1"/>
  <c r="F32" i="3"/>
  <c r="I32" i="3" s="1"/>
  <c r="F31" i="3"/>
  <c r="I31" i="3" s="1"/>
  <c r="F30" i="3"/>
  <c r="I30" i="3" s="1"/>
  <c r="F29" i="3"/>
  <c r="I29" i="3" s="1"/>
  <c r="F58" i="3"/>
  <c r="I58" i="3" s="1"/>
  <c r="F57" i="3"/>
  <c r="I57" i="3" s="1"/>
  <c r="F56" i="3"/>
  <c r="I56" i="3" s="1"/>
  <c r="F55" i="3"/>
  <c r="I55" i="3" s="1"/>
  <c r="F54" i="3"/>
  <c r="I54" i="3" s="1"/>
  <c r="F53" i="3"/>
  <c r="I53" i="3" s="1"/>
  <c r="F52" i="3"/>
  <c r="I52" i="3" s="1"/>
  <c r="F51" i="3"/>
  <c r="I51" i="3" s="1"/>
  <c r="F50" i="3"/>
  <c r="I50" i="3" s="1"/>
  <c r="F49" i="3"/>
  <c r="I49" i="3" s="1"/>
  <c r="F48" i="3"/>
  <c r="I48" i="3" s="1"/>
  <c r="F47" i="3"/>
  <c r="I47" i="3" s="1"/>
  <c r="F22" i="3"/>
  <c r="I22" i="3" s="1"/>
  <c r="F21" i="3"/>
  <c r="I21" i="3" s="1"/>
  <c r="F20" i="3"/>
  <c r="I20" i="3" s="1"/>
  <c r="F19" i="3"/>
  <c r="I19" i="3" s="1"/>
  <c r="F18" i="3"/>
  <c r="F17" i="3"/>
  <c r="I17" i="3" s="1"/>
  <c r="F16" i="3"/>
  <c r="I16" i="3" s="1"/>
  <c r="F15" i="3"/>
  <c r="I15" i="3" s="1"/>
  <c r="I7" i="3" s="1"/>
  <c r="F14" i="3"/>
  <c r="I14" i="3" l="1"/>
  <c r="I18" i="3"/>
  <c r="BF67" i="7" l="1"/>
  <c r="W75" i="7" l="1"/>
  <c r="X10" i="8"/>
  <c r="W8" i="8"/>
  <c r="W9" i="8" l="1"/>
  <c r="W10" i="8" s="1"/>
  <c r="X8" i="8"/>
  <c r="H68" i="1" l="1"/>
  <c r="V75" i="7" l="1"/>
  <c r="L75" i="7"/>
  <c r="K75" i="7"/>
  <c r="H75" i="7"/>
  <c r="G75" i="7"/>
  <c r="F75" i="7"/>
  <c r="J25" i="8"/>
  <c r="J21" i="8"/>
  <c r="AG67" i="3" l="1"/>
  <c r="AA60" i="3"/>
  <c r="Z60" i="3"/>
  <c r="AA59" i="3"/>
  <c r="Z59" i="3"/>
  <c r="Z58" i="3"/>
  <c r="Z57" i="3"/>
  <c r="Z56" i="3"/>
  <c r="Z55" i="3"/>
  <c r="Z54" i="3"/>
  <c r="Z53" i="3"/>
  <c r="Z52" i="3"/>
  <c r="Z51" i="3"/>
  <c r="Z50" i="3"/>
  <c r="Z49" i="3"/>
  <c r="Z48" i="3"/>
  <c r="Z47" i="3"/>
  <c r="AA46" i="3"/>
  <c r="Z46" i="3"/>
  <c r="AA45" i="3"/>
  <c r="Z45" i="3"/>
  <c r="AA44" i="3"/>
  <c r="Z44" i="3"/>
  <c r="AA43" i="3"/>
  <c r="Z43" i="3"/>
  <c r="AA42" i="3"/>
  <c r="Z42" i="3"/>
  <c r="AA41" i="3"/>
  <c r="Z41" i="3"/>
  <c r="Z40" i="3"/>
  <c r="Z39" i="3"/>
  <c r="Z38" i="3"/>
  <c r="Z37" i="3"/>
  <c r="Z36" i="3"/>
  <c r="Z35" i="3"/>
  <c r="Z34" i="3"/>
  <c r="Z33" i="3"/>
  <c r="Z32" i="3"/>
  <c r="Z31" i="3"/>
  <c r="Z30" i="3"/>
  <c r="Z29" i="3"/>
  <c r="Z28" i="3"/>
  <c r="Z27" i="3"/>
  <c r="Z26" i="3"/>
  <c r="Z25" i="3"/>
  <c r="AA24" i="3"/>
  <c r="Z24" i="3"/>
  <c r="AA23" i="3"/>
  <c r="Z23" i="3"/>
  <c r="Z22" i="3"/>
  <c r="Z21" i="3"/>
  <c r="Z20" i="3"/>
  <c r="Z19" i="3"/>
  <c r="J47" i="8"/>
  <c r="K10" i="7"/>
  <c r="U10" i="8"/>
  <c r="R10" i="8"/>
  <c r="T8" i="8"/>
  <c r="T7" i="8"/>
  <c r="V10" i="7" s="1"/>
  <c r="N8" i="8"/>
  <c r="N7" i="8"/>
  <c r="G52" i="11"/>
  <c r="D52" i="11"/>
  <c r="G51" i="11"/>
  <c r="D51" i="11"/>
  <c r="G50" i="11"/>
  <c r="D50" i="11"/>
  <c r="G49" i="11"/>
  <c r="D49" i="11"/>
  <c r="G48" i="11"/>
  <c r="D48" i="11"/>
  <c r="G47" i="11"/>
  <c r="D47" i="11"/>
  <c r="G22" i="11"/>
  <c r="D22" i="11"/>
  <c r="G21" i="11"/>
  <c r="D21" i="11"/>
  <c r="G26" i="11"/>
  <c r="D26" i="11"/>
  <c r="G25" i="11"/>
  <c r="D25" i="11"/>
  <c r="G52" i="8" l="1"/>
  <c r="F52" i="8"/>
  <c r="E52" i="8"/>
  <c r="G51" i="8"/>
  <c r="F51" i="8"/>
  <c r="E51" i="8"/>
  <c r="G50" i="8"/>
  <c r="F50" i="8"/>
  <c r="E50" i="8"/>
  <c r="G49" i="8"/>
  <c r="F49" i="8"/>
  <c r="E49" i="8"/>
  <c r="G48" i="8"/>
  <c r="F48" i="8"/>
  <c r="E48" i="8"/>
  <c r="K47" i="8"/>
  <c r="G47" i="8"/>
  <c r="F47" i="8"/>
  <c r="E47" i="8"/>
  <c r="G26" i="8"/>
  <c r="F26" i="8"/>
  <c r="E26" i="8"/>
  <c r="K25" i="8"/>
  <c r="G25" i="8"/>
  <c r="F25" i="8"/>
  <c r="E25" i="8"/>
  <c r="G22" i="8"/>
  <c r="F22" i="8"/>
  <c r="E22" i="8"/>
  <c r="K21" i="8"/>
  <c r="G21" i="8"/>
  <c r="F21" i="8"/>
  <c r="E21" i="8"/>
  <c r="I60" i="12"/>
  <c r="I59" i="12"/>
  <c r="I58" i="12"/>
  <c r="I57" i="12"/>
  <c r="I56" i="12"/>
  <c r="I55" i="12"/>
  <c r="I29" i="12"/>
  <c r="I28" i="12"/>
  <c r="I23" i="12"/>
  <c r="I22" i="12"/>
  <c r="H81" i="1"/>
  <c r="H80" i="1"/>
  <c r="H79" i="1"/>
  <c r="H78" i="1"/>
  <c r="I78" i="1" s="1"/>
  <c r="E79" i="1"/>
  <c r="E78" i="1"/>
  <c r="H22" i="8" l="1"/>
  <c r="H47" i="8"/>
  <c r="H48" i="8"/>
  <c r="H50" i="8"/>
  <c r="H52" i="8"/>
  <c r="H26" i="8"/>
  <c r="H51" i="8"/>
  <c r="H49" i="8"/>
  <c r="H25" i="8"/>
  <c r="H21" i="8"/>
  <c r="H84" i="1"/>
  <c r="H83" i="1"/>
  <c r="H76" i="1"/>
  <c r="H82" i="1" s="1"/>
  <c r="H75" i="1"/>
  <c r="E83" i="1"/>
  <c r="H85" i="1" l="1"/>
  <c r="F70" i="3"/>
  <c r="G70" i="3" s="1"/>
  <c r="H70" i="3" s="1"/>
  <c r="D8" i="11"/>
  <c r="D8" i="3"/>
  <c r="Q8" i="8" l="1"/>
  <c r="J13" i="3"/>
  <c r="K13" i="3"/>
  <c r="K15" i="3" s="1"/>
  <c r="Z15" i="3" s="1"/>
  <c r="N9" i="8"/>
  <c r="N10" i="8" s="1"/>
  <c r="Q9" i="8"/>
  <c r="Z8" i="8"/>
  <c r="Z10" i="8" s="1"/>
  <c r="T84" i="3" s="1"/>
  <c r="T85" i="3" s="1"/>
  <c r="D25" i="12"/>
  <c r="K16" i="8"/>
  <c r="K13" i="8"/>
  <c r="K14" i="8"/>
  <c r="K15" i="8"/>
  <c r="K17" i="8"/>
  <c r="K18" i="8"/>
  <c r="K19" i="8"/>
  <c r="K23" i="8"/>
  <c r="K27" i="8"/>
  <c r="K29" i="8"/>
  <c r="K35" i="8"/>
  <c r="D42" i="8"/>
  <c r="K41" i="8"/>
  <c r="K53" i="8"/>
  <c r="K59" i="8"/>
  <c r="K65" i="8"/>
  <c r="K66" i="8"/>
  <c r="T9" i="8"/>
  <c r="E13" i="8"/>
  <c r="F13" i="8"/>
  <c r="E14" i="8"/>
  <c r="F14" i="8"/>
  <c r="E15" i="8"/>
  <c r="F15" i="8"/>
  <c r="E16" i="8"/>
  <c r="F16" i="8"/>
  <c r="E17" i="8"/>
  <c r="F17" i="8"/>
  <c r="E18" i="8"/>
  <c r="F18" i="8"/>
  <c r="E19" i="8"/>
  <c r="F19" i="8"/>
  <c r="E20" i="8"/>
  <c r="F20" i="8"/>
  <c r="E23" i="8"/>
  <c r="F23" i="8"/>
  <c r="E24" i="8"/>
  <c r="F24"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Z67" i="3"/>
  <c r="AA67" i="3"/>
  <c r="Z66" i="3"/>
  <c r="AA66" i="3"/>
  <c r="Z65" i="3"/>
  <c r="AA65" i="3"/>
  <c r="Z64" i="3"/>
  <c r="AA64" i="3"/>
  <c r="Z63" i="3"/>
  <c r="AA63" i="3"/>
  <c r="Z62" i="3"/>
  <c r="AA62" i="3"/>
  <c r="Z61" i="3"/>
  <c r="AA61" i="3"/>
  <c r="G13" i="8"/>
  <c r="G14" i="8"/>
  <c r="G15" i="8"/>
  <c r="G16" i="8"/>
  <c r="G17" i="8"/>
  <c r="G18" i="8"/>
  <c r="G19" i="8"/>
  <c r="G20" i="8"/>
  <c r="G23" i="8"/>
  <c r="G24" i="8"/>
  <c r="G27" i="8"/>
  <c r="G28" i="8"/>
  <c r="G29" i="8"/>
  <c r="G30" i="8"/>
  <c r="G31" i="8"/>
  <c r="G32" i="8"/>
  <c r="G33" i="8"/>
  <c r="G34" i="8"/>
  <c r="G35" i="8"/>
  <c r="G36" i="8"/>
  <c r="G37" i="8"/>
  <c r="G38" i="8"/>
  <c r="G39" i="8"/>
  <c r="G40" i="8"/>
  <c r="G41" i="8"/>
  <c r="G42" i="8"/>
  <c r="G43" i="8"/>
  <c r="G44" i="8"/>
  <c r="G45" i="8"/>
  <c r="G46" i="8"/>
  <c r="G53" i="8"/>
  <c r="G54" i="8"/>
  <c r="G55" i="8"/>
  <c r="G56" i="8"/>
  <c r="G57" i="8"/>
  <c r="G58" i="8"/>
  <c r="G59" i="8"/>
  <c r="G60" i="8"/>
  <c r="G61" i="8"/>
  <c r="G62" i="8"/>
  <c r="G63" i="8"/>
  <c r="G64" i="8"/>
  <c r="G65" i="8"/>
  <c r="G66" i="8"/>
  <c r="D15" i="11"/>
  <c r="U8" i="8"/>
  <c r="R8" i="8"/>
  <c r="O8" i="8"/>
  <c r="AA8" i="8"/>
  <c r="Q7" i="8"/>
  <c r="L10" i="7" s="1"/>
  <c r="D66" i="11"/>
  <c r="F66" i="11"/>
  <c r="G66" i="11"/>
  <c r="D65" i="11"/>
  <c r="F65" i="11"/>
  <c r="G65" i="11"/>
  <c r="D64" i="11"/>
  <c r="F64" i="11"/>
  <c r="G64" i="11"/>
  <c r="D63" i="11"/>
  <c r="F63" i="11"/>
  <c r="G63" i="11"/>
  <c r="D62" i="11"/>
  <c r="F62" i="11"/>
  <c r="G62" i="11"/>
  <c r="D61" i="11"/>
  <c r="F61" i="11"/>
  <c r="G61" i="11"/>
  <c r="D60" i="11"/>
  <c r="F60" i="11"/>
  <c r="G60" i="11"/>
  <c r="D59" i="11"/>
  <c r="F59" i="11"/>
  <c r="G59" i="11"/>
  <c r="D58" i="11"/>
  <c r="G58" i="11"/>
  <c r="D57" i="11"/>
  <c r="G57" i="11"/>
  <c r="D56" i="11"/>
  <c r="G56" i="11"/>
  <c r="D55" i="11"/>
  <c r="G55" i="11"/>
  <c r="D54" i="11"/>
  <c r="G54" i="11"/>
  <c r="D53" i="11"/>
  <c r="G53" i="11"/>
  <c r="D46" i="11"/>
  <c r="F46" i="11"/>
  <c r="G46" i="11"/>
  <c r="D45" i="11"/>
  <c r="F45" i="11"/>
  <c r="G45" i="11"/>
  <c r="D44" i="11"/>
  <c r="F44" i="11"/>
  <c r="G44" i="11"/>
  <c r="D43" i="11"/>
  <c r="F43" i="11"/>
  <c r="G43" i="11"/>
  <c r="D42" i="11"/>
  <c r="F42" i="11"/>
  <c r="G42" i="11"/>
  <c r="D41" i="11"/>
  <c r="F41" i="11"/>
  <c r="G41" i="11"/>
  <c r="D40" i="11"/>
  <c r="G40" i="11"/>
  <c r="D39" i="11"/>
  <c r="G39" i="11"/>
  <c r="D38" i="11"/>
  <c r="G38" i="11"/>
  <c r="D37" i="11"/>
  <c r="G37" i="11"/>
  <c r="D36" i="11"/>
  <c r="G36" i="11"/>
  <c r="D35" i="11"/>
  <c r="G35" i="11"/>
  <c r="D34" i="11"/>
  <c r="G34" i="11"/>
  <c r="D33" i="11"/>
  <c r="G33" i="11"/>
  <c r="D32" i="11"/>
  <c r="G32" i="11"/>
  <c r="D31" i="11"/>
  <c r="G31" i="11"/>
  <c r="D30" i="11"/>
  <c r="G30" i="11"/>
  <c r="D29" i="11"/>
  <c r="G29" i="11"/>
  <c r="D28" i="11"/>
  <c r="G28" i="11"/>
  <c r="D27" i="11"/>
  <c r="G27" i="11"/>
  <c r="D24" i="11"/>
  <c r="F24" i="11"/>
  <c r="G24" i="11"/>
  <c r="D23" i="11"/>
  <c r="F23" i="11"/>
  <c r="G23" i="11"/>
  <c r="D20" i="11"/>
  <c r="G20" i="11"/>
  <c r="D19" i="11"/>
  <c r="G19" i="11"/>
  <c r="D18" i="11"/>
  <c r="D17" i="11"/>
  <c r="D16" i="11"/>
  <c r="D14" i="11"/>
  <c r="D13" i="11"/>
  <c r="J66" i="8"/>
  <c r="J65" i="8"/>
  <c r="J53" i="8"/>
  <c r="J35" i="8"/>
  <c r="J29" i="8"/>
  <c r="J27" i="8"/>
  <c r="J19" i="8"/>
  <c r="J18" i="8"/>
  <c r="J17" i="8"/>
  <c r="J16" i="8"/>
  <c r="J15" i="8"/>
  <c r="J14" i="8"/>
  <c r="J13" i="8"/>
  <c r="M64" i="3"/>
  <c r="M59" i="3"/>
  <c r="M60" i="3"/>
  <c r="M61" i="3"/>
  <c r="M62" i="3"/>
  <c r="M63" i="3"/>
  <c r="M23" i="3"/>
  <c r="M24" i="3"/>
  <c r="M41" i="3"/>
  <c r="M42" i="3"/>
  <c r="M43" i="3"/>
  <c r="M44" i="3"/>
  <c r="M45" i="3"/>
  <c r="M46" i="3"/>
  <c r="M65" i="3"/>
  <c r="M66" i="3"/>
  <c r="A8" i="3"/>
  <c r="A9" i="3" s="1"/>
  <c r="A10" i="3" s="1"/>
  <c r="A11" i="3" s="1"/>
  <c r="A12" i="3" s="1"/>
  <c r="A13" i="3" s="1"/>
  <c r="A14" i="3" s="1"/>
  <c r="A15" i="3" s="1"/>
  <c r="G25" i="12"/>
  <c r="Z7" i="8"/>
  <c r="A3" i="8"/>
  <c r="A2" i="8"/>
  <c r="A1" i="8"/>
  <c r="G69" i="12"/>
  <c r="I34" i="12"/>
  <c r="F31" i="12"/>
  <c r="H77" i="1"/>
  <c r="E81" i="1"/>
  <c r="E75" i="1"/>
  <c r="F77" i="12"/>
  <c r="F76" i="12"/>
  <c r="J8" i="12"/>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G48" i="12"/>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1" i="2"/>
  <c r="A2" i="2"/>
  <c r="A3" i="2"/>
  <c r="A9" i="2"/>
  <c r="A10" i="2" s="1"/>
  <c r="A11" i="2" s="1"/>
  <c r="A12" i="2" s="1"/>
  <c r="A16" i="2" s="1"/>
  <c r="A17" i="2" s="1"/>
  <c r="A1" i="7"/>
  <c r="A2" i="7"/>
  <c r="A3" i="7"/>
  <c r="A8" i="7"/>
  <c r="A9" i="7" s="1"/>
  <c r="A10" i="7" s="1"/>
  <c r="A11" i="7" s="1"/>
  <c r="A12" i="7" s="1"/>
  <c r="A13" i="7" s="1"/>
  <c r="A14" i="7" s="1"/>
  <c r="A1" i="3"/>
  <c r="A2" i="3"/>
  <c r="A3" i="3"/>
  <c r="A1" i="11"/>
  <c r="A2" i="11"/>
  <c r="A3" i="11"/>
  <c r="A8" i="11"/>
  <c r="A9" i="11" s="1"/>
  <c r="A10" i="11" s="1"/>
  <c r="A11" i="11" s="1"/>
  <c r="A12" i="11" s="1"/>
  <c r="A13" i="11" s="1"/>
  <c r="A1" i="12"/>
  <c r="A2" i="12"/>
  <c r="A3" i="12"/>
  <c r="A8" i="12"/>
  <c r="A9" i="12" s="1"/>
  <c r="A10" i="12" s="1"/>
  <c r="A11" i="12" s="1"/>
  <c r="A18" i="2" l="1"/>
  <c r="A19" i="2" s="1"/>
  <c r="J53" i="3"/>
  <c r="AA53" i="3" s="1"/>
  <c r="I13" i="12"/>
  <c r="I18" i="12"/>
  <c r="I20" i="12"/>
  <c r="I31" i="12"/>
  <c r="I36" i="12"/>
  <c r="I38" i="12"/>
  <c r="I41" i="12"/>
  <c r="I43" i="12"/>
  <c r="I45" i="12"/>
  <c r="I49" i="12"/>
  <c r="H42" i="11"/>
  <c r="I53" i="12"/>
  <c r="H46" i="11"/>
  <c r="I63" i="12"/>
  <c r="I65" i="12"/>
  <c r="I67" i="12"/>
  <c r="I72" i="12"/>
  <c r="H62" i="11"/>
  <c r="I77" i="12"/>
  <c r="J77" i="12" s="1"/>
  <c r="AA77" i="12" s="1"/>
  <c r="AB77" i="12" s="1"/>
  <c r="H66" i="11"/>
  <c r="I15" i="12"/>
  <c r="I14" i="12"/>
  <c r="I48" i="12"/>
  <c r="H41" i="11"/>
  <c r="H45" i="11"/>
  <c r="H61" i="11"/>
  <c r="I76" i="12"/>
  <c r="J76" i="12" s="1"/>
  <c r="AA76" i="12" s="1"/>
  <c r="AB76" i="12" s="1"/>
  <c r="H65" i="11"/>
  <c r="I16" i="12"/>
  <c r="I19" i="12"/>
  <c r="I26" i="12"/>
  <c r="H24" i="11"/>
  <c r="I32" i="12"/>
  <c r="I35" i="12"/>
  <c r="I37" i="12"/>
  <c r="I39" i="12"/>
  <c r="I42" i="12"/>
  <c r="I44" i="12"/>
  <c r="I46" i="12"/>
  <c r="H44" i="11"/>
  <c r="I62" i="12"/>
  <c r="I64" i="12"/>
  <c r="I66" i="12"/>
  <c r="H60" i="11"/>
  <c r="I74" i="12"/>
  <c r="H64" i="11"/>
  <c r="I17" i="12"/>
  <c r="I25" i="12"/>
  <c r="H23" i="11"/>
  <c r="I50" i="12"/>
  <c r="H43" i="11"/>
  <c r="I69" i="12"/>
  <c r="H59" i="11"/>
  <c r="I73" i="12"/>
  <c r="H63" i="11"/>
  <c r="AA33" i="12"/>
  <c r="J33" i="12"/>
  <c r="D26" i="12"/>
  <c r="AC67" i="3"/>
  <c r="AD67" i="3" s="1"/>
  <c r="D74" i="12"/>
  <c r="D51" i="12"/>
  <c r="D49" i="12"/>
  <c r="D77" i="12"/>
  <c r="J23" i="8"/>
  <c r="J41" i="8"/>
  <c r="J59" i="8"/>
  <c r="BG67" i="7"/>
  <c r="K16" i="3"/>
  <c r="J16" i="3"/>
  <c r="F16" i="11" s="1"/>
  <c r="AA13" i="3"/>
  <c r="H63" i="8"/>
  <c r="H59" i="8"/>
  <c r="H55" i="8"/>
  <c r="H45" i="8"/>
  <c r="H41" i="8"/>
  <c r="H37" i="8"/>
  <c r="H33" i="8"/>
  <c r="H29" i="8"/>
  <c r="H23" i="8"/>
  <c r="D72" i="12"/>
  <c r="D53" i="12"/>
  <c r="F25" i="12"/>
  <c r="D59" i="8"/>
  <c r="J14" i="3"/>
  <c r="J30" i="3"/>
  <c r="M30" i="3" s="1"/>
  <c r="G13" i="11"/>
  <c r="K17" i="3"/>
  <c r="Z13" i="3"/>
  <c r="J39" i="3"/>
  <c r="AA39" i="3" s="1"/>
  <c r="D44" i="8"/>
  <c r="F69" i="12"/>
  <c r="J20" i="3"/>
  <c r="J34" i="3"/>
  <c r="F34" i="11" s="1"/>
  <c r="H34" i="11" s="1"/>
  <c r="J57" i="3"/>
  <c r="AA57" i="3" s="1"/>
  <c r="J54" i="3"/>
  <c r="M54" i="3" s="1"/>
  <c r="F13" i="11"/>
  <c r="J28" i="3"/>
  <c r="M28" i="3" s="1"/>
  <c r="J37" i="3"/>
  <c r="AA37" i="3" s="1"/>
  <c r="J18" i="3"/>
  <c r="J32" i="3"/>
  <c r="F32" i="11" s="1"/>
  <c r="H32" i="11" s="1"/>
  <c r="J55" i="3"/>
  <c r="AA55" i="3" s="1"/>
  <c r="J35" i="3"/>
  <c r="D41" i="8"/>
  <c r="D71" i="12"/>
  <c r="D70" i="12"/>
  <c r="D73" i="12"/>
  <c r="D69" i="12"/>
  <c r="D24" i="8"/>
  <c r="H15" i="8"/>
  <c r="A75" i="8"/>
  <c r="A76" i="8" s="1"/>
  <c r="A73" i="8"/>
  <c r="A74" i="8" s="1"/>
  <c r="D45" i="8"/>
  <c r="D43" i="8"/>
  <c r="D76" i="12"/>
  <c r="D52" i="12"/>
  <c r="D50" i="12"/>
  <c r="D48" i="12"/>
  <c r="F48" i="12"/>
  <c r="D63" i="8"/>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5" i="12" s="1"/>
  <c r="A86" i="12" s="1"/>
  <c r="A87" i="12" s="1"/>
  <c r="A14" i="1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15" i="7"/>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D36" i="12"/>
  <c r="D34" i="8"/>
  <c r="D30" i="8"/>
  <c r="J17" i="3"/>
  <c r="J19" i="3"/>
  <c r="J27" i="3"/>
  <c r="M27" i="3" s="1"/>
  <c r="J29" i="3"/>
  <c r="J31" i="3"/>
  <c r="M31" i="3" s="1"/>
  <c r="J33" i="3"/>
  <c r="J36" i="3"/>
  <c r="M36" i="3" s="1"/>
  <c r="J38" i="3"/>
  <c r="J40" i="3"/>
  <c r="M40" i="3" s="1"/>
  <c r="J56" i="3"/>
  <c r="J58" i="3"/>
  <c r="J15" i="3"/>
  <c r="J52" i="3"/>
  <c r="AA52" i="3" s="1"/>
  <c r="J50" i="3"/>
  <c r="AA50" i="3" s="1"/>
  <c r="J48" i="3"/>
  <c r="AA48" i="3" s="1"/>
  <c r="J22" i="3"/>
  <c r="AA22" i="3" s="1"/>
  <c r="J26" i="3"/>
  <c r="J51" i="3"/>
  <c r="AA51" i="3" s="1"/>
  <c r="J49" i="3"/>
  <c r="AA49" i="3" s="1"/>
  <c r="J47" i="3"/>
  <c r="J21" i="3"/>
  <c r="AA21" i="3" s="1"/>
  <c r="J25" i="3"/>
  <c r="D43" i="12"/>
  <c r="D46" i="12"/>
  <c r="D38" i="8"/>
  <c r="D42" i="12"/>
  <c r="I70" i="12"/>
  <c r="I52" i="12"/>
  <c r="I71" i="12"/>
  <c r="I51" i="12"/>
  <c r="M13" i="3"/>
  <c r="T10" i="8"/>
  <c r="H62" i="8"/>
  <c r="H60" i="8"/>
  <c r="H58" i="8"/>
  <c r="H56" i="8"/>
  <c r="H54" i="8"/>
  <c r="H46" i="8"/>
  <c r="H44" i="8"/>
  <c r="H42" i="8"/>
  <c r="H40" i="8"/>
  <c r="H38" i="8"/>
  <c r="H36" i="8"/>
  <c r="H34" i="8"/>
  <c r="H32" i="8"/>
  <c r="H30" i="8"/>
  <c r="H28" i="8"/>
  <c r="H24" i="8"/>
  <c r="H20" i="8"/>
  <c r="H18" i="8"/>
  <c r="H16" i="8"/>
  <c r="H14" i="8"/>
  <c r="K14" i="3"/>
  <c r="Z14" i="3" s="1"/>
  <c r="K18" i="3"/>
  <c r="Q10" i="8"/>
  <c r="D66" i="8"/>
  <c r="D65" i="8"/>
  <c r="D64" i="8"/>
  <c r="D61" i="8"/>
  <c r="D46" i="8"/>
  <c r="D23" i="8"/>
  <c r="H64" i="8"/>
  <c r="H66" i="8"/>
  <c r="H65" i="8"/>
  <c r="H61" i="8"/>
  <c r="H57" i="8"/>
  <c r="H53" i="8"/>
  <c r="H43" i="8"/>
  <c r="H39" i="8"/>
  <c r="H35" i="8"/>
  <c r="H31" i="8"/>
  <c r="H27" i="8"/>
  <c r="H19" i="8"/>
  <c r="H17" i="8"/>
  <c r="H13" i="8"/>
  <c r="D62" i="8"/>
  <c r="D60" i="8"/>
  <c r="G15" i="11"/>
  <c r="M53" i="3" l="1"/>
  <c r="A20" i="2"/>
  <c r="F53" i="11"/>
  <c r="H53" i="11" s="1"/>
  <c r="Z17" i="3"/>
  <c r="AA15" i="3"/>
  <c r="AA16" i="3"/>
  <c r="AA14" i="3"/>
  <c r="Z16" i="3"/>
  <c r="H13" i="11"/>
  <c r="AA25" i="3"/>
  <c r="Z18" i="3"/>
  <c r="AA26" i="3"/>
  <c r="F20" i="11"/>
  <c r="H20" i="11" s="1"/>
  <c r="G16" i="11"/>
  <c r="H16" i="11" s="1"/>
  <c r="AA47" i="3"/>
  <c r="F18" i="11"/>
  <c r="AA35" i="3"/>
  <c r="AB33" i="12"/>
  <c r="AA54" i="12"/>
  <c r="J54" i="12"/>
  <c r="AA27" i="12"/>
  <c r="J27" i="12"/>
  <c r="AA75" i="12"/>
  <c r="J75" i="12"/>
  <c r="I66" i="8"/>
  <c r="L66" i="8" s="1"/>
  <c r="M16" i="3"/>
  <c r="D38" i="12"/>
  <c r="D33" i="8"/>
  <c r="M20" i="3"/>
  <c r="F30" i="11"/>
  <c r="H30" i="11" s="1"/>
  <c r="AA30" i="3"/>
  <c r="AA28" i="3"/>
  <c r="M34" i="3"/>
  <c r="AA34" i="3"/>
  <c r="F28" i="11"/>
  <c r="H28" i="11" s="1"/>
  <c r="F14" i="11"/>
  <c r="D39" i="12"/>
  <c r="F39" i="11"/>
  <c r="H39" i="11" s="1"/>
  <c r="M17" i="3"/>
  <c r="G17" i="11"/>
  <c r="F35" i="11"/>
  <c r="H35" i="11" s="1"/>
  <c r="AA18" i="3"/>
  <c r="AA20" i="3"/>
  <c r="F37" i="11"/>
  <c r="H37" i="11" s="1"/>
  <c r="M32" i="3"/>
  <c r="F15" i="11"/>
  <c r="H15" i="11" s="1"/>
  <c r="AA54" i="3"/>
  <c r="M37" i="3"/>
  <c r="M39" i="3"/>
  <c r="M35" i="3"/>
  <c r="M15" i="3"/>
  <c r="D39" i="8"/>
  <c r="D40" i="8"/>
  <c r="D31" i="8"/>
  <c r="D37" i="8"/>
  <c r="F57" i="11"/>
  <c r="H57" i="11" s="1"/>
  <c r="AA32" i="3"/>
  <c r="F54" i="11"/>
  <c r="H54" i="11" s="1"/>
  <c r="M55" i="3"/>
  <c r="F55" i="11"/>
  <c r="H55" i="11" s="1"/>
  <c r="M57" i="3"/>
  <c r="D34" i="12"/>
  <c r="D37" i="12"/>
  <c r="D29" i="8"/>
  <c r="D32" i="8"/>
  <c r="D17" i="8"/>
  <c r="I17" i="8" s="1"/>
  <c r="L17" i="8" s="1"/>
  <c r="D17" i="12"/>
  <c r="F34" i="12"/>
  <c r="D41" i="12"/>
  <c r="D35" i="12"/>
  <c r="D35" i="8"/>
  <c r="L41" i="8"/>
  <c r="A74" i="3"/>
  <c r="A75" i="3" s="1"/>
  <c r="A72" i="3"/>
  <c r="A73" i="3" s="1"/>
  <c r="I65" i="8"/>
  <c r="L65" i="8" s="1"/>
  <c r="AA56" i="3"/>
  <c r="F56" i="11"/>
  <c r="H56" i="11" s="1"/>
  <c r="AA38" i="3"/>
  <c r="F38" i="11"/>
  <c r="H38" i="11" s="1"/>
  <c r="AA33" i="3"/>
  <c r="F33" i="11"/>
  <c r="H33" i="11" s="1"/>
  <c r="AA29" i="3"/>
  <c r="F29" i="11"/>
  <c r="H29" i="11" s="1"/>
  <c r="AA19" i="3"/>
  <c r="F19" i="11"/>
  <c r="M56" i="3"/>
  <c r="AA58" i="3"/>
  <c r="F58" i="11"/>
  <c r="H58" i="11" s="1"/>
  <c r="AA40" i="3"/>
  <c r="F40" i="11"/>
  <c r="H40" i="11" s="1"/>
  <c r="AA36" i="3"/>
  <c r="F36" i="11"/>
  <c r="H36" i="11" s="1"/>
  <c r="AA31" i="3"/>
  <c r="F31" i="11"/>
  <c r="H31" i="11" s="1"/>
  <c r="AA27" i="3"/>
  <c r="F27" i="11"/>
  <c r="H27" i="11" s="1"/>
  <c r="AA17" i="3"/>
  <c r="F17" i="11"/>
  <c r="M38" i="3"/>
  <c r="M58" i="3"/>
  <c r="M19" i="3"/>
  <c r="M29" i="3"/>
  <c r="M33" i="3"/>
  <c r="L59" i="8"/>
  <c r="D26" i="8"/>
  <c r="D29" i="12"/>
  <c r="F28" i="12"/>
  <c r="D28" i="12"/>
  <c r="D25" i="8"/>
  <c r="I23" i="8"/>
  <c r="F25" i="11"/>
  <c r="H25" i="11" s="1"/>
  <c r="M25" i="3"/>
  <c r="F47" i="11"/>
  <c r="H47" i="11" s="1"/>
  <c r="M47" i="3"/>
  <c r="F51" i="11"/>
  <c r="H51" i="11" s="1"/>
  <c r="M51" i="3"/>
  <c r="F22" i="11"/>
  <c r="H22" i="11" s="1"/>
  <c r="M22" i="3"/>
  <c r="F50" i="11"/>
  <c r="H50" i="11" s="1"/>
  <c r="M50" i="3"/>
  <c r="F21" i="11"/>
  <c r="H21" i="11" s="1"/>
  <c r="M21" i="3"/>
  <c r="F49" i="11"/>
  <c r="H49" i="11" s="1"/>
  <c r="M49" i="3"/>
  <c r="F26" i="11"/>
  <c r="H26" i="11" s="1"/>
  <c r="M26" i="3"/>
  <c r="F48" i="11"/>
  <c r="H48" i="11" s="1"/>
  <c r="M48" i="3"/>
  <c r="F52" i="11"/>
  <c r="H52" i="11" s="1"/>
  <c r="M52" i="3"/>
  <c r="L23" i="8"/>
  <c r="I59" i="8"/>
  <c r="F41" i="12"/>
  <c r="D45" i="12"/>
  <c r="D36" i="8"/>
  <c r="D14" i="8"/>
  <c r="I14" i="8" s="1"/>
  <c r="L14" i="8" s="1"/>
  <c r="F14" i="12"/>
  <c r="D14" i="12"/>
  <c r="D44" i="12"/>
  <c r="F17" i="12"/>
  <c r="G18" i="11"/>
  <c r="G14" i="11"/>
  <c r="M18" i="3"/>
  <c r="M14" i="3"/>
  <c r="I41" i="8"/>
  <c r="D16" i="8"/>
  <c r="I16" i="8" s="1"/>
  <c r="L16" i="8" s="1"/>
  <c r="F16" i="12"/>
  <c r="D16" i="12"/>
  <c r="F15" i="12"/>
  <c r="D15" i="12"/>
  <c r="D15" i="8"/>
  <c r="I15" i="8" s="1"/>
  <c r="L15" i="8" s="1"/>
  <c r="F13" i="12"/>
  <c r="D13" i="12"/>
  <c r="D13" i="8"/>
  <c r="A21" i="2" l="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H17" i="11"/>
  <c r="H18" i="11"/>
  <c r="H19" i="11"/>
  <c r="H14" i="11"/>
  <c r="AB27" i="12"/>
  <c r="AB54" i="12"/>
  <c r="AB75" i="12"/>
  <c r="AA14" i="12"/>
  <c r="J14" i="12"/>
  <c r="AA17" i="12"/>
  <c r="J17" i="12"/>
  <c r="AA30" i="12"/>
  <c r="J30" i="12"/>
  <c r="AA47" i="12"/>
  <c r="J47" i="12"/>
  <c r="AA40" i="12"/>
  <c r="J40" i="12"/>
  <c r="AA15" i="12"/>
  <c r="J15" i="12"/>
  <c r="AA16" i="12"/>
  <c r="J16" i="12"/>
  <c r="AA13" i="12"/>
  <c r="J13" i="12"/>
  <c r="D18" i="12"/>
  <c r="D18" i="8"/>
  <c r="I18" i="8" s="1"/>
  <c r="L18" i="8" s="1"/>
  <c r="F18" i="12"/>
  <c r="I35" i="8"/>
  <c r="L29" i="8"/>
  <c r="L35" i="8"/>
  <c r="I29" i="8"/>
  <c r="I25" i="8"/>
  <c r="L25" i="8"/>
  <c r="I13" i="8"/>
  <c r="AB14" i="12" l="1"/>
  <c r="AB13" i="12"/>
  <c r="AB40" i="12"/>
  <c r="AB30" i="12"/>
  <c r="AB15" i="12"/>
  <c r="AB17" i="12"/>
  <c r="AA18" i="12"/>
  <c r="J18" i="12"/>
  <c r="AB16" i="12"/>
  <c r="AB47" i="12"/>
  <c r="L13" i="8"/>
  <c r="AB18" i="12" l="1"/>
  <c r="D20" i="8"/>
  <c r="D19" i="12" l="1"/>
  <c r="D19" i="8"/>
  <c r="F19" i="12"/>
  <c r="D20" i="12"/>
  <c r="AA21" i="12" l="1"/>
  <c r="J21" i="12"/>
  <c r="I19" i="8"/>
  <c r="L19" i="8"/>
  <c r="F22" i="12"/>
  <c r="E68" i="1"/>
  <c r="E84" i="1"/>
  <c r="E80" i="1"/>
  <c r="D49" i="8"/>
  <c r="E76" i="1"/>
  <c r="D56" i="8"/>
  <c r="D48" i="8"/>
  <c r="AB21" i="12" l="1"/>
  <c r="AA24" i="12"/>
  <c r="J24" i="12"/>
  <c r="E85" i="1"/>
  <c r="E82" i="1"/>
  <c r="D51" i="8"/>
  <c r="D58" i="8"/>
  <c r="D60" i="12"/>
  <c r="D52" i="8"/>
  <c r="D50" i="8"/>
  <c r="D28" i="8"/>
  <c r="D57" i="12"/>
  <c r="E77" i="1"/>
  <c r="F55" i="12"/>
  <c r="D55" i="12"/>
  <c r="D23" i="12"/>
  <c r="D22" i="8"/>
  <c r="D47" i="8"/>
  <c r="D57" i="8"/>
  <c r="D66" i="12"/>
  <c r="D62" i="12"/>
  <c r="D53" i="8"/>
  <c r="D32" i="12"/>
  <c r="D27" i="8"/>
  <c r="F62" i="12"/>
  <c r="D54" i="8"/>
  <c r="D63" i="12"/>
  <c r="D56" i="12"/>
  <c r="D64" i="12"/>
  <c r="D55" i="8"/>
  <c r="D58" i="12"/>
  <c r="D67" i="12"/>
  <c r="D59" i="12"/>
  <c r="D65" i="12"/>
  <c r="D31" i="12"/>
  <c r="AB24" i="12" l="1"/>
  <c r="AA68" i="12"/>
  <c r="J68" i="12"/>
  <c r="AA61" i="12"/>
  <c r="J61" i="12"/>
  <c r="L47" i="8"/>
  <c r="I47" i="8"/>
  <c r="I27" i="8"/>
  <c r="L27" i="8"/>
  <c r="I53" i="8"/>
  <c r="L53" i="8"/>
  <c r="D22" i="12"/>
  <c r="D21" i="8"/>
  <c r="AB61" i="12" l="1"/>
  <c r="AB68" i="12"/>
  <c r="L21" i="8"/>
  <c r="D69" i="8"/>
  <c r="I21" i="8"/>
  <c r="I69" i="8" s="1"/>
  <c r="AC69" i="8" l="1"/>
  <c r="AF69" i="8"/>
  <c r="L69" i="8"/>
  <c r="T69" i="8"/>
  <c r="Q69" i="8"/>
  <c r="R21" i="8" s="1"/>
  <c r="N69" i="8"/>
  <c r="O21" i="8" s="1"/>
  <c r="Z69" i="8"/>
  <c r="AA21" i="8" s="1"/>
  <c r="W69" i="8"/>
  <c r="X21" i="8" s="1"/>
  <c r="AG66" i="8" l="1"/>
  <c r="AH66" i="8" s="1"/>
  <c r="AG47" i="8"/>
  <c r="AG27" i="8"/>
  <c r="AG14" i="8"/>
  <c r="AG18" i="8"/>
  <c r="AG65" i="8"/>
  <c r="AH65" i="8" s="1"/>
  <c r="AG41" i="8"/>
  <c r="AG25" i="8"/>
  <c r="AG15" i="8"/>
  <c r="AH15" i="8" s="1"/>
  <c r="AG19" i="8"/>
  <c r="AG59" i="8"/>
  <c r="AG35" i="8"/>
  <c r="AG23" i="8"/>
  <c r="AG16" i="8"/>
  <c r="AH16" i="8" s="1"/>
  <c r="AG13" i="8"/>
  <c r="AG53" i="8"/>
  <c r="AG29" i="8"/>
  <c r="AG21" i="8"/>
  <c r="AG17" i="8"/>
  <c r="AD59" i="8"/>
  <c r="AD13" i="8"/>
  <c r="AD17" i="8"/>
  <c r="AD14" i="8"/>
  <c r="AD25" i="8"/>
  <c r="AD35" i="8"/>
  <c r="AD53" i="8"/>
  <c r="AD66" i="8"/>
  <c r="AE66" i="8" s="1"/>
  <c r="AD18" i="8"/>
  <c r="AD15" i="8"/>
  <c r="AE15" i="8" s="1"/>
  <c r="AD23" i="8"/>
  <c r="AD29" i="8"/>
  <c r="AD47" i="8"/>
  <c r="AD65" i="8"/>
  <c r="AE65" i="8" s="1"/>
  <c r="AD19" i="8"/>
  <c r="AD16" i="8"/>
  <c r="AE16" i="8" s="1"/>
  <c r="AD21" i="8"/>
  <c r="AD27" i="8"/>
  <c r="AD41" i="8"/>
  <c r="AB21" i="8"/>
  <c r="AB22" i="8"/>
  <c r="S21" i="8"/>
  <c r="S22" i="8"/>
  <c r="AI36" i="7"/>
  <c r="AI53" i="7"/>
  <c r="AI66" i="7"/>
  <c r="AI24" i="7"/>
  <c r="AI14" i="7"/>
  <c r="AI40" i="7"/>
  <c r="AJ23" i="7"/>
  <c r="AJ32" i="7"/>
  <c r="AJ38" i="7"/>
  <c r="AJ57" i="7"/>
  <c r="AJ14" i="7"/>
  <c r="AJ17" i="7"/>
  <c r="AJ58" i="7"/>
  <c r="U18" i="8"/>
  <c r="U17" i="8"/>
  <c r="U16" i="8"/>
  <c r="V16" i="8" s="1"/>
  <c r="U29" i="8"/>
  <c r="U23" i="8"/>
  <c r="U41" i="8"/>
  <c r="U65" i="8"/>
  <c r="V65" i="8" s="1"/>
  <c r="U14" i="8"/>
  <c r="U15" i="8"/>
  <c r="V15" i="8" s="1"/>
  <c r="U25" i="8"/>
  <c r="U66" i="8"/>
  <c r="V66" i="8" s="1"/>
  <c r="U35" i="8"/>
  <c r="U19" i="8"/>
  <c r="U59" i="8"/>
  <c r="U13" i="8"/>
  <c r="U47" i="8"/>
  <c r="U27" i="8"/>
  <c r="U53" i="8"/>
  <c r="AI45" i="7"/>
  <c r="AI15" i="7"/>
  <c r="AI30" i="7"/>
  <c r="AI27" i="7"/>
  <c r="AI58" i="7"/>
  <c r="AJ54" i="7"/>
  <c r="AJ20" i="7"/>
  <c r="AJ19" i="7"/>
  <c r="AJ64" i="7"/>
  <c r="AJ35" i="7"/>
  <c r="AJ24" i="7"/>
  <c r="AJ59" i="7"/>
  <c r="AJ65" i="7"/>
  <c r="Y21" i="8"/>
  <c r="Y22" i="8"/>
  <c r="AI25" i="7"/>
  <c r="AI59" i="7"/>
  <c r="AI62" i="7"/>
  <c r="AI22" i="7"/>
  <c r="AI51" i="7"/>
  <c r="AI60" i="7"/>
  <c r="AI63" i="7"/>
  <c r="AI48" i="7"/>
  <c r="AI31" i="7"/>
  <c r="AI42" i="7"/>
  <c r="AI50" i="7"/>
  <c r="AI29" i="7"/>
  <c r="AI37" i="7"/>
  <c r="AJ43" i="7"/>
  <c r="AJ13" i="7"/>
  <c r="AJ16" i="7"/>
  <c r="AJ37" i="7"/>
  <c r="AJ56" i="7"/>
  <c r="AJ52" i="7"/>
  <c r="AJ55" i="7"/>
  <c r="AJ46" i="7"/>
  <c r="AJ62" i="7"/>
  <c r="AJ21" i="7"/>
  <c r="AJ51" i="7"/>
  <c r="AJ39" i="7"/>
  <c r="AJ60" i="7"/>
  <c r="AJ26" i="7"/>
  <c r="O19" i="8"/>
  <c r="O23" i="8"/>
  <c r="O35" i="8"/>
  <c r="O14" i="8"/>
  <c r="O15" i="8"/>
  <c r="P15" i="8" s="1"/>
  <c r="O41" i="8"/>
  <c r="O25" i="8"/>
  <c r="O18" i="8"/>
  <c r="O16" i="8"/>
  <c r="P16" i="8" s="1"/>
  <c r="O66" i="8"/>
  <c r="P66" i="8" s="1"/>
  <c r="O13" i="8"/>
  <c r="O17" i="8"/>
  <c r="O59" i="8"/>
  <c r="O29" i="8"/>
  <c r="O65" i="8"/>
  <c r="P65" i="8" s="1"/>
  <c r="O27" i="8"/>
  <c r="O47" i="8"/>
  <c r="O53" i="8"/>
  <c r="AI33" i="7"/>
  <c r="AI65" i="7"/>
  <c r="AI55" i="7"/>
  <c r="AI64" i="7"/>
  <c r="AI57" i="7"/>
  <c r="AI49" i="7"/>
  <c r="AI21" i="7"/>
  <c r="AI16" i="7"/>
  <c r="AJ25" i="7"/>
  <c r="AJ66" i="7"/>
  <c r="AJ61" i="7"/>
  <c r="AJ31" i="7"/>
  <c r="AJ18" i="7"/>
  <c r="AJ42" i="7"/>
  <c r="AA19" i="8"/>
  <c r="AA23" i="8"/>
  <c r="AA65" i="8"/>
  <c r="AB65" i="8" s="1"/>
  <c r="AK65" i="8" s="1"/>
  <c r="AA13" i="8"/>
  <c r="AA59" i="8"/>
  <c r="AA41" i="8"/>
  <c r="AA14" i="8"/>
  <c r="AA18" i="8"/>
  <c r="AA35" i="8"/>
  <c r="AA66" i="8"/>
  <c r="AB66" i="8" s="1"/>
  <c r="AA25" i="8"/>
  <c r="AA29" i="8"/>
  <c r="AA17" i="8"/>
  <c r="AA15" i="8"/>
  <c r="AB15" i="8" s="1"/>
  <c r="AK15" i="8" s="1"/>
  <c r="AA16" i="8"/>
  <c r="AB16" i="8" s="1"/>
  <c r="AA27" i="8"/>
  <c r="AA53" i="8"/>
  <c r="AA47" i="8"/>
  <c r="P21" i="8"/>
  <c r="P22" i="8"/>
  <c r="AI35" i="7"/>
  <c r="AI17" i="7"/>
  <c r="AI54" i="7"/>
  <c r="AI20" i="7"/>
  <c r="AI34" i="7"/>
  <c r="AI18" i="7"/>
  <c r="AI28" i="7"/>
  <c r="AI23" i="7"/>
  <c r="AJ63" i="7"/>
  <c r="AJ45" i="7"/>
  <c r="AJ48" i="7"/>
  <c r="AJ50" i="7"/>
  <c r="AJ53" i="7"/>
  <c r="AJ41" i="7"/>
  <c r="AI26" i="7"/>
  <c r="AI41" i="7"/>
  <c r="AI43" i="7"/>
  <c r="AI52" i="7"/>
  <c r="AI46" i="7"/>
  <c r="AI13" i="7"/>
  <c r="AI19" i="7"/>
  <c r="AI39" i="7"/>
  <c r="AI56" i="7"/>
  <c r="AI47" i="7"/>
  <c r="AI44" i="7"/>
  <c r="AI32" i="7"/>
  <c r="AI61" i="7"/>
  <c r="AI38" i="7"/>
  <c r="AJ33" i="7"/>
  <c r="AJ47" i="7"/>
  <c r="AJ30" i="7"/>
  <c r="AJ36" i="7"/>
  <c r="AJ34" i="7"/>
  <c r="AJ40" i="7"/>
  <c r="AJ49" i="7"/>
  <c r="AJ22" i="7"/>
  <c r="AJ28" i="7"/>
  <c r="AJ27" i="7"/>
  <c r="AJ29" i="7"/>
  <c r="AJ15" i="7"/>
  <c r="AJ44" i="7"/>
  <c r="X59" i="8"/>
  <c r="X18" i="8"/>
  <c r="Y18" i="8" s="1"/>
  <c r="X16" i="8"/>
  <c r="Y16" i="8" s="1"/>
  <c r="X25" i="8"/>
  <c r="X15" i="8"/>
  <c r="Y15" i="8" s="1"/>
  <c r="X66" i="8"/>
  <c r="Y66" i="8" s="1"/>
  <c r="X14" i="8"/>
  <c r="Y14" i="8" s="1"/>
  <c r="X13" i="8"/>
  <c r="X17" i="8"/>
  <c r="Y17" i="8" s="1"/>
  <c r="X41" i="8"/>
  <c r="X35" i="8"/>
  <c r="X19" i="8"/>
  <c r="X65" i="8"/>
  <c r="Y65" i="8" s="1"/>
  <c r="X29" i="8"/>
  <c r="X23" i="8"/>
  <c r="X53" i="8"/>
  <c r="X47" i="8"/>
  <c r="X27" i="8"/>
  <c r="U21" i="8"/>
  <c r="R15" i="8"/>
  <c r="S15" i="8" s="1"/>
  <c r="R25" i="8"/>
  <c r="R17" i="8"/>
  <c r="R13" i="8"/>
  <c r="R29" i="8"/>
  <c r="R14" i="8"/>
  <c r="R41" i="8"/>
  <c r="R65" i="8"/>
  <c r="S65" i="8" s="1"/>
  <c r="R19" i="8"/>
  <c r="R59" i="8"/>
  <c r="R66" i="8"/>
  <c r="S66" i="8" s="1"/>
  <c r="R23" i="8"/>
  <c r="R35" i="8"/>
  <c r="R18" i="8"/>
  <c r="R16" i="8"/>
  <c r="S16" i="8" s="1"/>
  <c r="R53" i="8"/>
  <c r="R27" i="8"/>
  <c r="R47" i="8"/>
  <c r="AK16" i="8" l="1"/>
  <c r="AK66" i="8"/>
  <c r="Q66" i="3"/>
  <c r="AS66" i="7" s="1"/>
  <c r="Q16" i="3"/>
  <c r="Q16" i="11" s="1"/>
  <c r="W16" i="12" s="1"/>
  <c r="Q65" i="3"/>
  <c r="Q65" i="11" s="1"/>
  <c r="W76" i="12" s="1"/>
  <c r="X76" i="12" s="1"/>
  <c r="Y76" i="12" s="1"/>
  <c r="Q15" i="3"/>
  <c r="Q15" i="11" s="1"/>
  <c r="W15" i="12" s="1"/>
  <c r="AE28" i="8"/>
  <c r="AE27" i="8"/>
  <c r="AD89" i="8"/>
  <c r="AD82" i="8"/>
  <c r="AE17" i="8"/>
  <c r="AH20" i="8"/>
  <c r="AH19" i="8"/>
  <c r="AG83" i="8"/>
  <c r="AH18" i="8"/>
  <c r="AH45" i="8"/>
  <c r="AH43" i="8"/>
  <c r="AH42" i="8"/>
  <c r="AH44" i="8"/>
  <c r="AH46" i="8"/>
  <c r="AH41" i="8"/>
  <c r="AH22" i="8"/>
  <c r="AG90" i="8"/>
  <c r="AH21" i="8"/>
  <c r="AE19" i="8"/>
  <c r="AE20" i="8"/>
  <c r="AE26" i="8"/>
  <c r="AE25" i="8"/>
  <c r="AH55" i="8"/>
  <c r="AH57" i="8"/>
  <c r="AH58" i="8"/>
  <c r="AH56" i="8"/>
  <c r="AH53" i="8"/>
  <c r="AH54" i="8"/>
  <c r="AG80" i="8"/>
  <c r="AH13" i="8"/>
  <c r="AG69" i="8"/>
  <c r="AH25" i="8"/>
  <c r="AH26" i="8"/>
  <c r="AG88" i="8"/>
  <c r="AG81" i="8"/>
  <c r="AH14" i="8"/>
  <c r="AH17" i="8"/>
  <c r="AG82" i="8"/>
  <c r="AG89" i="8"/>
  <c r="AE57" i="8"/>
  <c r="AE58" i="8"/>
  <c r="AE53" i="8"/>
  <c r="AE54" i="8"/>
  <c r="AE56" i="8"/>
  <c r="AE55" i="8"/>
  <c r="AE31" i="8"/>
  <c r="AE33" i="8"/>
  <c r="AE34" i="8"/>
  <c r="AE29" i="8"/>
  <c r="AE30" i="8"/>
  <c r="AE32" i="8"/>
  <c r="AE43" i="8"/>
  <c r="AE46" i="8"/>
  <c r="AE41" i="8"/>
  <c r="AE44" i="8"/>
  <c r="AE45" i="8"/>
  <c r="AE42" i="8"/>
  <c r="AE60" i="8"/>
  <c r="AE61" i="8"/>
  <c r="AE63" i="8"/>
  <c r="AE62" i="8"/>
  <c r="AE59" i="8"/>
  <c r="AE64" i="8"/>
  <c r="AH28" i="8"/>
  <c r="AH27" i="8"/>
  <c r="AH31" i="8"/>
  <c r="AH29" i="8"/>
  <c r="AH33" i="8"/>
  <c r="AH30" i="8"/>
  <c r="AH32" i="8"/>
  <c r="AH34" i="8"/>
  <c r="AD83" i="8"/>
  <c r="AE18" i="8"/>
  <c r="AE24" i="8"/>
  <c r="AE23" i="8"/>
  <c r="AE48" i="8"/>
  <c r="AE50" i="8"/>
  <c r="AE51" i="8"/>
  <c r="AE49" i="8"/>
  <c r="AE47" i="8"/>
  <c r="AE52" i="8"/>
  <c r="AE22" i="8"/>
  <c r="AD90" i="8"/>
  <c r="AE21" i="8"/>
  <c r="AE13" i="8"/>
  <c r="AD80" i="8"/>
  <c r="AD69" i="8"/>
  <c r="AE35" i="8"/>
  <c r="AE40" i="8"/>
  <c r="AE38" i="8"/>
  <c r="AE36" i="8"/>
  <c r="AE37" i="8"/>
  <c r="AE39" i="8"/>
  <c r="AD81" i="8"/>
  <c r="AE14" i="8"/>
  <c r="AD88" i="8"/>
  <c r="AH52" i="8"/>
  <c r="AH49" i="8"/>
  <c r="AH47" i="8"/>
  <c r="AH50" i="8"/>
  <c r="AH51" i="8"/>
  <c r="AH48" i="8"/>
  <c r="AH40" i="8"/>
  <c r="AH35" i="8"/>
  <c r="AH36" i="8"/>
  <c r="AH38" i="8"/>
  <c r="AH37" i="8"/>
  <c r="AH39" i="8"/>
  <c r="AH24" i="8"/>
  <c r="AH23" i="8"/>
  <c r="AH60" i="8"/>
  <c r="AH62" i="8"/>
  <c r="AH63" i="8"/>
  <c r="AH61" i="8"/>
  <c r="AH59" i="8"/>
  <c r="AH64" i="8"/>
  <c r="S37" i="8"/>
  <c r="S40" i="8"/>
  <c r="S36" i="8"/>
  <c r="S35" i="8"/>
  <c r="S38" i="8"/>
  <c r="S39" i="8"/>
  <c r="AV15" i="7"/>
  <c r="N15" i="12"/>
  <c r="O15" i="12" s="1"/>
  <c r="P15" i="12" s="1"/>
  <c r="Y19" i="8"/>
  <c r="Y20" i="8"/>
  <c r="Y26" i="8"/>
  <c r="Y25" i="8"/>
  <c r="AN19" i="7"/>
  <c r="AN43" i="7"/>
  <c r="AN23" i="7"/>
  <c r="AN18" i="7"/>
  <c r="AN54" i="7"/>
  <c r="AB28" i="8"/>
  <c r="AB27" i="8"/>
  <c r="AA83" i="8"/>
  <c r="AB18" i="8"/>
  <c r="AK18" i="8" s="1"/>
  <c r="AN21" i="7"/>
  <c r="P57" i="8"/>
  <c r="P55" i="8"/>
  <c r="P58" i="8"/>
  <c r="P56" i="8"/>
  <c r="P53" i="8"/>
  <c r="P54" i="8"/>
  <c r="AK66" i="7"/>
  <c r="AL66" i="7" s="1"/>
  <c r="BG66" i="7" s="1"/>
  <c r="K77" i="12"/>
  <c r="L77" i="12" s="1"/>
  <c r="M77" i="12" s="1"/>
  <c r="AQ66" i="7"/>
  <c r="P24" i="8"/>
  <c r="P23" i="8"/>
  <c r="AN37" i="7"/>
  <c r="AN62" i="7"/>
  <c r="AN58" i="7"/>
  <c r="AN27" i="7"/>
  <c r="AW66" i="7"/>
  <c r="AW65" i="7"/>
  <c r="AD66" i="7"/>
  <c r="AV21" i="7"/>
  <c r="N76" i="12"/>
  <c r="O76" i="12" s="1"/>
  <c r="P76" i="12" s="1"/>
  <c r="AV65" i="7"/>
  <c r="V22" i="8"/>
  <c r="AH22" i="7" s="1"/>
  <c r="V21" i="8"/>
  <c r="Y39" i="8"/>
  <c r="Y36" i="8"/>
  <c r="Y40" i="8"/>
  <c r="Y38" i="8"/>
  <c r="Y37" i="8"/>
  <c r="Y35" i="8"/>
  <c r="AH16" i="7"/>
  <c r="Q16" i="12"/>
  <c r="R16" i="12" s="1"/>
  <c r="S16" i="12" s="1"/>
  <c r="AO16" i="7"/>
  <c r="K22" i="12"/>
  <c r="L24" i="12" s="1"/>
  <c r="M24" i="12" s="1"/>
  <c r="AQ21" i="7"/>
  <c r="AB26" i="8"/>
  <c r="AK26" i="8" s="1"/>
  <c r="AB25" i="8"/>
  <c r="P48" i="8"/>
  <c r="P51" i="8"/>
  <c r="P49" i="8"/>
  <c r="P47" i="8"/>
  <c r="P50" i="8"/>
  <c r="P52" i="8"/>
  <c r="P61" i="8"/>
  <c r="P63" i="8"/>
  <c r="P62" i="8"/>
  <c r="P64" i="8"/>
  <c r="P60" i="8"/>
  <c r="P59" i="8"/>
  <c r="AQ16" i="7"/>
  <c r="AK16" i="7"/>
  <c r="AL16" i="7" s="1"/>
  <c r="BG16" i="7" s="1"/>
  <c r="K16" i="12"/>
  <c r="L16" i="12" s="1"/>
  <c r="M16" i="12" s="1"/>
  <c r="AK15" i="7"/>
  <c r="AL15" i="7" s="1"/>
  <c r="BG15" i="7" s="1"/>
  <c r="AQ15" i="7"/>
  <c r="K15" i="12"/>
  <c r="L15" i="12" s="1"/>
  <c r="M15" i="12" s="1"/>
  <c r="P20" i="8"/>
  <c r="P19" i="8"/>
  <c r="AN48" i="7"/>
  <c r="AN63" i="7"/>
  <c r="AO22" i="7"/>
  <c r="Q23" i="12"/>
  <c r="V58" i="8"/>
  <c r="V53" i="8"/>
  <c r="V54" i="8"/>
  <c r="V55" i="8"/>
  <c r="V56" i="8"/>
  <c r="V57" i="8"/>
  <c r="V61" i="8"/>
  <c r="V64" i="8"/>
  <c r="V60" i="8"/>
  <c r="V62" i="8"/>
  <c r="V63" i="8"/>
  <c r="V59" i="8"/>
  <c r="V25" i="8"/>
  <c r="V26" i="8"/>
  <c r="V43" i="8"/>
  <c r="V45" i="8"/>
  <c r="V44" i="8"/>
  <c r="V46" i="8"/>
  <c r="V41" i="8"/>
  <c r="V42" i="8"/>
  <c r="U82" i="8"/>
  <c r="V17" i="8"/>
  <c r="AN40" i="7"/>
  <c r="AN24" i="7"/>
  <c r="AN53" i="7"/>
  <c r="N16" i="12"/>
  <c r="O16" i="12" s="1"/>
  <c r="P16" i="12" s="1"/>
  <c r="AV16" i="7"/>
  <c r="AV66" i="7"/>
  <c r="N77" i="12"/>
  <c r="O77" i="12" s="1"/>
  <c r="P77" i="12" s="1"/>
  <c r="S41" i="8"/>
  <c r="S44" i="8"/>
  <c r="S43" i="8"/>
  <c r="S46" i="8"/>
  <c r="S42" i="8"/>
  <c r="S45" i="8"/>
  <c r="R82" i="8"/>
  <c r="S17" i="8"/>
  <c r="Y27" i="8"/>
  <c r="Y28" i="8"/>
  <c r="Y34" i="8"/>
  <c r="Y30" i="8"/>
  <c r="Y29" i="8"/>
  <c r="Y31" i="8"/>
  <c r="Y32" i="8"/>
  <c r="Y33" i="8"/>
  <c r="Y43" i="8"/>
  <c r="Y45" i="8"/>
  <c r="Y46" i="8"/>
  <c r="Y44" i="8"/>
  <c r="Y42" i="8"/>
  <c r="Y41" i="8"/>
  <c r="AH66" i="7"/>
  <c r="AO66" i="7"/>
  <c r="Q77" i="12"/>
  <c r="R77" i="12" s="1"/>
  <c r="S77" i="12" s="1"/>
  <c r="AO18" i="7"/>
  <c r="Q18" i="12"/>
  <c r="R18" i="12" s="1"/>
  <c r="S18" i="12" s="1"/>
  <c r="AN38" i="7"/>
  <c r="AN47" i="7"/>
  <c r="AN56" i="7"/>
  <c r="AN26" i="7"/>
  <c r="AN34" i="7"/>
  <c r="AB51" i="8"/>
  <c r="AB48" i="8"/>
  <c r="AB52" i="8"/>
  <c r="AB50" i="8"/>
  <c r="AB47" i="8"/>
  <c r="AK47" i="8" s="1"/>
  <c r="AB49" i="8"/>
  <c r="AB42" i="8"/>
  <c r="AB41" i="8"/>
  <c r="AB44" i="8"/>
  <c r="AB46" i="8"/>
  <c r="AB45" i="8"/>
  <c r="AB43" i="8"/>
  <c r="AB23" i="8"/>
  <c r="AB24" i="8"/>
  <c r="AN49" i="7"/>
  <c r="AN57" i="7"/>
  <c r="AN65" i="7"/>
  <c r="P28" i="8"/>
  <c r="P27" i="8"/>
  <c r="P17" i="8"/>
  <c r="O82" i="8"/>
  <c r="O83" i="8"/>
  <c r="P18" i="8"/>
  <c r="O81" i="8"/>
  <c r="P14" i="8"/>
  <c r="AN29" i="7"/>
  <c r="AN50" i="7"/>
  <c r="AN31" i="7"/>
  <c r="Q22" i="12"/>
  <c r="R24" i="12" s="1"/>
  <c r="S24" i="12" s="1"/>
  <c r="AO21" i="7"/>
  <c r="AD15" i="7"/>
  <c r="AN45" i="7"/>
  <c r="V27" i="8"/>
  <c r="V28" i="8"/>
  <c r="V20" i="8"/>
  <c r="V19" i="8"/>
  <c r="AW15" i="7"/>
  <c r="V24" i="8"/>
  <c r="V23" i="8"/>
  <c r="V18" i="8"/>
  <c r="U83" i="8"/>
  <c r="AN14" i="7"/>
  <c r="S27" i="8"/>
  <c r="S28" i="8"/>
  <c r="S19" i="8"/>
  <c r="S20" i="8"/>
  <c r="S31" i="8"/>
  <c r="S29" i="8"/>
  <c r="S33" i="8"/>
  <c r="S34" i="8"/>
  <c r="S30" i="8"/>
  <c r="S32" i="8"/>
  <c r="Y54" i="8"/>
  <c r="Y56" i="8"/>
  <c r="Y53" i="8"/>
  <c r="Y57" i="8"/>
  <c r="Y55" i="8"/>
  <c r="Y58" i="8"/>
  <c r="X69" i="8"/>
  <c r="Y13" i="8"/>
  <c r="AN32" i="7"/>
  <c r="AN44" i="7"/>
  <c r="AN39" i="7"/>
  <c r="AN52" i="7"/>
  <c r="AN28" i="7"/>
  <c r="K23" i="12"/>
  <c r="AQ22" i="7"/>
  <c r="AB33" i="8"/>
  <c r="AB30" i="8"/>
  <c r="AB29" i="8"/>
  <c r="AB34" i="8"/>
  <c r="AB32" i="8"/>
  <c r="AB31" i="8"/>
  <c r="AA69" i="8"/>
  <c r="AA80" i="8"/>
  <c r="AB13" i="8"/>
  <c r="AD16" i="7"/>
  <c r="AN64" i="7"/>
  <c r="AD65" i="7"/>
  <c r="P34" i="8"/>
  <c r="P31" i="8"/>
  <c r="P29" i="8"/>
  <c r="P33" i="8"/>
  <c r="P32" i="8"/>
  <c r="P30" i="8"/>
  <c r="P42" i="8"/>
  <c r="P46" i="8"/>
  <c r="P43" i="8"/>
  <c r="P41" i="8"/>
  <c r="P44" i="8"/>
  <c r="P45" i="8"/>
  <c r="AN51" i="7"/>
  <c r="V13" i="8"/>
  <c r="U80" i="8"/>
  <c r="U69" i="8"/>
  <c r="AW16" i="7"/>
  <c r="AN36" i="7"/>
  <c r="S57" i="8"/>
  <c r="S54" i="8"/>
  <c r="S53" i="8"/>
  <c r="S56" i="8"/>
  <c r="S58" i="8"/>
  <c r="S55" i="8"/>
  <c r="S24" i="8"/>
  <c r="S23" i="8"/>
  <c r="R80" i="8"/>
  <c r="R69" i="8"/>
  <c r="S13" i="8"/>
  <c r="Y24" i="8"/>
  <c r="Y23" i="8"/>
  <c r="AO14" i="7"/>
  <c r="Q14" i="12"/>
  <c r="R14" i="12" s="1"/>
  <c r="S14" i="12" s="1"/>
  <c r="AN61" i="7"/>
  <c r="AN46" i="7"/>
  <c r="AN20" i="7"/>
  <c r="AN35" i="7"/>
  <c r="AA88" i="8"/>
  <c r="AA81" i="8"/>
  <c r="AB14" i="8"/>
  <c r="AN16" i="7"/>
  <c r="S52" i="8"/>
  <c r="S48" i="8"/>
  <c r="S50" i="8"/>
  <c r="S51" i="8"/>
  <c r="S49" i="8"/>
  <c r="S47" i="8"/>
  <c r="S18" i="8"/>
  <c r="R83" i="8"/>
  <c r="S64" i="8"/>
  <c r="S61" i="8"/>
  <c r="S62" i="8"/>
  <c r="S63" i="8"/>
  <c r="S59" i="8"/>
  <c r="S60" i="8"/>
  <c r="R81" i="8"/>
  <c r="S14" i="8"/>
  <c r="S26" i="8"/>
  <c r="S25" i="8"/>
  <c r="Y50" i="8"/>
  <c r="Y51" i="8"/>
  <c r="Y48" i="8"/>
  <c r="Y52" i="8"/>
  <c r="Y47" i="8"/>
  <c r="Y49" i="8"/>
  <c r="AH65" i="7"/>
  <c r="AO65" i="7"/>
  <c r="Q76" i="12"/>
  <c r="R76" i="12" s="1"/>
  <c r="S76" i="12" s="1"/>
  <c r="AO17" i="7"/>
  <c r="Q17" i="12"/>
  <c r="R17" i="12" s="1"/>
  <c r="S17" i="12" s="1"/>
  <c r="AH15" i="7"/>
  <c r="Q15" i="12"/>
  <c r="R15" i="12" s="1"/>
  <c r="S15" i="12" s="1"/>
  <c r="AO15" i="7"/>
  <c r="Y62" i="8"/>
  <c r="Y63" i="8"/>
  <c r="Y59" i="8"/>
  <c r="Y64" i="8"/>
  <c r="Y61" i="8"/>
  <c r="Y60" i="8"/>
  <c r="AN13" i="7"/>
  <c r="AN41" i="7"/>
  <c r="AN17" i="7"/>
  <c r="AB53" i="8"/>
  <c r="AB54" i="8"/>
  <c r="AB56" i="8"/>
  <c r="AB58" i="8"/>
  <c r="AB57" i="8"/>
  <c r="AB55" i="8"/>
  <c r="AB17" i="8"/>
  <c r="AA89" i="8"/>
  <c r="AA82" i="8"/>
  <c r="AB35" i="8"/>
  <c r="AB39" i="8"/>
  <c r="AB38" i="8"/>
  <c r="AB36" i="8"/>
  <c r="AB40" i="8"/>
  <c r="AB37" i="8"/>
  <c r="AB59" i="8"/>
  <c r="AB62" i="8"/>
  <c r="AB61" i="8"/>
  <c r="AB60" i="8"/>
  <c r="AB64" i="8"/>
  <c r="AB63" i="8"/>
  <c r="AB20" i="8"/>
  <c r="AB19" i="8"/>
  <c r="AK19" i="8" s="1"/>
  <c r="AN55" i="7"/>
  <c r="AN33" i="7"/>
  <c r="AQ65" i="7"/>
  <c r="AK65" i="7"/>
  <c r="AL65" i="7" s="1"/>
  <c r="BG65" i="7" s="1"/>
  <c r="K76" i="12"/>
  <c r="L76" i="12" s="1"/>
  <c r="M76" i="12" s="1"/>
  <c r="O80" i="8"/>
  <c r="P13" i="8"/>
  <c r="O69" i="8"/>
  <c r="P26" i="8"/>
  <c r="P25" i="8"/>
  <c r="P39" i="8"/>
  <c r="P35" i="8"/>
  <c r="P40" i="8"/>
  <c r="P38" i="8"/>
  <c r="P37" i="8"/>
  <c r="P36" i="8"/>
  <c r="AN42" i="7"/>
  <c r="AN60" i="7"/>
  <c r="AN22" i="7"/>
  <c r="AN59" i="7"/>
  <c r="AN25" i="7"/>
  <c r="AN30" i="7"/>
  <c r="AN15" i="7"/>
  <c r="V52" i="8"/>
  <c r="V51" i="8"/>
  <c r="V47" i="8"/>
  <c r="V50" i="8"/>
  <c r="V48" i="8"/>
  <c r="V49" i="8"/>
  <c r="V35" i="8"/>
  <c r="V37" i="8"/>
  <c r="V38" i="8"/>
  <c r="V40" i="8"/>
  <c r="V39" i="8"/>
  <c r="V36" i="8"/>
  <c r="U81" i="8"/>
  <c r="V14" i="8"/>
  <c r="V34" i="8"/>
  <c r="V33" i="8"/>
  <c r="V30" i="8"/>
  <c r="V29" i="8"/>
  <c r="V31" i="8"/>
  <c r="V32" i="8"/>
  <c r="AN66" i="7"/>
  <c r="AV22" i="7"/>
  <c r="AA90" i="8"/>
  <c r="AK52" i="8" l="1"/>
  <c r="AK22" i="8"/>
  <c r="AK37" i="8"/>
  <c r="AK58" i="8"/>
  <c r="AK60" i="8"/>
  <c r="AK39" i="8"/>
  <c r="AK56" i="8"/>
  <c r="AK31" i="8"/>
  <c r="AK23" i="8"/>
  <c r="AK44" i="8"/>
  <c r="AK51" i="8"/>
  <c r="AK21" i="8"/>
  <c r="AK17" i="8"/>
  <c r="AS16" i="7"/>
  <c r="AK30" i="8"/>
  <c r="AK61" i="8"/>
  <c r="AK40" i="8"/>
  <c r="AK55" i="8"/>
  <c r="AK13" i="8"/>
  <c r="AK32" i="8"/>
  <c r="AK41" i="8"/>
  <c r="AK27" i="8"/>
  <c r="AK54" i="8"/>
  <c r="AK20" i="8"/>
  <c r="AK35" i="8"/>
  <c r="AK14" i="8"/>
  <c r="AK33" i="8"/>
  <c r="AK43" i="8"/>
  <c r="AK50" i="8"/>
  <c r="AK63" i="8"/>
  <c r="AK62" i="8"/>
  <c r="AK36" i="8"/>
  <c r="AK57" i="8"/>
  <c r="AK53" i="8"/>
  <c r="AK34" i="8"/>
  <c r="AK45" i="8"/>
  <c r="AK42" i="8"/>
  <c r="AK25" i="8"/>
  <c r="AK28" i="8"/>
  <c r="AK64" i="8"/>
  <c r="AK59" i="8"/>
  <c r="AK38" i="8"/>
  <c r="AK29" i="8"/>
  <c r="AK24" i="8"/>
  <c r="AK46" i="8"/>
  <c r="AK49" i="8"/>
  <c r="AK48" i="8"/>
  <c r="Q66" i="11"/>
  <c r="W77" i="12" s="1"/>
  <c r="X77" i="12" s="1"/>
  <c r="Y77" i="12" s="1"/>
  <c r="Q25" i="3"/>
  <c r="Q25" i="11" s="1"/>
  <c r="X16" i="12"/>
  <c r="Y16" i="12" s="1"/>
  <c r="Q38" i="3"/>
  <c r="AS38" i="7" s="1"/>
  <c r="X15" i="12"/>
  <c r="Y15" i="12" s="1"/>
  <c r="Q31" i="3"/>
  <c r="Q31" i="11" s="1"/>
  <c r="Q21" i="3"/>
  <c r="AS21" i="7" s="1"/>
  <c r="AS15" i="7"/>
  <c r="Q56" i="3"/>
  <c r="Q56" i="11" s="1"/>
  <c r="Q35" i="3"/>
  <c r="AS35" i="7" s="1"/>
  <c r="Q45" i="3"/>
  <c r="AS45" i="7" s="1"/>
  <c r="Q20" i="3"/>
  <c r="AS20" i="7" s="1"/>
  <c r="T77" i="12"/>
  <c r="U77" i="12" s="1"/>
  <c r="V77" i="12" s="1"/>
  <c r="AS65" i="7"/>
  <c r="Q57" i="3"/>
  <c r="Q57" i="11" s="1"/>
  <c r="Q48" i="3"/>
  <c r="Q48" i="11" s="1"/>
  <c r="Q61" i="3"/>
  <c r="AS61" i="7" s="1"/>
  <c r="Q40" i="3"/>
  <c r="Q40" i="11" s="1"/>
  <c r="Q55" i="3"/>
  <c r="Q55" i="11" s="1"/>
  <c r="Q54" i="3"/>
  <c r="AS54" i="7" s="1"/>
  <c r="Q34" i="3"/>
  <c r="Q34" i="11" s="1"/>
  <c r="Q64" i="3"/>
  <c r="AS64" i="7" s="1"/>
  <c r="Q59" i="3"/>
  <c r="Q59" i="11" s="1"/>
  <c r="Q23" i="3"/>
  <c r="AS23" i="7" s="1"/>
  <c r="Q44" i="3"/>
  <c r="Q44" i="11" s="1"/>
  <c r="Q47" i="3"/>
  <c r="AS47" i="7" s="1"/>
  <c r="Q51" i="3"/>
  <c r="Q51" i="11" s="1"/>
  <c r="Q53" i="3"/>
  <c r="Q53" i="11" s="1"/>
  <c r="W62" i="12" s="1"/>
  <c r="Q49" i="3"/>
  <c r="Q49" i="11" s="1"/>
  <c r="Q19" i="3"/>
  <c r="Q19" i="11" s="1"/>
  <c r="W19" i="12" s="1"/>
  <c r="Q60" i="3"/>
  <c r="Q60" i="11" s="1"/>
  <c r="Q37" i="3"/>
  <c r="AS37" i="7" s="1"/>
  <c r="Q14" i="3"/>
  <c r="Q14" i="11" s="1"/>
  <c r="W14" i="12" s="1"/>
  <c r="Q32" i="3"/>
  <c r="Q32" i="11" s="1"/>
  <c r="Q33" i="3"/>
  <c r="AS33" i="7" s="1"/>
  <c r="Q43" i="3"/>
  <c r="Q43" i="11" s="1"/>
  <c r="Q41" i="3"/>
  <c r="AS41" i="7" s="1"/>
  <c r="Q22" i="3"/>
  <c r="AS22" i="7" s="1"/>
  <c r="Q63" i="3"/>
  <c r="AS63" i="7" s="1"/>
  <c r="Q62" i="3"/>
  <c r="AS62" i="7" s="1"/>
  <c r="Q36" i="3"/>
  <c r="AS36" i="7" s="1"/>
  <c r="Q29" i="3"/>
  <c r="Q29" i="11" s="1"/>
  <c r="W34" i="12" s="1"/>
  <c r="Q50" i="3"/>
  <c r="AS50" i="7" s="1"/>
  <c r="Q27" i="3"/>
  <c r="AS27" i="7" s="1"/>
  <c r="Q58" i="3"/>
  <c r="Q58" i="11" s="1"/>
  <c r="Q30" i="3"/>
  <c r="AS30" i="7" s="1"/>
  <c r="Q42" i="3"/>
  <c r="Q42" i="11" s="1"/>
  <c r="Q52" i="3"/>
  <c r="AS52" i="7" s="1"/>
  <c r="Q26" i="3"/>
  <c r="AS26" i="7" s="1"/>
  <c r="Q28" i="3"/>
  <c r="Q28" i="11" s="1"/>
  <c r="Q39" i="3"/>
  <c r="Q39" i="11" s="1"/>
  <c r="Q17" i="3"/>
  <c r="Q17" i="11" s="1"/>
  <c r="Q13" i="3"/>
  <c r="AS13" i="7" s="1"/>
  <c r="Q24" i="3"/>
  <c r="Q24" i="11" s="1"/>
  <c r="Q46" i="3"/>
  <c r="Q46" i="11" s="1"/>
  <c r="Q18" i="3"/>
  <c r="Q18" i="11" s="1"/>
  <c r="AG87" i="8"/>
  <c r="AG84" i="8"/>
  <c r="AG85" i="8" s="1"/>
  <c r="AD87" i="8"/>
  <c r="AD84" i="8"/>
  <c r="AD85" i="8" s="1"/>
  <c r="N23" i="12"/>
  <c r="AD22" i="7"/>
  <c r="O22" i="3" s="1"/>
  <c r="AH14" i="7"/>
  <c r="AD40" i="7"/>
  <c r="AD44" i="7"/>
  <c r="O44" i="3" s="1"/>
  <c r="AK22" i="7"/>
  <c r="AL22" i="7" s="1"/>
  <c r="BG22" i="7" s="1"/>
  <c r="AD58" i="7"/>
  <c r="O58" i="3" s="1"/>
  <c r="AD30" i="7"/>
  <c r="AG30" i="7" s="1"/>
  <c r="AD51" i="7"/>
  <c r="AG51" i="7" s="1"/>
  <c r="AD35" i="7"/>
  <c r="AH18" i="7"/>
  <c r="R84" i="8"/>
  <c r="R85" i="8" s="1"/>
  <c r="AD45" i="7"/>
  <c r="AE45" i="7" s="1"/>
  <c r="O84" i="8"/>
  <c r="O85" i="8" s="1"/>
  <c r="AD63" i="7"/>
  <c r="AD14" i="7"/>
  <c r="O14" i="3" s="1"/>
  <c r="AH17" i="7"/>
  <c r="AD60" i="7"/>
  <c r="AE60" i="7" s="1"/>
  <c r="AX15" i="7"/>
  <c r="AM15" i="7" s="1"/>
  <c r="AD43" i="7"/>
  <c r="O43" i="3" s="1"/>
  <c r="AD53" i="7"/>
  <c r="AE53" i="7" s="1"/>
  <c r="AX65" i="7"/>
  <c r="AM65" i="7" s="1"/>
  <c r="AX16" i="7"/>
  <c r="AM16" i="7" s="1"/>
  <c r="AW32" i="7"/>
  <c r="AW36" i="7"/>
  <c r="K44" i="12"/>
  <c r="AQ38" i="7"/>
  <c r="AK38" i="7"/>
  <c r="AD38" i="7"/>
  <c r="AQ25" i="7"/>
  <c r="K28" i="12"/>
  <c r="AK25" i="7"/>
  <c r="AD25" i="7"/>
  <c r="Q71" i="12"/>
  <c r="AH61" i="7"/>
  <c r="AO61" i="7"/>
  <c r="AH62" i="7"/>
  <c r="AO62" i="7"/>
  <c r="Q72" i="12"/>
  <c r="AH48" i="7"/>
  <c r="Q56" i="12"/>
  <c r="AO48" i="7"/>
  <c r="N29" i="12"/>
  <c r="AV26" i="7"/>
  <c r="AV59" i="7"/>
  <c r="N69" i="12"/>
  <c r="N74" i="12"/>
  <c r="AV64" i="7"/>
  <c r="AD64" i="7"/>
  <c r="N57" i="12"/>
  <c r="AV49" i="7"/>
  <c r="N60" i="12"/>
  <c r="AV52" i="7"/>
  <c r="AD52" i="7"/>
  <c r="AW13" i="7"/>
  <c r="AW23" i="7"/>
  <c r="AW19" i="7"/>
  <c r="AD48" i="7"/>
  <c r="AW30" i="7"/>
  <c r="AW38" i="7"/>
  <c r="AW48" i="7"/>
  <c r="AW52" i="7"/>
  <c r="AD61" i="7"/>
  <c r="N64" i="12"/>
  <c r="AV55" i="7"/>
  <c r="AV54" i="7"/>
  <c r="N63" i="12"/>
  <c r="AK41" i="7"/>
  <c r="AQ41" i="7"/>
  <c r="K48" i="12"/>
  <c r="AD41" i="7"/>
  <c r="K35" i="12"/>
  <c r="AQ30" i="7"/>
  <c r="AK30" i="7"/>
  <c r="AQ31" i="7"/>
  <c r="AK31" i="7"/>
  <c r="K36" i="12"/>
  <c r="AD31" i="7"/>
  <c r="AW24" i="7"/>
  <c r="AW20" i="7"/>
  <c r="AD17" i="7"/>
  <c r="AH41" i="7"/>
  <c r="AO41" i="7"/>
  <c r="Q48" i="12"/>
  <c r="AO45" i="7"/>
  <c r="AH45" i="7"/>
  <c r="Q52" i="12"/>
  <c r="Q36" i="12"/>
  <c r="AH31" i="7"/>
  <c r="AO31" i="7"/>
  <c r="Q32" i="12"/>
  <c r="AO28" i="7"/>
  <c r="AH28" i="7"/>
  <c r="N52" i="12"/>
  <c r="AV45" i="7"/>
  <c r="AV44" i="7"/>
  <c r="N51" i="12"/>
  <c r="K20" i="12"/>
  <c r="AK20" i="7"/>
  <c r="AQ20" i="7"/>
  <c r="AD20" i="7"/>
  <c r="AK59" i="7"/>
  <c r="AQ59" i="7"/>
  <c r="K69" i="12"/>
  <c r="AD59" i="7"/>
  <c r="AQ63" i="7"/>
  <c r="K73" i="12"/>
  <c r="AK63" i="7"/>
  <c r="K55" i="12"/>
  <c r="AK47" i="7"/>
  <c r="AQ47" i="7"/>
  <c r="AD47" i="7"/>
  <c r="Q43" i="12"/>
  <c r="AO37" i="7"/>
  <c r="AH37" i="7"/>
  <c r="Q45" i="12"/>
  <c r="AO39" i="7"/>
  <c r="AH39" i="7"/>
  <c r="K63" i="12"/>
  <c r="AQ54" i="7"/>
  <c r="AK54" i="7"/>
  <c r="AD54" i="7"/>
  <c r="K64" i="12"/>
  <c r="AK55" i="7"/>
  <c r="AQ55" i="7"/>
  <c r="AD55" i="7"/>
  <c r="AW33" i="7"/>
  <c r="AW37" i="7"/>
  <c r="AW50" i="7"/>
  <c r="AD50" i="7"/>
  <c r="AD36" i="7"/>
  <c r="AH23" i="7"/>
  <c r="AO23" i="7"/>
  <c r="Q25" i="12"/>
  <c r="AV58" i="7"/>
  <c r="N67" i="12"/>
  <c r="N66" i="12"/>
  <c r="AV57" i="7"/>
  <c r="AQ43" i="7"/>
  <c r="K50" i="12"/>
  <c r="AK43" i="7"/>
  <c r="AK32" i="7"/>
  <c r="AQ32" i="7"/>
  <c r="K37" i="12"/>
  <c r="AD32" i="7"/>
  <c r="AQ34" i="7"/>
  <c r="AK34" i="7"/>
  <c r="K39" i="12"/>
  <c r="AD34" i="7"/>
  <c r="AO58" i="7"/>
  <c r="Q67" i="12"/>
  <c r="AH58" i="7"/>
  <c r="AO56" i="7"/>
  <c r="Q65" i="12"/>
  <c r="AH56" i="7"/>
  <c r="N39" i="12"/>
  <c r="AV34" i="7"/>
  <c r="AV20" i="7"/>
  <c r="N20" i="12"/>
  <c r="AD62" i="7"/>
  <c r="AD37" i="7"/>
  <c r="AQ18" i="7"/>
  <c r="K18" i="12"/>
  <c r="L18" i="12" s="1"/>
  <c r="M18" i="12" s="1"/>
  <c r="AK18" i="7"/>
  <c r="AD18" i="7"/>
  <c r="AK27" i="7"/>
  <c r="AQ27" i="7"/>
  <c r="K31" i="12"/>
  <c r="L33" i="12" s="1"/>
  <c r="M33" i="12" s="1"/>
  <c r="AD27" i="7"/>
  <c r="AO42" i="7"/>
  <c r="AH42" i="7"/>
  <c r="Q49" i="12"/>
  <c r="Q50" i="12"/>
  <c r="AH43" i="7"/>
  <c r="AO43" i="7"/>
  <c r="AH29" i="7"/>
  <c r="AO29" i="7"/>
  <c r="Q34" i="12"/>
  <c r="AH27" i="7"/>
  <c r="Q31" i="12"/>
  <c r="R33" i="12" s="1"/>
  <c r="S33" i="12" s="1"/>
  <c r="AO27" i="7"/>
  <c r="N49" i="12"/>
  <c r="AV42" i="7"/>
  <c r="N48" i="12"/>
  <c r="AV41" i="7"/>
  <c r="AW17" i="7"/>
  <c r="AW46" i="7"/>
  <c r="AD46" i="7"/>
  <c r="AW26" i="7"/>
  <c r="AW62" i="7"/>
  <c r="AW57" i="7"/>
  <c r="AW53" i="7"/>
  <c r="AD29" i="7"/>
  <c r="AD49" i="7"/>
  <c r="AD56" i="7"/>
  <c r="AK37" i="7"/>
  <c r="K43" i="12"/>
  <c r="AQ37" i="7"/>
  <c r="AQ39" i="7"/>
  <c r="AK39" i="7"/>
  <c r="K45" i="12"/>
  <c r="AD39" i="7"/>
  <c r="AQ13" i="7"/>
  <c r="AK13" i="7"/>
  <c r="K13" i="12"/>
  <c r="L13" i="12" s="1"/>
  <c r="M13" i="12" s="1"/>
  <c r="AD13" i="7"/>
  <c r="AH60" i="7"/>
  <c r="Q70" i="12"/>
  <c r="AO60" i="7"/>
  <c r="AH63" i="7"/>
  <c r="AO63" i="7"/>
  <c r="Q73" i="12"/>
  <c r="Q60" i="12"/>
  <c r="AH52" i="7"/>
  <c r="AO52" i="7"/>
  <c r="AV25" i="7"/>
  <c r="N28" i="12"/>
  <c r="N70" i="12"/>
  <c r="AV60" i="7"/>
  <c r="AV61" i="7"/>
  <c r="N71" i="12"/>
  <c r="N55" i="12"/>
  <c r="AV47" i="7"/>
  <c r="N56" i="12"/>
  <c r="AV48" i="7"/>
  <c r="AG44" i="7"/>
  <c r="AO55" i="7"/>
  <c r="Q64" i="12"/>
  <c r="AH55" i="7"/>
  <c r="Q63" i="12"/>
  <c r="AO54" i="7"/>
  <c r="AH54" i="7"/>
  <c r="AV33" i="7"/>
  <c r="N38" i="12"/>
  <c r="AV19" i="7"/>
  <c r="N19" i="12"/>
  <c r="AD19" i="7"/>
  <c r="K32" i="12"/>
  <c r="AQ28" i="7"/>
  <c r="AK28" i="7"/>
  <c r="AD28" i="7"/>
  <c r="T15" i="12"/>
  <c r="U15" i="12" s="1"/>
  <c r="V15" i="12" s="1"/>
  <c r="AW44" i="7"/>
  <c r="AW25" i="7"/>
  <c r="AW60" i="7"/>
  <c r="AW56" i="7"/>
  <c r="AW58" i="7"/>
  <c r="AD57" i="7"/>
  <c r="AH25" i="7"/>
  <c r="Q28" i="12"/>
  <c r="AO25" i="7"/>
  <c r="AV38" i="7"/>
  <c r="N44" i="12"/>
  <c r="N43" i="12"/>
  <c r="AV37" i="7"/>
  <c r="AK61" i="7"/>
  <c r="K71" i="12"/>
  <c r="AQ61" i="7"/>
  <c r="AW21" i="7"/>
  <c r="AX21" i="7" s="1"/>
  <c r="AQ23" i="7"/>
  <c r="AK23" i="7"/>
  <c r="K25" i="12"/>
  <c r="K62" i="12"/>
  <c r="AK53" i="7"/>
  <c r="AQ53" i="7"/>
  <c r="AH26" i="7"/>
  <c r="Q29" i="12"/>
  <c r="AO26" i="7"/>
  <c r="AW34" i="7"/>
  <c r="AW35" i="7"/>
  <c r="K46" i="12"/>
  <c r="AK40" i="7"/>
  <c r="AQ40" i="7"/>
  <c r="AK26" i="7"/>
  <c r="K29" i="12"/>
  <c r="AQ26" i="7"/>
  <c r="AV14" i="7"/>
  <c r="N14" i="12"/>
  <c r="O14" i="12" s="1"/>
  <c r="P14" i="12" s="1"/>
  <c r="AO24" i="7"/>
  <c r="AH24" i="7"/>
  <c r="Q26" i="12"/>
  <c r="AQ45" i="7"/>
  <c r="AK45" i="7"/>
  <c r="K52" i="12"/>
  <c r="AQ33" i="7"/>
  <c r="K38" i="12"/>
  <c r="AK33" i="7"/>
  <c r="AE65" i="7"/>
  <c r="O65" i="3"/>
  <c r="AG65" i="7"/>
  <c r="AA87" i="8"/>
  <c r="AA84" i="8"/>
  <c r="AA85" i="8" s="1"/>
  <c r="AO13" i="7"/>
  <c r="Q13" i="12"/>
  <c r="R13" i="12" s="1"/>
  <c r="S13" i="12" s="1"/>
  <c r="AH13" i="7"/>
  <c r="AO57" i="7"/>
  <c r="Q66" i="12"/>
  <c r="AH57" i="7"/>
  <c r="N37" i="12"/>
  <c r="AV32" i="7"/>
  <c r="AV29" i="7"/>
  <c r="N34" i="12"/>
  <c r="N32" i="12"/>
  <c r="AV28" i="7"/>
  <c r="AW28" i="7"/>
  <c r="AH21" i="7"/>
  <c r="AK14" i="7"/>
  <c r="AQ14" i="7"/>
  <c r="K14" i="12"/>
  <c r="L14" i="12" s="1"/>
  <c r="M14" i="12" s="1"/>
  <c r="AH44" i="7"/>
  <c r="AO44" i="7"/>
  <c r="Q51" i="12"/>
  <c r="AO33" i="7"/>
  <c r="AH33" i="7"/>
  <c r="Q38" i="12"/>
  <c r="Q35" i="12"/>
  <c r="AO30" i="7"/>
  <c r="AH30" i="7"/>
  <c r="AV17" i="7"/>
  <c r="N17" i="12"/>
  <c r="O17" i="12" s="1"/>
  <c r="P17" i="12" s="1"/>
  <c r="N53" i="12"/>
  <c r="AV46" i="7"/>
  <c r="AW42" i="7"/>
  <c r="AW45" i="7"/>
  <c r="AW59" i="7"/>
  <c r="AW64" i="7"/>
  <c r="AW55" i="7"/>
  <c r="BF15" i="7"/>
  <c r="BF16" i="7"/>
  <c r="K74" i="12"/>
  <c r="AQ64" i="7"/>
  <c r="AK64" i="7"/>
  <c r="AK52" i="7"/>
  <c r="K60" i="12"/>
  <c r="AQ52" i="7"/>
  <c r="K59" i="12"/>
  <c r="AK51" i="7"/>
  <c r="AQ51" i="7"/>
  <c r="AK21" i="7"/>
  <c r="Q46" i="12"/>
  <c r="AO40" i="7"/>
  <c r="AH40" i="7"/>
  <c r="AW22" i="7"/>
  <c r="AX22" i="7" s="1"/>
  <c r="O66" i="3"/>
  <c r="AE66" i="7"/>
  <c r="AG66" i="7"/>
  <c r="AQ24" i="7"/>
  <c r="AK24" i="7"/>
  <c r="K26" i="12"/>
  <c r="BF66" i="7"/>
  <c r="AQ56" i="7"/>
  <c r="K65" i="12"/>
  <c r="AK56" i="7"/>
  <c r="AH20" i="7"/>
  <c r="Q20" i="12"/>
  <c r="AO20" i="7"/>
  <c r="N42" i="12"/>
  <c r="AV36" i="7"/>
  <c r="AQ60" i="7"/>
  <c r="K70" i="12"/>
  <c r="AK60" i="7"/>
  <c r="K57" i="12"/>
  <c r="AK49" i="7"/>
  <c r="AQ49" i="7"/>
  <c r="AO38" i="7"/>
  <c r="Q44" i="12"/>
  <c r="AH38" i="7"/>
  <c r="K66" i="12"/>
  <c r="AQ57" i="7"/>
  <c r="AK57" i="7"/>
  <c r="N41" i="12"/>
  <c r="AV35" i="7"/>
  <c r="AW31" i="7"/>
  <c r="AW39" i="7"/>
  <c r="AW47" i="7"/>
  <c r="Q74" i="12"/>
  <c r="AO64" i="7"/>
  <c r="AH64" i="7"/>
  <c r="Q57" i="12"/>
  <c r="AO49" i="7"/>
  <c r="AH49" i="7"/>
  <c r="AO51" i="7"/>
  <c r="AH51" i="7"/>
  <c r="Q59" i="12"/>
  <c r="N73" i="12"/>
  <c r="AV63" i="7"/>
  <c r="AV51" i="7"/>
  <c r="N59" i="12"/>
  <c r="N25" i="12"/>
  <c r="AV23" i="7"/>
  <c r="N65" i="12"/>
  <c r="AV56" i="7"/>
  <c r="AK46" i="7"/>
  <c r="AQ46" i="7"/>
  <c r="K53" i="12"/>
  <c r="AW29" i="7"/>
  <c r="AW14" i="7"/>
  <c r="AW40" i="7"/>
  <c r="AW49" i="7"/>
  <c r="AW51" i="7"/>
  <c r="K42" i="12"/>
  <c r="AK36" i="7"/>
  <c r="AQ36" i="7"/>
  <c r="AQ35" i="7"/>
  <c r="K41" i="12"/>
  <c r="L47" i="12" s="1"/>
  <c r="M47" i="12" s="1"/>
  <c r="AK35" i="7"/>
  <c r="BF65" i="7"/>
  <c r="AD21" i="7"/>
  <c r="AH59" i="7"/>
  <c r="AO59" i="7"/>
  <c r="Q69" i="12"/>
  <c r="AH47" i="7"/>
  <c r="Q55" i="12"/>
  <c r="AO47" i="7"/>
  <c r="AH50" i="7"/>
  <c r="AO50" i="7"/>
  <c r="Q58" i="12"/>
  <c r="AV62" i="7"/>
  <c r="N72" i="12"/>
  <c r="AV18" i="7"/>
  <c r="N18" i="12"/>
  <c r="O18" i="12" s="1"/>
  <c r="P18" i="12" s="1"/>
  <c r="N58" i="12"/>
  <c r="AV50" i="7"/>
  <c r="T16" i="12"/>
  <c r="U16" i="12" s="1"/>
  <c r="V16" i="12" s="1"/>
  <c r="N13" i="12"/>
  <c r="O13" i="12" s="1"/>
  <c r="P13" i="12" s="1"/>
  <c r="AV13" i="7"/>
  <c r="AV24" i="7"/>
  <c r="N26" i="12"/>
  <c r="AV53" i="7"/>
  <c r="N62" i="12"/>
  <c r="U84" i="8"/>
  <c r="U85" i="8" s="1"/>
  <c r="AK44" i="7"/>
  <c r="AQ44" i="7"/>
  <c r="K51" i="12"/>
  <c r="AK42" i="7"/>
  <c r="K49" i="12"/>
  <c r="AQ42" i="7"/>
  <c r="AK29" i="7"/>
  <c r="K34" i="12"/>
  <c r="AQ29" i="7"/>
  <c r="AG16" i="7"/>
  <c r="AE16" i="7"/>
  <c r="O16" i="3"/>
  <c r="AO53" i="7"/>
  <c r="AH53" i="7"/>
  <c r="Q62" i="12"/>
  <c r="N35" i="12"/>
  <c r="AV30" i="7"/>
  <c r="N36" i="12"/>
  <c r="AV31" i="7"/>
  <c r="N31" i="12"/>
  <c r="O33" i="12" s="1"/>
  <c r="P33" i="12" s="1"/>
  <c r="AV27" i="7"/>
  <c r="AW18" i="7"/>
  <c r="AW27" i="7"/>
  <c r="AG15" i="7"/>
  <c r="AE15" i="7"/>
  <c r="O15" i="3"/>
  <c r="AK17" i="7"/>
  <c r="AQ17" i="7"/>
  <c r="K17" i="12"/>
  <c r="L17" i="12" s="1"/>
  <c r="M17" i="12" s="1"/>
  <c r="AD33" i="7"/>
  <c r="AD23" i="7"/>
  <c r="AH46" i="7"/>
  <c r="AO46" i="7"/>
  <c r="Q53" i="12"/>
  <c r="Q37" i="12"/>
  <c r="AO32" i="7"/>
  <c r="AH32" i="7"/>
  <c r="AO34" i="7"/>
  <c r="Q39" i="12"/>
  <c r="AH34" i="7"/>
  <c r="N50" i="12"/>
  <c r="AV43" i="7"/>
  <c r="AX66" i="7"/>
  <c r="AM66" i="7" s="1"/>
  <c r="AW41" i="7"/>
  <c r="AW43" i="7"/>
  <c r="AW63" i="7"/>
  <c r="AW61" i="7"/>
  <c r="AW54" i="7"/>
  <c r="AK19" i="7"/>
  <c r="AQ19" i="7"/>
  <c r="K19" i="12"/>
  <c r="K72" i="12"/>
  <c r="AK62" i="7"/>
  <c r="AQ62" i="7"/>
  <c r="AQ50" i="7"/>
  <c r="K58" i="12"/>
  <c r="AK50" i="7"/>
  <c r="AQ48" i="7"/>
  <c r="K56" i="12"/>
  <c r="AK48" i="7"/>
  <c r="T76" i="12"/>
  <c r="U76" i="12" s="1"/>
  <c r="V76" i="12" s="1"/>
  <c r="AD26" i="7"/>
  <c r="AO35" i="7"/>
  <c r="Q41" i="12"/>
  <c r="AH35" i="7"/>
  <c r="Q42" i="12"/>
  <c r="AH36" i="7"/>
  <c r="AO36" i="7"/>
  <c r="N22" i="12"/>
  <c r="O24" i="12" s="1"/>
  <c r="P24" i="12" s="1"/>
  <c r="AD24" i="7"/>
  <c r="AD42" i="7"/>
  <c r="AQ58" i="7"/>
  <c r="AK58" i="7"/>
  <c r="K67" i="12"/>
  <c r="Q19" i="12"/>
  <c r="AH19" i="7"/>
  <c r="AO19" i="7"/>
  <c r="N45" i="12"/>
  <c r="AV39" i="7"/>
  <c r="N46" i="12"/>
  <c r="AV40" i="7"/>
  <c r="AS25" i="7" l="1"/>
  <c r="AS31" i="7"/>
  <c r="AK67" i="8"/>
  <c r="AK68" i="8" s="1"/>
  <c r="Q38" i="11"/>
  <c r="W44" i="12" s="1"/>
  <c r="Q20" i="11"/>
  <c r="T20" i="12" s="1"/>
  <c r="AS56" i="7"/>
  <c r="AS59" i="7"/>
  <c r="Q64" i="11"/>
  <c r="T74" i="12" s="1"/>
  <c r="Q21" i="11"/>
  <c r="W22" i="12" s="1"/>
  <c r="X24" i="12" s="1"/>
  <c r="Y24" i="12" s="1"/>
  <c r="X14" i="12"/>
  <c r="Y14" i="12" s="1"/>
  <c r="AS57" i="7"/>
  <c r="AS51" i="7"/>
  <c r="Q33" i="11"/>
  <c r="T38" i="12" s="1"/>
  <c r="Q63" i="11"/>
  <c r="T73" i="12" s="1"/>
  <c r="Q45" i="11"/>
  <c r="W52" i="12" s="1"/>
  <c r="AS34" i="7"/>
  <c r="Q41" i="11"/>
  <c r="T48" i="12" s="1"/>
  <c r="Q61" i="11"/>
  <c r="T71" i="12" s="1"/>
  <c r="Q50" i="11"/>
  <c r="T58" i="12" s="1"/>
  <c r="Q35" i="11"/>
  <c r="W41" i="12" s="1"/>
  <c r="AS44" i="7"/>
  <c r="AS42" i="7"/>
  <c r="AS14" i="7"/>
  <c r="T32" i="12"/>
  <c r="W32" i="12"/>
  <c r="T50" i="12"/>
  <c r="W50" i="12"/>
  <c r="T56" i="12"/>
  <c r="W56" i="12"/>
  <c r="Q30" i="11"/>
  <c r="T67" i="12"/>
  <c r="W67" i="12"/>
  <c r="T22" i="12"/>
  <c r="U24" i="12" s="1"/>
  <c r="V24" i="12" s="1"/>
  <c r="T70" i="12"/>
  <c r="W70" i="12"/>
  <c r="T59" i="12"/>
  <c r="W59" i="12"/>
  <c r="T69" i="12"/>
  <c r="W69" i="12"/>
  <c r="T64" i="12"/>
  <c r="W64" i="12"/>
  <c r="T66" i="12"/>
  <c r="W66" i="12"/>
  <c r="T51" i="12"/>
  <c r="W51" i="12"/>
  <c r="AS48" i="7"/>
  <c r="T36" i="12"/>
  <c r="W36" i="12"/>
  <c r="T18" i="12"/>
  <c r="U18" i="12" s="1"/>
  <c r="V18" i="12" s="1"/>
  <c r="W18" i="12"/>
  <c r="T17" i="12"/>
  <c r="U17" i="12" s="1"/>
  <c r="V17" i="12" s="1"/>
  <c r="W17" i="12"/>
  <c r="T37" i="12"/>
  <c r="W37" i="12"/>
  <c r="T46" i="12"/>
  <c r="W46" i="12"/>
  <c r="T65" i="12"/>
  <c r="W65" i="12"/>
  <c r="T26" i="12"/>
  <c r="W26" i="12"/>
  <c r="T39" i="12"/>
  <c r="W39" i="12"/>
  <c r="T28" i="12"/>
  <c r="W28" i="12"/>
  <c r="AS24" i="7"/>
  <c r="T53" i="12"/>
  <c r="W53" i="12"/>
  <c r="T45" i="12"/>
  <c r="W45" i="12"/>
  <c r="T49" i="12"/>
  <c r="W49" i="12"/>
  <c r="T57" i="12"/>
  <c r="W57" i="12"/>
  <c r="AS55" i="7"/>
  <c r="AS60" i="7"/>
  <c r="Q47" i="11"/>
  <c r="AS40" i="7"/>
  <c r="Q27" i="11"/>
  <c r="AS43" i="7"/>
  <c r="Q62" i="11"/>
  <c r="AS18" i="7"/>
  <c r="AS28" i="7"/>
  <c r="Q52" i="11"/>
  <c r="AS17" i="7"/>
  <c r="AS19" i="7"/>
  <c r="Q54" i="11"/>
  <c r="AS32" i="7"/>
  <c r="AS39" i="7"/>
  <c r="Q22" i="11"/>
  <c r="AS53" i="7"/>
  <c r="Q23" i="11"/>
  <c r="Q37" i="11"/>
  <c r="AS46" i="7"/>
  <c r="Q36" i="11"/>
  <c r="Q26" i="11"/>
  <c r="Q13" i="11"/>
  <c r="AS49" i="7"/>
  <c r="AS58" i="7"/>
  <c r="AS29" i="7"/>
  <c r="AG22" i="7"/>
  <c r="AE22" i="7"/>
  <c r="AG40" i="7"/>
  <c r="AG58" i="7"/>
  <c r="AM22" i="7"/>
  <c r="AE63" i="7"/>
  <c r="AX46" i="7"/>
  <c r="BF22" i="7"/>
  <c r="O30" i="3"/>
  <c r="AB30" i="3" s="1"/>
  <c r="O40" i="3"/>
  <c r="AB40" i="3" s="1"/>
  <c r="AE51" i="7"/>
  <c r="AG63" i="7"/>
  <c r="AE30" i="7"/>
  <c r="R68" i="12"/>
  <c r="S68" i="12" s="1"/>
  <c r="AE44" i="7"/>
  <c r="AE40" i="7"/>
  <c r="AX36" i="7"/>
  <c r="AM36" i="7" s="1"/>
  <c r="AE58" i="7"/>
  <c r="L21" i="12"/>
  <c r="M21" i="12" s="1"/>
  <c r="O21" i="12"/>
  <c r="P21" i="12" s="1"/>
  <c r="O30" i="12"/>
  <c r="P30" i="12" s="1"/>
  <c r="L68" i="12"/>
  <c r="M68" i="12" s="1"/>
  <c r="AX31" i="7"/>
  <c r="AM31" i="7" s="1"/>
  <c r="O51" i="3"/>
  <c r="R51" i="3" s="1"/>
  <c r="AG35" i="7"/>
  <c r="AX48" i="7"/>
  <c r="AM48" i="7" s="1"/>
  <c r="R21" i="12"/>
  <c r="S21" i="12" s="1"/>
  <c r="AG14" i="7"/>
  <c r="AE35" i="7"/>
  <c r="O45" i="3"/>
  <c r="AX40" i="7"/>
  <c r="AM40" i="7" s="1"/>
  <c r="AX62" i="7"/>
  <c r="AM62" i="7" s="1"/>
  <c r="AX35" i="7"/>
  <c r="AM35" i="7" s="1"/>
  <c r="AE14" i="7"/>
  <c r="O63" i="3"/>
  <c r="I63" i="11" s="1"/>
  <c r="AX28" i="7"/>
  <c r="AM28" i="7" s="1"/>
  <c r="O35" i="3"/>
  <c r="I35" i="11" s="1"/>
  <c r="AG45" i="7"/>
  <c r="O53" i="3"/>
  <c r="AB53" i="3" s="1"/>
  <c r="L40" i="12"/>
  <c r="M40" i="12" s="1"/>
  <c r="O60" i="3"/>
  <c r="AG43" i="7"/>
  <c r="AG60" i="7"/>
  <c r="AX24" i="7"/>
  <c r="AM24" i="7" s="1"/>
  <c r="R61" i="12"/>
  <c r="S61" i="12" s="1"/>
  <c r="R30" i="12"/>
  <c r="S30" i="12" s="1"/>
  <c r="AE43" i="7"/>
  <c r="AX29" i="7"/>
  <c r="AM29" i="7" s="1"/>
  <c r="AX14" i="7"/>
  <c r="AM14" i="7" s="1"/>
  <c r="AX30" i="7"/>
  <c r="AM30" i="7" s="1"/>
  <c r="AX56" i="7"/>
  <c r="AM56" i="7" s="1"/>
  <c r="O27" i="12"/>
  <c r="P27" i="12" s="1"/>
  <c r="AX32" i="7"/>
  <c r="AM32" i="7" s="1"/>
  <c r="AX25" i="7"/>
  <c r="AM25" i="7" s="1"/>
  <c r="AX26" i="7"/>
  <c r="AM26" i="7" s="1"/>
  <c r="AG53" i="7"/>
  <c r="O40" i="12"/>
  <c r="P40" i="12" s="1"/>
  <c r="AX53" i="7"/>
  <c r="AM53" i="7" s="1"/>
  <c r="AX50" i="7"/>
  <c r="AM50" i="7" s="1"/>
  <c r="AX37" i="7"/>
  <c r="AM37" i="7" s="1"/>
  <c r="R40" i="12"/>
  <c r="S40" i="12" s="1"/>
  <c r="AX44" i="7"/>
  <c r="AM44" i="7" s="1"/>
  <c r="AX52" i="7"/>
  <c r="AM52" i="7" s="1"/>
  <c r="BF48" i="7"/>
  <c r="AL48" i="7"/>
  <c r="BG48" i="7" s="1"/>
  <c r="BF50" i="7"/>
  <c r="AL50" i="7"/>
  <c r="BG50" i="7" s="1"/>
  <c r="I16" i="11"/>
  <c r="AB16" i="3"/>
  <c r="R16" i="3"/>
  <c r="BF46" i="7"/>
  <c r="AM46" i="7"/>
  <c r="AL46" i="7"/>
  <c r="BG46" i="7" s="1"/>
  <c r="BF58" i="7"/>
  <c r="AL58" i="7"/>
  <c r="BG58" i="7" s="1"/>
  <c r="AE42" i="7"/>
  <c r="AG42" i="7"/>
  <c r="O42" i="3"/>
  <c r="BF19" i="7"/>
  <c r="AL19" i="7"/>
  <c r="BG19" i="7" s="1"/>
  <c r="AX43" i="7"/>
  <c r="AM43" i="7" s="1"/>
  <c r="AB15" i="3"/>
  <c r="I15" i="11"/>
  <c r="R15" i="3"/>
  <c r="AX27" i="7"/>
  <c r="AM27" i="7" s="1"/>
  <c r="BF44" i="7"/>
  <c r="AL44" i="7"/>
  <c r="BG44" i="7" s="1"/>
  <c r="AX18" i="7"/>
  <c r="AM18" i="7" s="1"/>
  <c r="BF56" i="7"/>
  <c r="AL56" i="7"/>
  <c r="BG56" i="7" s="1"/>
  <c r="BF33" i="7"/>
  <c r="AL33" i="7"/>
  <c r="BG33" i="7" s="1"/>
  <c r="BF26" i="7"/>
  <c r="AL26" i="7"/>
  <c r="BG26" i="7" s="1"/>
  <c r="BF40" i="7"/>
  <c r="AL40" i="7"/>
  <c r="BG40" i="7" s="1"/>
  <c r="BF61" i="7"/>
  <c r="AL61" i="7"/>
  <c r="BG61" i="7" s="1"/>
  <c r="AB14" i="3"/>
  <c r="R14" i="3"/>
  <c r="I14" i="11"/>
  <c r="R14" i="11" s="1"/>
  <c r="BF28" i="7"/>
  <c r="AL28" i="7"/>
  <c r="BG28" i="7" s="1"/>
  <c r="AB44" i="3"/>
  <c r="I44" i="11"/>
  <c r="R44" i="11" s="1"/>
  <c r="R44" i="3"/>
  <c r="T14" i="12"/>
  <c r="U14" i="12" s="1"/>
  <c r="V14" i="12" s="1"/>
  <c r="BF37" i="7"/>
  <c r="AL37" i="7"/>
  <c r="BG37" i="7" s="1"/>
  <c r="AE18" i="7"/>
  <c r="AG18" i="7"/>
  <c r="O18" i="3"/>
  <c r="BF43" i="7"/>
  <c r="AL43" i="7"/>
  <c r="BG43" i="7" s="1"/>
  <c r="AX57" i="7"/>
  <c r="AM57" i="7" s="1"/>
  <c r="AG54" i="7"/>
  <c r="AE54" i="7"/>
  <c r="O54" i="3"/>
  <c r="BF47" i="7"/>
  <c r="AL47" i="7"/>
  <c r="BG47" i="7" s="1"/>
  <c r="BF63" i="7"/>
  <c r="AL63" i="7"/>
  <c r="BG63" i="7" s="1"/>
  <c r="AX45" i="7"/>
  <c r="AM45" i="7" s="1"/>
  <c r="AB22" i="3"/>
  <c r="I22" i="11"/>
  <c r="R22" i="3"/>
  <c r="AE48" i="7"/>
  <c r="AG48" i="7"/>
  <c r="O48" i="3"/>
  <c r="AX49" i="7"/>
  <c r="AM49" i="7" s="1"/>
  <c r="AE25" i="7"/>
  <c r="AG25" i="7"/>
  <c r="O25" i="3"/>
  <c r="BF38" i="7"/>
  <c r="AL38" i="7"/>
  <c r="BG38" i="7" s="1"/>
  <c r="I58" i="11"/>
  <c r="R58" i="11" s="1"/>
  <c r="AB58" i="3"/>
  <c r="R58" i="3"/>
  <c r="AB43" i="3"/>
  <c r="I43" i="11"/>
  <c r="R43" i="11" s="1"/>
  <c r="R43" i="3"/>
  <c r="AG24" i="7"/>
  <c r="O24" i="3"/>
  <c r="AE24" i="7"/>
  <c r="R47" i="12"/>
  <c r="S47" i="12" s="1"/>
  <c r="BF62" i="7"/>
  <c r="AL62" i="7"/>
  <c r="BG62" i="7" s="1"/>
  <c r="T34" i="12"/>
  <c r="BF29" i="7"/>
  <c r="AL29" i="7"/>
  <c r="BG29" i="7" s="1"/>
  <c r="AX13" i="7"/>
  <c r="AM13" i="7" s="1"/>
  <c r="R75" i="12"/>
  <c r="S75" i="12" s="1"/>
  <c r="BF36" i="7"/>
  <c r="AL36" i="7"/>
  <c r="BG36" i="7" s="1"/>
  <c r="AX23" i="7"/>
  <c r="AM23" i="7" s="1"/>
  <c r="AX51" i="7"/>
  <c r="AM51" i="7" s="1"/>
  <c r="O47" i="12"/>
  <c r="P47" i="12" s="1"/>
  <c r="BF49" i="7"/>
  <c r="AL49" i="7"/>
  <c r="BG49" i="7" s="1"/>
  <c r="AB66" i="3"/>
  <c r="I66" i="11"/>
  <c r="R66" i="11" s="1"/>
  <c r="R66" i="3"/>
  <c r="BF21" i="7"/>
  <c r="AM21" i="7"/>
  <c r="AL21" i="7"/>
  <c r="BG21" i="7" s="1"/>
  <c r="BF51" i="7"/>
  <c r="AL51" i="7"/>
  <c r="BG51" i="7" s="1"/>
  <c r="BF14" i="7"/>
  <c r="AL14" i="7"/>
  <c r="BG14" i="7" s="1"/>
  <c r="R65" i="3"/>
  <c r="AB65" i="3"/>
  <c r="I65" i="11"/>
  <c r="R65" i="11" s="1"/>
  <c r="BF45" i="7"/>
  <c r="AL45" i="7"/>
  <c r="BG45" i="7" s="1"/>
  <c r="L27" i="12"/>
  <c r="M27" i="12" s="1"/>
  <c r="AX38" i="7"/>
  <c r="AM38" i="7" s="1"/>
  <c r="AG57" i="7"/>
  <c r="AE57" i="7"/>
  <c r="O57" i="3"/>
  <c r="AG19" i="7"/>
  <c r="AE19" i="7"/>
  <c r="O19" i="3"/>
  <c r="AE13" i="7"/>
  <c r="O13" i="3"/>
  <c r="AG13" i="7"/>
  <c r="BF13" i="7"/>
  <c r="AL13" i="7"/>
  <c r="BG13" i="7" s="1"/>
  <c r="AX41" i="7"/>
  <c r="AM41" i="7" s="1"/>
  <c r="BF18" i="7"/>
  <c r="AL18" i="7"/>
  <c r="BG18" i="7" s="1"/>
  <c r="AX34" i="7"/>
  <c r="AM34" i="7" s="1"/>
  <c r="AG32" i="7"/>
  <c r="AE32" i="7"/>
  <c r="O32" i="3"/>
  <c r="AX58" i="7"/>
  <c r="AM58" i="7" s="1"/>
  <c r="BF55" i="7"/>
  <c r="AL55" i="7"/>
  <c r="BG55" i="7" s="1"/>
  <c r="AG59" i="7"/>
  <c r="O59" i="3"/>
  <c r="AE59" i="7"/>
  <c r="BF30" i="7"/>
  <c r="AL30" i="7"/>
  <c r="BG30" i="7" s="1"/>
  <c r="AX54" i="7"/>
  <c r="AM54" i="7" s="1"/>
  <c r="T19" i="12"/>
  <c r="I30" i="11"/>
  <c r="R30" i="3"/>
  <c r="AG33" i="7"/>
  <c r="AE33" i="7"/>
  <c r="O33" i="3"/>
  <c r="T62" i="12"/>
  <c r="BF35" i="7"/>
  <c r="AL35" i="7"/>
  <c r="BG35" i="7" s="1"/>
  <c r="BF53" i="7"/>
  <c r="AL53" i="7"/>
  <c r="BG53" i="7" s="1"/>
  <c r="AX47" i="7"/>
  <c r="AM47" i="7" s="1"/>
  <c r="AX61" i="7"/>
  <c r="AM61" i="7" s="1"/>
  <c r="BF39" i="7"/>
  <c r="AL39" i="7"/>
  <c r="BG39" i="7" s="1"/>
  <c r="AG56" i="7"/>
  <c r="AE56" i="7"/>
  <c r="O56" i="3"/>
  <c r="AE29" i="7"/>
  <c r="AG29" i="7"/>
  <c r="O29" i="3"/>
  <c r="O54" i="12"/>
  <c r="P54" i="12" s="1"/>
  <c r="AE27" i="7"/>
  <c r="AG27" i="7"/>
  <c r="O27" i="3"/>
  <c r="AG37" i="7"/>
  <c r="AE37" i="7"/>
  <c r="O37" i="3"/>
  <c r="BF32" i="7"/>
  <c r="AL32" i="7"/>
  <c r="BG32" i="7" s="1"/>
  <c r="AE36" i="7"/>
  <c r="AG36" i="7"/>
  <c r="O36" i="3"/>
  <c r="AE55" i="7"/>
  <c r="AG55" i="7"/>
  <c r="O55" i="3"/>
  <c r="BF54" i="7"/>
  <c r="AL54" i="7"/>
  <c r="BG54" i="7" s="1"/>
  <c r="AG47" i="7"/>
  <c r="AE47" i="7"/>
  <c r="O47" i="3"/>
  <c r="BF59" i="7"/>
  <c r="AL59" i="7"/>
  <c r="BG59" i="7" s="1"/>
  <c r="BF20" i="7"/>
  <c r="AL20" i="7"/>
  <c r="BG20" i="7" s="1"/>
  <c r="BF31" i="7"/>
  <c r="AL31" i="7"/>
  <c r="BG31" i="7" s="1"/>
  <c r="AG41" i="7"/>
  <c r="AE41" i="7"/>
  <c r="O41" i="3"/>
  <c r="AE61" i="7"/>
  <c r="O61" i="3"/>
  <c r="AG61" i="7"/>
  <c r="AE64" i="7"/>
  <c r="AG64" i="7"/>
  <c r="O64" i="3"/>
  <c r="O75" i="12"/>
  <c r="P75" i="12" s="1"/>
  <c r="BF25" i="7"/>
  <c r="AL25" i="7"/>
  <c r="BG25" i="7" s="1"/>
  <c r="AG38" i="7"/>
  <c r="AE38" i="7"/>
  <c r="O38" i="3"/>
  <c r="AX39" i="7"/>
  <c r="AM39" i="7" s="1"/>
  <c r="AE26" i="7"/>
  <c r="AG26" i="7"/>
  <c r="O26" i="3"/>
  <c r="AE23" i="7"/>
  <c r="AG23" i="7"/>
  <c r="O23" i="3"/>
  <c r="BF17" i="7"/>
  <c r="AL17" i="7"/>
  <c r="BG17" i="7" s="1"/>
  <c r="BF42" i="7"/>
  <c r="AL42" i="7"/>
  <c r="BG42" i="7" s="1"/>
  <c r="O68" i="12"/>
  <c r="P68" i="12" s="1"/>
  <c r="AE21" i="7"/>
  <c r="AG21" i="7"/>
  <c r="O21" i="3"/>
  <c r="AX63" i="7"/>
  <c r="AM63" i="7" s="1"/>
  <c r="BF57" i="7"/>
  <c r="AL57" i="7"/>
  <c r="BG57" i="7" s="1"/>
  <c r="BF60" i="7"/>
  <c r="AL60" i="7"/>
  <c r="BG60" i="7" s="1"/>
  <c r="BF24" i="7"/>
  <c r="AL24" i="7"/>
  <c r="BG24" i="7" s="1"/>
  <c r="BF52" i="7"/>
  <c r="AL52" i="7"/>
  <c r="BG52" i="7" s="1"/>
  <c r="BF64" i="7"/>
  <c r="AL64" i="7"/>
  <c r="BG64" i="7" s="1"/>
  <c r="AX17" i="7"/>
  <c r="AM17" i="7" s="1"/>
  <c r="BF23" i="7"/>
  <c r="AL23" i="7"/>
  <c r="BG23" i="7" s="1"/>
  <c r="AE28" i="7"/>
  <c r="AG28" i="7"/>
  <c r="O28" i="3"/>
  <c r="AX19" i="7"/>
  <c r="AM19" i="7" s="1"/>
  <c r="AX33" i="7"/>
  <c r="AM33" i="7" s="1"/>
  <c r="O61" i="12"/>
  <c r="P61" i="12" s="1"/>
  <c r="AX60" i="7"/>
  <c r="AM60" i="7" s="1"/>
  <c r="AE39" i="7"/>
  <c r="O39" i="3"/>
  <c r="AG39" i="7"/>
  <c r="AE49" i="7"/>
  <c r="O49" i="3"/>
  <c r="AG49" i="7"/>
  <c r="AG46" i="7"/>
  <c r="AE46" i="7"/>
  <c r="O46" i="3"/>
  <c r="AX42" i="7"/>
  <c r="AM42" i="7" s="1"/>
  <c r="BF27" i="7"/>
  <c r="AL27" i="7"/>
  <c r="BG27" i="7" s="1"/>
  <c r="AE62" i="7"/>
  <c r="O62" i="3"/>
  <c r="AG62" i="7"/>
  <c r="AX20" i="7"/>
  <c r="AM20" i="7" s="1"/>
  <c r="AG34" i="7"/>
  <c r="AE34" i="7"/>
  <c r="O34" i="3"/>
  <c r="BF34" i="7"/>
  <c r="AL34" i="7"/>
  <c r="BG34" i="7" s="1"/>
  <c r="R27" i="12"/>
  <c r="S27" i="12" s="1"/>
  <c r="AE50" i="7"/>
  <c r="AG50" i="7"/>
  <c r="O50" i="3"/>
  <c r="L61" i="12"/>
  <c r="M61" i="12" s="1"/>
  <c r="L75" i="12"/>
  <c r="M75" i="12" s="1"/>
  <c r="AE20" i="7"/>
  <c r="AG20" i="7"/>
  <c r="O20" i="3"/>
  <c r="R54" i="12"/>
  <c r="S54" i="12" s="1"/>
  <c r="AG17" i="7"/>
  <c r="AE17" i="7"/>
  <c r="O17" i="3"/>
  <c r="AG31" i="7"/>
  <c r="O31" i="3"/>
  <c r="AE31" i="7"/>
  <c r="L54" i="12"/>
  <c r="M54" i="12" s="1"/>
  <c r="BF41" i="7"/>
  <c r="AL41" i="7"/>
  <c r="BG41" i="7" s="1"/>
  <c r="AX55" i="7"/>
  <c r="AM55" i="7" s="1"/>
  <c r="AE52" i="7"/>
  <c r="AG52" i="7"/>
  <c r="O52" i="3"/>
  <c r="AX64" i="7"/>
  <c r="AM64" i="7" s="1"/>
  <c r="AX59" i="7"/>
  <c r="AM59" i="7" s="1"/>
  <c r="L30" i="12"/>
  <c r="M30" i="12" s="1"/>
  <c r="W20" i="12" l="1"/>
  <c r="X21" i="12" s="1"/>
  <c r="Y21" i="12" s="1"/>
  <c r="T44" i="12"/>
  <c r="W74" i="12"/>
  <c r="X18" i="12"/>
  <c r="Y18" i="12" s="1"/>
  <c r="X17" i="12"/>
  <c r="Y17" i="12" s="1"/>
  <c r="R63" i="11"/>
  <c r="T63" i="11" s="1"/>
  <c r="U63" i="11" s="1"/>
  <c r="W73" i="12"/>
  <c r="U21" i="12"/>
  <c r="V21" i="12" s="1"/>
  <c r="W38" i="12"/>
  <c r="W48" i="12"/>
  <c r="X54" i="12" s="1"/>
  <c r="Y54" i="12" s="1"/>
  <c r="T41" i="12"/>
  <c r="T52" i="12"/>
  <c r="R30" i="11"/>
  <c r="AC35" i="12" s="1"/>
  <c r="W71" i="12"/>
  <c r="U54" i="12"/>
  <c r="V54" i="12" s="1"/>
  <c r="W58" i="12"/>
  <c r="T42" i="12"/>
  <c r="W42" i="12"/>
  <c r="X47" i="12" s="1"/>
  <c r="T29" i="12"/>
  <c r="U30" i="12" s="1"/>
  <c r="V30" i="12" s="1"/>
  <c r="W29" i="12"/>
  <c r="X30" i="12" s="1"/>
  <c r="Y30" i="12" s="1"/>
  <c r="T25" i="12"/>
  <c r="U27" i="12" s="1"/>
  <c r="V27" i="12" s="1"/>
  <c r="W25" i="12"/>
  <c r="X27" i="12" s="1"/>
  <c r="Y27" i="12" s="1"/>
  <c r="T60" i="12"/>
  <c r="W60" i="12"/>
  <c r="T23" i="12"/>
  <c r="W23" i="12"/>
  <c r="T63" i="12"/>
  <c r="U68" i="12" s="1"/>
  <c r="V68" i="12" s="1"/>
  <c r="W63" i="12"/>
  <c r="X68" i="12" s="1"/>
  <c r="T31" i="12"/>
  <c r="U33" i="12" s="1"/>
  <c r="V33" i="12" s="1"/>
  <c r="W31" i="12"/>
  <c r="X33" i="12" s="1"/>
  <c r="Y33" i="12" s="1"/>
  <c r="T13" i="12"/>
  <c r="U13" i="12" s="1"/>
  <c r="V13" i="12" s="1"/>
  <c r="W13" i="12"/>
  <c r="T43" i="12"/>
  <c r="W43" i="12"/>
  <c r="T72" i="12"/>
  <c r="U75" i="12" s="1"/>
  <c r="V75" i="12" s="1"/>
  <c r="W72" i="12"/>
  <c r="T55" i="12"/>
  <c r="U61" i="12" s="1"/>
  <c r="V61" i="12" s="1"/>
  <c r="W55" i="12"/>
  <c r="T35" i="12"/>
  <c r="U40" i="12" s="1"/>
  <c r="V40" i="12" s="1"/>
  <c r="W35" i="12"/>
  <c r="X40" i="12" s="1"/>
  <c r="Y40" i="12" s="1"/>
  <c r="R22" i="11"/>
  <c r="AC23" i="12" s="1"/>
  <c r="R40" i="3"/>
  <c r="I40" i="11"/>
  <c r="R40" i="11" s="1"/>
  <c r="AC46" i="12" s="1"/>
  <c r="R35" i="3"/>
  <c r="I51" i="11"/>
  <c r="R51" i="11" s="1"/>
  <c r="T51" i="11" s="1"/>
  <c r="U51" i="11" s="1"/>
  <c r="AB35" i="3"/>
  <c r="R60" i="3"/>
  <c r="AB45" i="3"/>
  <c r="AB51" i="3"/>
  <c r="AB63" i="3"/>
  <c r="R63" i="3"/>
  <c r="I45" i="11"/>
  <c r="R45" i="11" s="1"/>
  <c r="AC52" i="12" s="1"/>
  <c r="I53" i="11"/>
  <c r="R53" i="11" s="1"/>
  <c r="R45" i="3"/>
  <c r="R53" i="3"/>
  <c r="I60" i="11"/>
  <c r="R60" i="11" s="1"/>
  <c r="AC70" i="12" s="1"/>
  <c r="AB60" i="3"/>
  <c r="AB52" i="3"/>
  <c r="R52" i="3"/>
  <c r="I52" i="11"/>
  <c r="R52" i="11" s="1"/>
  <c r="AB37" i="3"/>
  <c r="I37" i="11"/>
  <c r="R37" i="11" s="1"/>
  <c r="R37" i="3"/>
  <c r="AB32" i="3"/>
  <c r="R32" i="3"/>
  <c r="I32" i="11"/>
  <c r="R32" i="11" s="1"/>
  <c r="AC37" i="12" s="1"/>
  <c r="T66" i="11"/>
  <c r="U66" i="11" s="1"/>
  <c r="AC77" i="12"/>
  <c r="AD77" i="12" s="1"/>
  <c r="AC67" i="12"/>
  <c r="T58" i="11"/>
  <c r="U58" i="11" s="1"/>
  <c r="R15" i="11"/>
  <c r="AB42" i="3"/>
  <c r="I42" i="11"/>
  <c r="R42" i="11" s="1"/>
  <c r="AC49" i="12" s="1"/>
  <c r="R42" i="3"/>
  <c r="R50" i="3"/>
  <c r="AB50" i="3"/>
  <c r="I50" i="11"/>
  <c r="R50" i="11" s="1"/>
  <c r="AB62" i="3"/>
  <c r="R62" i="3"/>
  <c r="I62" i="11"/>
  <c r="R62" i="11" s="1"/>
  <c r="R49" i="3"/>
  <c r="I49" i="11"/>
  <c r="R49" i="11" s="1"/>
  <c r="AB49" i="3"/>
  <c r="AB41" i="3"/>
  <c r="I41" i="11"/>
  <c r="R41" i="11" s="1"/>
  <c r="AC48" i="12" s="1"/>
  <c r="R41" i="3"/>
  <c r="AB19" i="3"/>
  <c r="R19" i="3"/>
  <c r="I19" i="11"/>
  <c r="AB57" i="3"/>
  <c r="I57" i="11"/>
  <c r="R57" i="11" s="1"/>
  <c r="R57" i="3"/>
  <c r="AC76" i="12"/>
  <c r="AD76" i="12" s="1"/>
  <c r="T65" i="11"/>
  <c r="U65" i="11" s="1"/>
  <c r="I24" i="11"/>
  <c r="R24" i="11" s="1"/>
  <c r="AC26" i="12" s="1"/>
  <c r="AB24" i="3"/>
  <c r="R24" i="3"/>
  <c r="AC73" i="12"/>
  <c r="R25" i="3"/>
  <c r="I25" i="11"/>
  <c r="R25" i="11" s="1"/>
  <c r="AB25" i="3"/>
  <c r="AE44" i="3"/>
  <c r="Y44" i="3"/>
  <c r="T14" i="11"/>
  <c r="U14" i="11" s="1"/>
  <c r="AC14" i="12"/>
  <c r="R16" i="11"/>
  <c r="AB17" i="3"/>
  <c r="R17" i="3"/>
  <c r="I17" i="11"/>
  <c r="R17" i="11" s="1"/>
  <c r="AC17" i="12" s="1"/>
  <c r="AD17" i="12" s="1"/>
  <c r="AB39" i="3"/>
  <c r="I39" i="11"/>
  <c r="R39" i="11" s="1"/>
  <c r="R39" i="3"/>
  <c r="I28" i="11"/>
  <c r="R28" i="11" s="1"/>
  <c r="AC32" i="12" s="1"/>
  <c r="AB28" i="3"/>
  <c r="R28" i="3"/>
  <c r="AB64" i="3"/>
  <c r="I64" i="11"/>
  <c r="R64" i="11" s="1"/>
  <c r="R64" i="3"/>
  <c r="I27" i="11"/>
  <c r="R27" i="11" s="1"/>
  <c r="AC31" i="12" s="1"/>
  <c r="AD33" i="12" s="1"/>
  <c r="AB27" i="3"/>
  <c r="R27" i="3"/>
  <c r="I29" i="11"/>
  <c r="R29" i="11" s="1"/>
  <c r="AC34" i="12" s="1"/>
  <c r="AB29" i="3"/>
  <c r="R29" i="3"/>
  <c r="I56" i="11"/>
  <c r="R56" i="11" s="1"/>
  <c r="AB56" i="3"/>
  <c r="R56" i="3"/>
  <c r="AE30" i="3"/>
  <c r="Y30" i="3"/>
  <c r="AB59" i="3"/>
  <c r="R59" i="3"/>
  <c r="I59" i="11"/>
  <c r="R59" i="11" s="1"/>
  <c r="AE43" i="3"/>
  <c r="Y43" i="3"/>
  <c r="AE58" i="3"/>
  <c r="Y58" i="3"/>
  <c r="AB48" i="3"/>
  <c r="I48" i="11"/>
  <c r="R48" i="11" s="1"/>
  <c r="R48" i="3"/>
  <c r="AC51" i="12"/>
  <c r="T44" i="11"/>
  <c r="U44" i="11" s="1"/>
  <c r="AE14" i="3"/>
  <c r="Y14" i="3"/>
  <c r="Y51" i="3"/>
  <c r="AE51" i="3"/>
  <c r="AB21" i="3"/>
  <c r="R21" i="3"/>
  <c r="I21" i="11"/>
  <c r="R21" i="11" s="1"/>
  <c r="AC22" i="12" s="1"/>
  <c r="AD24" i="12" s="1"/>
  <c r="AE24" i="12" s="1"/>
  <c r="AB23" i="3"/>
  <c r="I23" i="11"/>
  <c r="R23" i="11" s="1"/>
  <c r="AC25" i="12" s="1"/>
  <c r="R23" i="3"/>
  <c r="AB38" i="3"/>
  <c r="I38" i="11"/>
  <c r="R38" i="11" s="1"/>
  <c r="R38" i="3"/>
  <c r="R55" i="3"/>
  <c r="AB55" i="3"/>
  <c r="I55" i="11"/>
  <c r="R55" i="11" s="1"/>
  <c r="I36" i="11"/>
  <c r="R36" i="11" s="1"/>
  <c r="AB36" i="3"/>
  <c r="R36" i="3"/>
  <c r="AB54" i="3"/>
  <c r="I54" i="11"/>
  <c r="R54" i="11" s="1"/>
  <c r="R54" i="3"/>
  <c r="AB46" i="3"/>
  <c r="R46" i="3"/>
  <c r="I46" i="11"/>
  <c r="R46" i="11" s="1"/>
  <c r="AB31" i="3"/>
  <c r="I31" i="11"/>
  <c r="R31" i="11" s="1"/>
  <c r="AC36" i="12" s="1"/>
  <c r="R31" i="3"/>
  <c r="I20" i="11"/>
  <c r="R20" i="11" s="1"/>
  <c r="AC20" i="12" s="1"/>
  <c r="R20" i="3"/>
  <c r="AB20" i="3"/>
  <c r="AB34" i="3"/>
  <c r="I34" i="11"/>
  <c r="R34" i="11" s="1"/>
  <c r="AC39" i="12" s="1"/>
  <c r="R34" i="3"/>
  <c r="R35" i="11"/>
  <c r="AB26" i="3"/>
  <c r="I26" i="11"/>
  <c r="R26" i="11" s="1"/>
  <c r="R26" i="3"/>
  <c r="AB61" i="3"/>
  <c r="I61" i="11"/>
  <c r="R61" i="11" s="1"/>
  <c r="R61" i="3"/>
  <c r="I47" i="11"/>
  <c r="R47" i="11" s="1"/>
  <c r="AB47" i="3"/>
  <c r="R47" i="3"/>
  <c r="AB33" i="3"/>
  <c r="I33" i="11"/>
  <c r="R33" i="11" s="1"/>
  <c r="AC38" i="12" s="1"/>
  <c r="R33" i="3"/>
  <c r="AB13" i="3"/>
  <c r="R13" i="3"/>
  <c r="I13" i="11"/>
  <c r="R13" i="11" s="1"/>
  <c r="Y65" i="3"/>
  <c r="AE65" i="3"/>
  <c r="AE66" i="3"/>
  <c r="AG66" i="3" s="1"/>
  <c r="Y66" i="3"/>
  <c r="AC50" i="12"/>
  <c r="T43" i="11"/>
  <c r="U43" i="11" s="1"/>
  <c r="AE22" i="3"/>
  <c r="Y22" i="3"/>
  <c r="AB18" i="3"/>
  <c r="I18" i="11"/>
  <c r="R18" i="11" s="1"/>
  <c r="AC18" i="12" s="1"/>
  <c r="AD18" i="12" s="1"/>
  <c r="R18" i="3"/>
  <c r="AE15" i="3"/>
  <c r="Y15" i="3"/>
  <c r="AE16" i="3"/>
  <c r="Y16" i="3"/>
  <c r="Y68" i="12" l="1"/>
  <c r="Y47" i="12"/>
  <c r="AE18" i="12"/>
  <c r="K18" i="1"/>
  <c r="X13" i="12"/>
  <c r="Y13" i="12" s="1"/>
  <c r="AE33" i="12"/>
  <c r="K27" i="1"/>
  <c r="AE17" i="12"/>
  <c r="K17" i="1"/>
  <c r="S51" i="3"/>
  <c r="X61" i="12"/>
  <c r="Y61" i="12" s="1"/>
  <c r="AC65" i="3"/>
  <c r="S65" i="3"/>
  <c r="AC58" i="3"/>
  <c r="AD58" i="3" s="1"/>
  <c r="S58" i="3"/>
  <c r="AC22" i="3"/>
  <c r="AD22" i="3" s="1"/>
  <c r="S22" i="3"/>
  <c r="AC66" i="3"/>
  <c r="S66" i="3"/>
  <c r="AC15" i="3"/>
  <c r="AD15" i="3" s="1"/>
  <c r="S15" i="3"/>
  <c r="AC44" i="3"/>
  <c r="AD44" i="3" s="1"/>
  <c r="S44" i="3"/>
  <c r="AC16" i="3"/>
  <c r="AD16" i="3" s="1"/>
  <c r="S16" i="3"/>
  <c r="AC14" i="3"/>
  <c r="AD14" i="3" s="1"/>
  <c r="S14" i="3"/>
  <c r="AC43" i="3"/>
  <c r="AD43" i="3" s="1"/>
  <c r="S43" i="3"/>
  <c r="AC30" i="3"/>
  <c r="AD30" i="3" s="1"/>
  <c r="S30" i="3"/>
  <c r="U47" i="12"/>
  <c r="V47" i="12" s="1"/>
  <c r="AD40" i="12"/>
  <c r="X75" i="12"/>
  <c r="Y75" i="12" s="1"/>
  <c r="AC59" i="12"/>
  <c r="AD14" i="12"/>
  <c r="AE40" i="3"/>
  <c r="AG40" i="3" s="1"/>
  <c r="Y40" i="3"/>
  <c r="Y35" i="3"/>
  <c r="AE35" i="3"/>
  <c r="AG35" i="3" s="1"/>
  <c r="Y63" i="3"/>
  <c r="S63" i="3" s="1"/>
  <c r="AE60" i="3"/>
  <c r="Y60" i="3"/>
  <c r="AC51" i="3"/>
  <c r="AD51" i="3" s="1"/>
  <c r="AE63" i="3"/>
  <c r="T45" i="11"/>
  <c r="U45" i="11" s="1"/>
  <c r="AE45" i="3"/>
  <c r="AG45" i="3" s="1"/>
  <c r="Y53" i="3"/>
  <c r="Y45" i="3"/>
  <c r="AE53" i="3"/>
  <c r="T60" i="11"/>
  <c r="U60" i="11" s="1"/>
  <c r="Y13" i="3"/>
  <c r="AE13" i="3"/>
  <c r="AC55" i="12"/>
  <c r="T47" i="11"/>
  <c r="U47" i="11" s="1"/>
  <c r="AE31" i="3"/>
  <c r="Y31" i="3"/>
  <c r="AC63" i="12"/>
  <c r="T54" i="11"/>
  <c r="U54" i="11" s="1"/>
  <c r="AC64" i="12"/>
  <c r="T55" i="11"/>
  <c r="U55" i="11" s="1"/>
  <c r="AC44" i="12"/>
  <c r="AE21" i="3"/>
  <c r="Y21" i="3"/>
  <c r="AE59" i="3"/>
  <c r="Y59" i="3"/>
  <c r="AE56" i="3"/>
  <c r="Y56" i="3"/>
  <c r="AG44" i="3"/>
  <c r="AC28" i="12"/>
  <c r="AE24" i="3"/>
  <c r="Y24" i="3"/>
  <c r="AC66" i="12"/>
  <c r="T57" i="11"/>
  <c r="U57" i="11" s="1"/>
  <c r="AE41" i="3"/>
  <c r="Y41" i="3"/>
  <c r="AE49" i="3"/>
  <c r="Y49" i="3"/>
  <c r="AC58" i="12"/>
  <c r="T50" i="11"/>
  <c r="U50" i="11" s="1"/>
  <c r="AE37" i="3"/>
  <c r="Y37" i="3"/>
  <c r="AG16" i="3"/>
  <c r="AC71" i="12"/>
  <c r="T61" i="11"/>
  <c r="U61" i="11" s="1"/>
  <c r="AC29" i="12"/>
  <c r="AC41" i="12"/>
  <c r="AE20" i="3"/>
  <c r="Y20" i="3"/>
  <c r="AC53" i="12"/>
  <c r="T46" i="11"/>
  <c r="U46" i="11" s="1"/>
  <c r="AE36" i="3"/>
  <c r="Y36" i="3"/>
  <c r="AG14" i="3"/>
  <c r="AG43" i="3"/>
  <c r="AG30" i="3"/>
  <c r="AE64" i="3"/>
  <c r="Y64" i="3"/>
  <c r="AE39" i="3"/>
  <c r="Y39" i="3"/>
  <c r="AC16" i="12"/>
  <c r="AD16" i="12" s="1"/>
  <c r="K16" i="1" s="1"/>
  <c r="T16" i="11"/>
  <c r="U16" i="11" s="1"/>
  <c r="Y25" i="3"/>
  <c r="AE25" i="3"/>
  <c r="AD54" i="12"/>
  <c r="AC72" i="12"/>
  <c r="T62" i="11"/>
  <c r="U62" i="11" s="1"/>
  <c r="AE42" i="3"/>
  <c r="Y42" i="3"/>
  <c r="AC43" i="12"/>
  <c r="AC60" i="12"/>
  <c r="T52" i="11"/>
  <c r="U52" i="11" s="1"/>
  <c r="AE18" i="3"/>
  <c r="Y18" i="3"/>
  <c r="AG65" i="3"/>
  <c r="AC62" i="12"/>
  <c r="T53" i="11"/>
  <c r="U53" i="11" s="1"/>
  <c r="Y47" i="3"/>
  <c r="AE47" i="3"/>
  <c r="AE46" i="3"/>
  <c r="Y46" i="3"/>
  <c r="AE55" i="3"/>
  <c r="Y55" i="3"/>
  <c r="AE23" i="3"/>
  <c r="Y23" i="3"/>
  <c r="AE48" i="3"/>
  <c r="Y48" i="3"/>
  <c r="AC69" i="12"/>
  <c r="T59" i="11"/>
  <c r="U59" i="11" s="1"/>
  <c r="AC65" i="12"/>
  <c r="T56" i="11"/>
  <c r="U56" i="11" s="1"/>
  <c r="Y27" i="3"/>
  <c r="AE27" i="3"/>
  <c r="T64" i="11"/>
  <c r="U64" i="11" s="1"/>
  <c r="AC74" i="12"/>
  <c r="AE28" i="3"/>
  <c r="Y28" i="3"/>
  <c r="AC45" i="12"/>
  <c r="AE17" i="3"/>
  <c r="Y17" i="3"/>
  <c r="R19" i="11"/>
  <c r="AC19" i="12" s="1"/>
  <c r="AD21" i="12" s="1"/>
  <c r="Y62" i="3"/>
  <c r="AE62" i="3"/>
  <c r="Y50" i="3"/>
  <c r="AE50" i="3"/>
  <c r="AC15" i="12"/>
  <c r="AD15" i="12" s="1"/>
  <c r="K15" i="1" s="1"/>
  <c r="T15" i="11"/>
  <c r="U15" i="11" s="1"/>
  <c r="AE32" i="3"/>
  <c r="Y32" i="3"/>
  <c r="AE52" i="3"/>
  <c r="Y52" i="3"/>
  <c r="AG15" i="3"/>
  <c r="AG22" i="3"/>
  <c r="AC13" i="12"/>
  <c r="AD13" i="12" s="1"/>
  <c r="T13" i="11"/>
  <c r="U13" i="11" s="1"/>
  <c r="AE33" i="3"/>
  <c r="Y33" i="3"/>
  <c r="AE61" i="3"/>
  <c r="Y61" i="3"/>
  <c r="AE26" i="3"/>
  <c r="Y26" i="3"/>
  <c r="Y34" i="3"/>
  <c r="AE34" i="3"/>
  <c r="AE54" i="3"/>
  <c r="Y54" i="3"/>
  <c r="AC42" i="12"/>
  <c r="AE38" i="3"/>
  <c r="Y38" i="3"/>
  <c r="AD27" i="12"/>
  <c r="AG51" i="3"/>
  <c r="AC56" i="12"/>
  <c r="T48" i="11"/>
  <c r="U48" i="11" s="1"/>
  <c r="AG58" i="3"/>
  <c r="AE29" i="3"/>
  <c r="Y29" i="3"/>
  <c r="Y57" i="3"/>
  <c r="AE57" i="3"/>
  <c r="AE19" i="3"/>
  <c r="Y19" i="3"/>
  <c r="AC57" i="12"/>
  <c r="T49" i="11"/>
  <c r="U49" i="11" s="1"/>
  <c r="AD66" i="3" l="1"/>
  <c r="AD65" i="3"/>
  <c r="AC63" i="3"/>
  <c r="AE27" i="12"/>
  <c r="K23" i="1"/>
  <c r="AE21" i="12"/>
  <c r="K19" i="1"/>
  <c r="AE54" i="12"/>
  <c r="K41" i="1"/>
  <c r="AE40" i="12"/>
  <c r="K29" i="1"/>
  <c r="AE13" i="12"/>
  <c r="K13" i="1"/>
  <c r="N13" i="1" s="1"/>
  <c r="AE14" i="12"/>
  <c r="K14" i="1"/>
  <c r="N14" i="1" s="1"/>
  <c r="AC19" i="3"/>
  <c r="AD19" i="3" s="1"/>
  <c r="S19" i="3"/>
  <c r="AC38" i="3"/>
  <c r="AD38" i="3" s="1"/>
  <c r="S38" i="3"/>
  <c r="AC26" i="3"/>
  <c r="AD26" i="3" s="1"/>
  <c r="S26" i="3"/>
  <c r="AC33" i="3"/>
  <c r="AD33" i="3" s="1"/>
  <c r="S33" i="3"/>
  <c r="AC32" i="3"/>
  <c r="AD32" i="3" s="1"/>
  <c r="S32" i="3"/>
  <c r="AC27" i="3"/>
  <c r="AD27" i="3" s="1"/>
  <c r="S27" i="3"/>
  <c r="AC39" i="3"/>
  <c r="AD39" i="3" s="1"/>
  <c r="S39" i="3"/>
  <c r="AC41" i="3"/>
  <c r="AD41" i="3" s="1"/>
  <c r="S41" i="3"/>
  <c r="AC56" i="3"/>
  <c r="AD56" i="3" s="1"/>
  <c r="S56" i="3"/>
  <c r="AC59" i="3"/>
  <c r="S59" i="3"/>
  <c r="AC13" i="3"/>
  <c r="AD13" i="3" s="1"/>
  <c r="S13" i="3"/>
  <c r="AC35" i="3"/>
  <c r="AD35" i="3" s="1"/>
  <c r="S35" i="3"/>
  <c r="AC57" i="3"/>
  <c r="AD57" i="3" s="1"/>
  <c r="S57" i="3"/>
  <c r="AC34" i="3"/>
  <c r="AD34" i="3" s="1"/>
  <c r="S34" i="3"/>
  <c r="AC61" i="3"/>
  <c r="S61" i="3"/>
  <c r="AC23" i="3"/>
  <c r="AD23" i="3" s="1"/>
  <c r="S23" i="3"/>
  <c r="AC55" i="3"/>
  <c r="AD55" i="3" s="1"/>
  <c r="S55" i="3"/>
  <c r="AC25" i="3"/>
  <c r="AD25" i="3" s="1"/>
  <c r="S25" i="3"/>
  <c r="AC36" i="3"/>
  <c r="AD36" i="3" s="1"/>
  <c r="S36" i="3"/>
  <c r="AC31" i="3"/>
  <c r="AD31" i="3" s="1"/>
  <c r="S31" i="3"/>
  <c r="AC53" i="3"/>
  <c r="AD53" i="3" s="1"/>
  <c r="S53" i="3"/>
  <c r="AC40" i="3"/>
  <c r="AD40" i="3" s="1"/>
  <c r="S40" i="3"/>
  <c r="AC29" i="3"/>
  <c r="AD29" i="3" s="1"/>
  <c r="S29" i="3"/>
  <c r="AC54" i="3"/>
  <c r="AD54" i="3" s="1"/>
  <c r="S54" i="3"/>
  <c r="AC18" i="3"/>
  <c r="AD18" i="3" s="1"/>
  <c r="S18" i="3"/>
  <c r="AC20" i="3"/>
  <c r="AD20" i="3" s="1"/>
  <c r="S20" i="3"/>
  <c r="AC24" i="3"/>
  <c r="AD24" i="3" s="1"/>
  <c r="S24" i="3"/>
  <c r="AC45" i="3"/>
  <c r="AD45" i="3" s="1"/>
  <c r="S45" i="3"/>
  <c r="AC60" i="3"/>
  <c r="S60" i="3"/>
  <c r="AC62" i="3"/>
  <c r="S62" i="3"/>
  <c r="AC17" i="3"/>
  <c r="AD17" i="3" s="1"/>
  <c r="S17" i="3"/>
  <c r="AC28" i="3"/>
  <c r="AD28" i="3" s="1"/>
  <c r="S28" i="3"/>
  <c r="AC46" i="3"/>
  <c r="AD46" i="3" s="1"/>
  <c r="S46" i="3"/>
  <c r="AC42" i="3"/>
  <c r="AD42" i="3" s="1"/>
  <c r="S42" i="3"/>
  <c r="AC64" i="3"/>
  <c r="S64" i="3"/>
  <c r="AC37" i="3"/>
  <c r="AD37" i="3" s="1"/>
  <c r="S37" i="3"/>
  <c r="AC21" i="3"/>
  <c r="AD21" i="3" s="1"/>
  <c r="S21" i="3"/>
  <c r="AC47" i="3"/>
  <c r="AD47" i="3" s="1"/>
  <c r="S47" i="3"/>
  <c r="AC52" i="3"/>
  <c r="AD52" i="3" s="1"/>
  <c r="S52" i="3"/>
  <c r="AC50" i="3"/>
  <c r="AD50" i="3" s="1"/>
  <c r="S50" i="3"/>
  <c r="AC49" i="3"/>
  <c r="AD49" i="3" s="1"/>
  <c r="S49" i="3"/>
  <c r="AC48" i="3"/>
  <c r="AD48" i="3" s="1"/>
  <c r="S48" i="3"/>
  <c r="AG60" i="3"/>
  <c r="AG63" i="3"/>
  <c r="AG53" i="3"/>
  <c r="AD68" i="12"/>
  <c r="AG59" i="3"/>
  <c r="AG57" i="3"/>
  <c r="AG29" i="3"/>
  <c r="AG34" i="3"/>
  <c r="AG52" i="3"/>
  <c r="AG32" i="3"/>
  <c r="AE15" i="12"/>
  <c r="AD75" i="12"/>
  <c r="AG37" i="3"/>
  <c r="AG41" i="3"/>
  <c r="AG31" i="3"/>
  <c r="AG38" i="3"/>
  <c r="AG62" i="3"/>
  <c r="AG17" i="3"/>
  <c r="AG55" i="3"/>
  <c r="AG47" i="3"/>
  <c r="AG20" i="3"/>
  <c r="AD47" i="12"/>
  <c r="K35" i="1" s="1"/>
  <c r="AG49" i="3"/>
  <c r="AG56" i="3"/>
  <c r="AG21" i="3"/>
  <c r="AD61" i="12"/>
  <c r="AG50" i="3"/>
  <c r="AG27" i="3"/>
  <c r="AG23" i="3"/>
  <c r="AG42" i="3"/>
  <c r="AG25" i="3"/>
  <c r="AG39" i="3"/>
  <c r="AG64" i="3"/>
  <c r="AG13" i="3"/>
  <c r="AG26" i="3"/>
  <c r="AG28" i="3"/>
  <c r="AG48" i="3"/>
  <c r="AG19" i="3"/>
  <c r="AG54" i="3"/>
  <c r="AG61" i="3"/>
  <c r="AG33" i="3"/>
  <c r="AG46" i="3"/>
  <c r="AG18" i="3"/>
  <c r="AE16" i="12"/>
  <c r="AG36" i="3"/>
  <c r="AG24" i="3"/>
  <c r="AD30" i="12"/>
  <c r="AD64" i="3" l="1"/>
  <c r="AD60" i="3"/>
  <c r="AD61" i="3"/>
  <c r="AD62" i="3"/>
  <c r="AD59" i="3"/>
  <c r="AD63" i="3"/>
  <c r="AE30" i="12"/>
  <c r="K25" i="1"/>
  <c r="N15" i="1" s="1"/>
  <c r="AE68" i="12"/>
  <c r="K53" i="1"/>
  <c r="AE61" i="12"/>
  <c r="K47" i="1"/>
  <c r="AE75" i="12"/>
  <c r="K59" i="1"/>
  <c r="N17" i="1" s="1"/>
  <c r="AE47" i="12"/>
  <c r="N16" i="1" l="1"/>
</calcChain>
</file>

<file path=xl/sharedStrings.xml><?xml version="1.0" encoding="utf-8"?>
<sst xmlns="http://schemas.openxmlformats.org/spreadsheetml/2006/main" count="1215" uniqueCount="387">
  <si>
    <t>NW Natural</t>
  </si>
  <si>
    <t>Rates &amp; Regulatory Affairs</t>
  </si>
  <si>
    <t>Schedule</t>
  </si>
  <si>
    <t>Block</t>
  </si>
  <si>
    <t>1R</t>
  </si>
  <si>
    <t>1C</t>
  </si>
  <si>
    <t>Block 1</t>
  </si>
  <si>
    <t>Block 2</t>
  </si>
  <si>
    <t>Block 3</t>
  </si>
  <si>
    <t>Block 4</t>
  </si>
  <si>
    <t>Block 5</t>
  </si>
  <si>
    <t>Block 6</t>
  </si>
  <si>
    <t>3 CFS</t>
  </si>
  <si>
    <t>3 IFS</t>
  </si>
  <si>
    <t>2R</t>
  </si>
  <si>
    <t>PGA Volumes</t>
  </si>
  <si>
    <t>C</t>
  </si>
  <si>
    <t>Item</t>
  </si>
  <si>
    <t>Source</t>
  </si>
  <si>
    <t>Amount</t>
  </si>
  <si>
    <t>Revenue Sensitive Rate</t>
  </si>
  <si>
    <t>Temporary Increments</t>
  </si>
  <si>
    <t>WACOG Deferral</t>
  </si>
  <si>
    <t>Billing</t>
  </si>
  <si>
    <t>Rates</t>
  </si>
  <si>
    <t>REMOVE</t>
  </si>
  <si>
    <t>Current</t>
  </si>
  <si>
    <t>WACOG</t>
  </si>
  <si>
    <t>FIRM</t>
  </si>
  <si>
    <t>Demand</t>
  </si>
  <si>
    <t>INTERR</t>
  </si>
  <si>
    <t>ADD</t>
  </si>
  <si>
    <t>Proposed</t>
  </si>
  <si>
    <t>Allocation Method</t>
  </si>
  <si>
    <t>Allocated to Rate Schedules</t>
  </si>
  <si>
    <t>Equal cent per therm</t>
  </si>
  <si>
    <t>Multiplier</t>
  </si>
  <si>
    <t>Increment</t>
  </si>
  <si>
    <t>Revenue Sensitive Multiplier:</t>
  </si>
  <si>
    <t>Amount to Amortize:</t>
  </si>
  <si>
    <t>Residential</t>
  </si>
  <si>
    <t>Commercial</t>
  </si>
  <si>
    <t>Demand Deferral - FIRM</t>
  </si>
  <si>
    <t>Demand Deferral - INTERRUPTIBLE</t>
  </si>
  <si>
    <t>MARGIN</t>
  </si>
  <si>
    <t>Rate</t>
  </si>
  <si>
    <t>Proposed Amount:</t>
  </si>
  <si>
    <t>WACOG &amp;</t>
  </si>
  <si>
    <t>Temporary</t>
  </si>
  <si>
    <t>Margin</t>
  </si>
  <si>
    <t>add revenue sensitive factor</t>
  </si>
  <si>
    <t>Total</t>
  </si>
  <si>
    <t>Current Temporaries</t>
  </si>
  <si>
    <t>Net Effect of Temps</t>
  </si>
  <si>
    <t>Items</t>
  </si>
  <si>
    <t>Demand Deferral FIRM</t>
  </si>
  <si>
    <t>Demand Deferral INTERR</t>
  </si>
  <si>
    <t>Summary of TEMPORARY Increments</t>
  </si>
  <si>
    <t>Calculation of Increments Allocated on the EQUAL PERCENTAGE OF MARGIN BASIS</t>
  </si>
  <si>
    <t>Column D</t>
  </si>
  <si>
    <t>Column A</t>
  </si>
  <si>
    <t>N/A</t>
  </si>
  <si>
    <t>Volumes page,</t>
  </si>
  <si>
    <t>Rate from</t>
  </si>
  <si>
    <t>Rates page,</t>
  </si>
  <si>
    <t>Demand from</t>
  </si>
  <si>
    <t>Increment  page,</t>
  </si>
  <si>
    <t>Temps from</t>
  </si>
  <si>
    <t>A</t>
  </si>
  <si>
    <t>B</t>
  </si>
  <si>
    <t>D</t>
  </si>
  <si>
    <t>E</t>
  </si>
  <si>
    <t>F</t>
  </si>
  <si>
    <t>G</t>
  </si>
  <si>
    <t>H</t>
  </si>
  <si>
    <t>I</t>
  </si>
  <si>
    <t>J</t>
  </si>
  <si>
    <t>K</t>
  </si>
  <si>
    <t>L</t>
  </si>
  <si>
    <t>M</t>
  </si>
  <si>
    <t>N</t>
  </si>
  <si>
    <t>O</t>
  </si>
  <si>
    <t>E=B-C-D</t>
  </si>
  <si>
    <t>Column B+C+D</t>
  </si>
  <si>
    <t>Net change</t>
  </si>
  <si>
    <t>Increments</t>
  </si>
  <si>
    <t>Temporaries</t>
  </si>
  <si>
    <t>41 FS Block 1</t>
  </si>
  <si>
    <t>41 FS Block 2</t>
  </si>
  <si>
    <t>41 FT Block 1</t>
  </si>
  <si>
    <t>41 FT Block 2</t>
  </si>
  <si>
    <t>41 IS Block 1</t>
  </si>
  <si>
    <t>41 IS Block 2</t>
  </si>
  <si>
    <t>42 CFS Block 1</t>
  </si>
  <si>
    <t>42 CFS Block 2</t>
  </si>
  <si>
    <t>42 CFS Block 3</t>
  </si>
  <si>
    <t>42 CFS Block 4</t>
  </si>
  <si>
    <t>42 CFS Block 5</t>
  </si>
  <si>
    <t>42 CFS Block 6</t>
  </si>
  <si>
    <t>42 IFS Block 1</t>
  </si>
  <si>
    <t>42 IFS Block 2</t>
  </si>
  <si>
    <t>42 IFS Block 3</t>
  </si>
  <si>
    <t>42 IFS Block 4</t>
  </si>
  <si>
    <t>42 IFS Block 5</t>
  </si>
  <si>
    <t>42 IFS Block 6</t>
  </si>
  <si>
    <t>42 FT Block 1</t>
  </si>
  <si>
    <t>42 FT Block 2</t>
  </si>
  <si>
    <t>42 FT Block 3</t>
  </si>
  <si>
    <t>42 FT Block 4</t>
  </si>
  <si>
    <t>42 FT Block 5</t>
  </si>
  <si>
    <t>42 FT Block 6</t>
  </si>
  <si>
    <t>42 IS Block 1</t>
  </si>
  <si>
    <t>42 IS Block 2</t>
  </si>
  <si>
    <t>42 IS Block 3</t>
  </si>
  <si>
    <t>42 IS Block 4</t>
  </si>
  <si>
    <t>42 IS Block 5</t>
  </si>
  <si>
    <t>42 IS Block 6</t>
  </si>
  <si>
    <t>42 IT Block 1</t>
  </si>
  <si>
    <t>42 IT Block 2</t>
  </si>
  <si>
    <t>42 IT Block 3</t>
  </si>
  <si>
    <t>42 IT Block 4</t>
  </si>
  <si>
    <t>42 IT Block 5</t>
  </si>
  <si>
    <t>42 IT Block 6</t>
  </si>
  <si>
    <t>43 FT</t>
  </si>
  <si>
    <t>43 IT</t>
  </si>
  <si>
    <t>NCS field</t>
  </si>
  <si>
    <t>41 Firm Trans</t>
  </si>
  <si>
    <t>42C Firm Sales</t>
  </si>
  <si>
    <t>42I Firm Sales</t>
  </si>
  <si>
    <t>42 Firm Trans</t>
  </si>
  <si>
    <t>42 Inter Trans</t>
  </si>
  <si>
    <t>43 Firm Trans</t>
  </si>
  <si>
    <t>43 Interr Trans</t>
  </si>
  <si>
    <t>Sources:</t>
  </si>
  <si>
    <t>Direct Inputs</t>
  </si>
  <si>
    <t>Column J</t>
  </si>
  <si>
    <t>Equal ¢ per therm</t>
  </si>
  <si>
    <t>Equal % of margin</t>
  </si>
  <si>
    <t>Totals</t>
  </si>
  <si>
    <t>Column G</t>
  </si>
  <si>
    <t>Washington</t>
  </si>
  <si>
    <t>P</t>
  </si>
  <si>
    <t>Rates in detail</t>
  </si>
  <si>
    <t>Rates in summary</t>
  </si>
  <si>
    <t>Calculation of Proposed Rates - SUMMARY</t>
  </si>
  <si>
    <t>Calculation of Proposed Rates - DETAIL</t>
  </si>
  <si>
    <t>PGA Effects</t>
  </si>
  <si>
    <t>Therms in</t>
  </si>
  <si>
    <t>Therms</t>
  </si>
  <si>
    <t>Average use</t>
  </si>
  <si>
    <t>Minimum</t>
  </si>
  <si>
    <t>Monthly</t>
  </si>
  <si>
    <t>Charge</t>
  </si>
  <si>
    <t>Average Bill</t>
  </si>
  <si>
    <t>% Bill Change</t>
  </si>
  <si>
    <t>all additional</t>
  </si>
  <si>
    <t>Customers</t>
  </si>
  <si>
    <t>Average Use</t>
  </si>
  <si>
    <t>per Tariff</t>
  </si>
  <si>
    <t>TOTAL</t>
  </si>
  <si>
    <t>F=D+(C * E)</t>
  </si>
  <si>
    <t>Sources for line 2 above:</t>
  </si>
  <si>
    <t>Inputs page</t>
  </si>
  <si>
    <t>PGA Normalized</t>
  </si>
  <si>
    <t>Normal</t>
  </si>
  <si>
    <t>Calculation of Effect on Customer Average Bill by Rate Schedule [1]</t>
  </si>
  <si>
    <t>Intentionally blank</t>
  </si>
  <si>
    <t>Subtotal [1]</t>
  </si>
  <si>
    <t>Tariff</t>
  </si>
  <si>
    <t>Rates [1]</t>
  </si>
  <si>
    <t>PGA Only [1]</t>
  </si>
  <si>
    <t>Demand [1]</t>
  </si>
  <si>
    <t>Demand - Firm Volumetric</t>
  </si>
  <si>
    <t>Demand - Interruptible Volumetric</t>
  </si>
  <si>
    <t>Distribution</t>
  </si>
  <si>
    <t>Adjustment</t>
  </si>
  <si>
    <t>Customer</t>
  </si>
  <si>
    <t>Margins</t>
  </si>
  <si>
    <t>(AA-I)</t>
  </si>
  <si>
    <t>[1] Rate Schedule 41 and 42 customers may choose demand charges at a volumetric rate or based on MDDV.  For convenience of presentation, demand charges are not shown for those schedules.</t>
  </si>
  <si>
    <t>[1] Rate Schedule 41 and 42 customers may choose demand charges at a volumetric rate or based on MDDV.  For convenience of presentation, demand charges are not included in the calculations for those schedules.</t>
  </si>
  <si>
    <t>Note: Allocation to rate schedules or blocks with zero volumes is calculated on an overall margin percentage change basis.</t>
  </si>
  <si>
    <t>PGA Effects on Average Bill by Rate Schedule</t>
  </si>
  <si>
    <t>Equal percentage of margin</t>
  </si>
  <si>
    <t>Permanent Increment</t>
  </si>
  <si>
    <t>Trans</t>
  </si>
  <si>
    <t>Sales</t>
  </si>
  <si>
    <t>R Sales</t>
  </si>
  <si>
    <t>C Sales</t>
  </si>
  <si>
    <t>I Sales</t>
  </si>
  <si>
    <t>firm Sales</t>
  </si>
  <si>
    <t>Interr Sales</t>
  </si>
  <si>
    <t>Volumetric</t>
  </si>
  <si>
    <t>Allocation to RS</t>
  </si>
  <si>
    <t>F = E * A</t>
  </si>
  <si>
    <t>Column L</t>
  </si>
  <si>
    <t>H = (F/G)/12</t>
  </si>
  <si>
    <t>Year Ended</t>
  </si>
  <si>
    <t>R</t>
  </si>
  <si>
    <t>Winter Sales WACOG</t>
  </si>
  <si>
    <t>saved for future use</t>
  </si>
  <si>
    <t>don't delete columns, as this will adversely affect linked tariff handbook and summaries</t>
  </si>
  <si>
    <t>saved for</t>
  </si>
  <si>
    <t>future use</t>
  </si>
  <si>
    <t>Excludes Temps</t>
  </si>
  <si>
    <t>Previous column</t>
  </si>
  <si>
    <t>less WACOG</t>
  </si>
  <si>
    <t>For 41+, excludes</t>
  </si>
  <si>
    <t>demand</t>
  </si>
  <si>
    <t>Base Rate</t>
  </si>
  <si>
    <t>Commodity</t>
  </si>
  <si>
    <t>I = (G*H*12)+F</t>
  </si>
  <si>
    <t>Low Income Bill Pay Assistance (GREAT)</t>
  </si>
  <si>
    <t>Q</t>
  </si>
  <si>
    <t>Line 50</t>
  </si>
  <si>
    <t>Line 43</t>
  </si>
  <si>
    <t>191 Commodity</t>
  </si>
  <si>
    <t>191 Pipeline</t>
  </si>
  <si>
    <t>Schedule 201</t>
  </si>
  <si>
    <t>Schedule 215</t>
  </si>
  <si>
    <t>Schedule 230</t>
  </si>
  <si>
    <t>Sched J: GREAT</t>
  </si>
  <si>
    <t>Sched I: WA-LIEE</t>
  </si>
  <si>
    <t>Sched G: EE Gen</t>
  </si>
  <si>
    <t>Schedule 220</t>
  </si>
  <si>
    <t>check</t>
  </si>
  <si>
    <t>column</t>
  </si>
  <si>
    <t>Summaries for linking to the tariff sheets:</t>
  </si>
  <si>
    <t>This is a perm</t>
  </si>
  <si>
    <t>not a temp</t>
  </si>
  <si>
    <t>Statement of RATES</t>
  </si>
  <si>
    <t>Schedule X</t>
  </si>
  <si>
    <t>Tariff Schedule Rates:</t>
  </si>
  <si>
    <t>Pipeline</t>
  </si>
  <si>
    <t>Capacity</t>
  </si>
  <si>
    <t>THIS SECTION IS FOR LINKING TO NWN TARIFF PAGES ONLY</t>
  </si>
  <si>
    <t>Column O</t>
  </si>
  <si>
    <t>Gas Cost File</t>
  </si>
  <si>
    <t>Column F - B</t>
  </si>
  <si>
    <t>Column G+H-C-D</t>
  </si>
  <si>
    <t>Column K - J</t>
  </si>
  <si>
    <t>WA-LIEE</t>
  </si>
  <si>
    <t>41C Firm Sales</t>
  </si>
  <si>
    <t>41C Interr Sales</t>
  </si>
  <si>
    <t>41I Firm Sales</t>
  </si>
  <si>
    <t>41I Interr Sales</t>
  </si>
  <si>
    <t>42C Interr Sales</t>
  </si>
  <si>
    <t>42I Interr Sales</t>
  </si>
  <si>
    <t>R&amp;C Energy Efficiency Programs</t>
  </si>
  <si>
    <t>R&amp;C Energy Efficiency</t>
  </si>
  <si>
    <t>this is RS 215</t>
  </si>
  <si>
    <t>Line 37</t>
  </si>
  <si>
    <t>Line 39</t>
  </si>
  <si>
    <t>Column R</t>
  </si>
  <si>
    <t>GRAND TOTAL</t>
  </si>
  <si>
    <t>S</t>
  </si>
  <si>
    <t>T</t>
  </si>
  <si>
    <t>U</t>
  </si>
  <si>
    <t>Column U</t>
  </si>
  <si>
    <t>Tariff Schedules:</t>
  </si>
  <si>
    <t>Schedule #</t>
  </si>
  <si>
    <t>Sched 220</t>
  </si>
  <si>
    <t>Sched 215</t>
  </si>
  <si>
    <t>Sched 230, Prg J</t>
  </si>
  <si>
    <t>Sched 230, Prg I</t>
  </si>
  <si>
    <t>to all residential &amp; commercial sales</t>
  </si>
  <si>
    <t>I Firm</t>
  </si>
  <si>
    <t>C Firm</t>
  </si>
  <si>
    <t>Interr</t>
  </si>
  <si>
    <t>Prior year</t>
  </si>
  <si>
    <t>for bill impacts only</t>
  </si>
  <si>
    <t>copy from prior year</t>
  </si>
  <si>
    <t>PRIOR YEAR Temporaries</t>
  </si>
  <si>
    <t>Normalized Sales Volumes</t>
  </si>
  <si>
    <t xml:space="preserve">Temporary Adj. </t>
  </si>
  <si>
    <t>For CIS Entry</t>
  </si>
  <si>
    <t>(w/o Sch. 215)</t>
  </si>
  <si>
    <t>All sales</t>
  </si>
  <si>
    <t>All firm sales</t>
  </si>
  <si>
    <t>All interruptible sales</t>
  </si>
  <si>
    <t>All Residential and Commercial sales</t>
  </si>
  <si>
    <t>J = I - A</t>
  </si>
  <si>
    <t>Column I</t>
  </si>
  <si>
    <t>Dollars</t>
  </si>
  <si>
    <t>Total Proposed Temporaries</t>
  </si>
  <si>
    <t>Schedule 210</t>
  </si>
  <si>
    <t>Column N</t>
  </si>
  <si>
    <t>186 NET - Combined</t>
  </si>
  <si>
    <t>Total Temps - Combined</t>
  </si>
  <si>
    <t>Schedule 201 - No EE</t>
  </si>
  <si>
    <t>186 NET - No EE</t>
  </si>
  <si>
    <t>Total Temps - No EE</t>
  </si>
  <si>
    <t>186 Adjustment</t>
  </si>
  <si>
    <t>for CIS Entry</t>
  </si>
  <si>
    <t>Rates [2]</t>
  </si>
  <si>
    <t>H=D+(C * G)</t>
  </si>
  <si>
    <t xml:space="preserve">U </t>
  </si>
  <si>
    <t>V</t>
  </si>
  <si>
    <t>R&amp;C Energy Eff.</t>
  </si>
  <si>
    <t>R&amp;C EE</t>
  </si>
  <si>
    <t>WA-LIEE and GREAT</t>
  </si>
  <si>
    <t>Schedule 201 &amp; 203</t>
  </si>
  <si>
    <t>Amortization of PGA and Deferred Gas Costs</t>
  </si>
  <si>
    <t>GREAT &amp; LIEE</t>
  </si>
  <si>
    <t>K= D+(C*J)</t>
  </si>
  <si>
    <t>E=B+C+D</t>
  </si>
  <si>
    <t>Total Proposed PGA Temporaries</t>
  </si>
  <si>
    <t>Net Effect of PGA Temps</t>
  </si>
  <si>
    <t>F=E-A</t>
  </si>
  <si>
    <t>PGA Current Temporaries</t>
  </si>
  <si>
    <t>H=sum B thru G</t>
  </si>
  <si>
    <t xml:space="preserve">[1] Rate Schedule 41 and 42 customers may choose demand charges at a volumetric rate or based on MDDV. </t>
  </si>
  <si>
    <t>(H-M+I+J+L)</t>
  </si>
  <si>
    <t>CIS ENTRY Acct 191 Commodity adjustment only</t>
  </si>
  <si>
    <t xml:space="preserve">[2] Proposed rates include the effect of removing the current Schedule 215 adjustment and applying the proposed Schedule 215 adjustment.  The rate shown is for illustrative purposes only and assumes no other changes to rates occur November 1.   </t>
  </si>
  <si>
    <t>E = B+C+D</t>
  </si>
  <si>
    <t>F = E-A</t>
  </si>
  <si>
    <t>Permanent</t>
  </si>
  <si>
    <t>Total Temps less EE</t>
  </si>
  <si>
    <t>Non-Gas Cost less EE</t>
  </si>
  <si>
    <t>HoldCo Credit</t>
  </si>
  <si>
    <t>HoldCo</t>
  </si>
  <si>
    <t>All Customers</t>
  </si>
  <si>
    <t>N = D+(C*M)</t>
  </si>
  <si>
    <t>Q=D+(C*P)</t>
  </si>
  <si>
    <t>Holding Company Credit</t>
  </si>
  <si>
    <t>Per Stipulated Condition 35 in Order No. 01 in UG-170094</t>
  </si>
  <si>
    <t>Sched 209</t>
  </si>
  <si>
    <t>Line 41</t>
  </si>
  <si>
    <t>17-18 PGA</t>
  </si>
  <si>
    <t>Plant EDIT</t>
  </si>
  <si>
    <t>Non-Plant EDIT</t>
  </si>
  <si>
    <t>Interim Period Tax Deferral</t>
  </si>
  <si>
    <t>Test</t>
  </si>
  <si>
    <t>Sept. 30, 2018</t>
  </si>
  <si>
    <t>Washington Volumes (therms)</t>
  </si>
  <si>
    <t>TCJA Amort.</t>
  </si>
  <si>
    <t>2019 WA GRC</t>
  </si>
  <si>
    <t>WA GRC</t>
  </si>
  <si>
    <t>Change</t>
  </si>
  <si>
    <t>2018 Rate Case Model - Final.xlsx</t>
  </si>
  <si>
    <t>F=A+B-C-D-E</t>
  </si>
  <si>
    <t>J=F+G+H+I</t>
  </si>
  <si>
    <t>O=J-K+L+N</t>
  </si>
  <si>
    <t>2018-19 PGA</t>
  </si>
  <si>
    <t>W</t>
  </si>
  <si>
    <t>X</t>
  </si>
  <si>
    <t>W=D+(C * S)</t>
  </si>
  <si>
    <t>X=(W - F)/F</t>
  </si>
  <si>
    <t>H=E+F+G</t>
  </si>
  <si>
    <t>D=A+B+C+D</t>
  </si>
  <si>
    <t>MDDV</t>
  </si>
  <si>
    <t>Fixed + Var.</t>
  </si>
  <si>
    <t>PROOF</t>
  </si>
  <si>
    <t>Margin of GRC Only</t>
  </si>
  <si>
    <t>Volumetric $</t>
  </si>
  <si>
    <t>Fixed Charge $</t>
  </si>
  <si>
    <t>Rev. Reqirement</t>
  </si>
  <si>
    <t>Delta</t>
  </si>
  <si>
    <t>Variable Rate</t>
  </si>
  <si>
    <t>Fixed Monthly Charge</t>
  </si>
  <si>
    <t>MDDV Margin</t>
  </si>
  <si>
    <t xml:space="preserve">  Total Rev. Requirement</t>
  </si>
  <si>
    <t xml:space="preserve">   Less:</t>
  </si>
  <si>
    <t xml:space="preserve">      Net TCJA Credits</t>
  </si>
  <si>
    <t>WA GRC Initial Filing</t>
  </si>
  <si>
    <t>Average Customer</t>
  </si>
  <si>
    <t>Bill Increase</t>
  </si>
  <si>
    <t>Class</t>
  </si>
  <si>
    <t>Industrial Firm Sales</t>
  </si>
  <si>
    <t>Interruptible Sales</t>
  </si>
  <si>
    <t>Transporation</t>
  </si>
  <si>
    <t>Average Class</t>
  </si>
  <si>
    <t>Average Monthly</t>
  </si>
  <si>
    <t>Bill Change</t>
  </si>
  <si>
    <t>Y</t>
  </si>
  <si>
    <t>Exh. SRB-7</t>
  </si>
  <si>
    <t>Exh. SRB-1T, at 9</t>
  </si>
  <si>
    <t>2018-19 PGA Filing</t>
  </si>
  <si>
    <t>Variance</t>
  </si>
  <si>
    <t>Collection</t>
  </si>
  <si>
    <t>Demand - Firm MDDV</t>
  </si>
  <si>
    <t>Interruptible Sales Service Storage Charge (per therm of MDDV per month)</t>
  </si>
  <si>
    <t>Firm Service Distribution Capacity Charge (per therm of MDDV per month)</t>
  </si>
  <si>
    <t>Firm Sales Service Storage Charge (per therm of MDDV per month)</t>
  </si>
  <si>
    <t>NEW-NWN-KTW-WP-TARIFFS-1-4-2019</t>
  </si>
  <si>
    <t>NEW-NWN-Exh-RJA-4-12-31-2018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</si>
</sst>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44" formatCode="_(&quot;$&quot;* #,##0.00_);_(&quot;$&quot;* \(#,##0.00\);_(&quot;$&quot;* &quot;-&quot;??_);_(@_)"/>
    <numFmt numFmtId="43" formatCode="_(* #,##0.00_);_(* \(#,##0.00\);_(* &quot;-&quot;??_);_(@_)"/>
    <numFmt numFmtId="164" formatCode="0.00_);\(0.00\)"/>
    <numFmt numFmtId="165" formatCode="_(* #,##0.0_);_(* \(#,##0.0\);_(* &quot;-&quot;??_);_(@_)"/>
    <numFmt numFmtId="166" formatCode="0.0%"/>
    <numFmt numFmtId="167" formatCode="_(* #,##0_);_(* \(#,##0\);_(* &quot;-&quot;??_);_(@_)"/>
    <numFmt numFmtId="168" formatCode="&quot;$&quot;#,##0.00000_);\(&quot;$&quot;#,##0.00000\)"/>
    <numFmt numFmtId="169" formatCode="0.000%"/>
    <numFmt numFmtId="170" formatCode="#,##0.0_);\(#,##0.0\)"/>
    <numFmt numFmtId="171" formatCode="#,##0.00000_);\(#,##0.00000\)"/>
    <numFmt numFmtId="172" formatCode="&quot;$&quot;#,##0.00000"/>
    <numFmt numFmtId="173" formatCode="&quot;$&quot;#,##0.00"/>
    <numFmt numFmtId="174" formatCode="#,##0.0"/>
    <numFmt numFmtId="175" formatCode="_-* #,##0.00\ _D_M_-;\-* #,##0.00\ _D_M_-;_-* &quot;-&quot;??\ _D_M_-;_-@_-"/>
    <numFmt numFmtId="176" formatCode="&quot;$&quot;#,##0"/>
    <numFmt numFmtId="177" formatCode="[$-409]mmmm\ d\,\ yyyy;@"/>
    <numFmt numFmtId="178" formatCode="_-* #,##0.00\ &quot;DM&quot;_-;\-* #,##0.00\ &quot;DM&quot;_-;_-* &quot;-&quot;??\ &quot;DM&quot;_-;_-@_-"/>
    <numFmt numFmtId="179" formatCode="#.00"/>
    <numFmt numFmtId="180" formatCode="#,##0_);\-#,##0_);\-_)"/>
    <numFmt numFmtId="181" formatCode="#,##0.00_);\-#,##0.00_);\-_)"/>
    <numFmt numFmtId="182" formatCode="#,##0.0_);\-#,##0.0_);\-_)"/>
    <numFmt numFmtId="183" formatCode="&quot;$&quot;#,##0.000000"/>
    <numFmt numFmtId="184" formatCode="0.00000"/>
    <numFmt numFmtId="185" formatCode="_(&quot;$&quot;* #,##0.00000_);_(&quot;$&quot;* \(#,##0.00000\);_(&quot;$&quot;* &quot;-&quot;??_);_(@_)"/>
    <numFmt numFmtId="186" formatCode="_(&quot;$&quot;* #,##0_);_(&quot;$&quot;* \(#,##0\);_(&quot;$&quot;* &quot;-&quot;??_);_(@_)"/>
    <numFmt numFmtId="187" formatCode="_(&quot;$&quot;* #,##0.000000_);_(&quot;$&quot;* \(#,##0.000000\);_(&quot;$&quot;* &quot;-&quot;??_);_(@_)"/>
  </numFmts>
  <fonts count="54" x14ac:knownFonts="1">
    <font>
      <sz val="10"/>
      <name val="Times New Roman"/>
    </font>
    <font>
      <sz val="11"/>
      <color theme="1"/>
      <name val="Calibri"/>
      <family val="2"/>
      <scheme val="minor"/>
    </font>
    <font>
      <sz val="10"/>
      <name val="Times New Roman"/>
      <family val="1"/>
    </font>
    <font>
      <sz val="8"/>
      <name val="Times New Roman"/>
      <family val="1"/>
    </font>
    <font>
      <sz val="10"/>
      <name val="Arial"/>
      <family val="2"/>
    </font>
    <font>
      <b/>
      <sz val="9"/>
      <name val="Arial"/>
      <family val="2"/>
    </font>
    <font>
      <sz val="9"/>
      <name val="Arial"/>
      <family val="2"/>
    </font>
    <font>
      <b/>
      <sz val="12"/>
      <name val="Arial"/>
      <family val="2"/>
    </font>
    <font>
      <sz val="10"/>
      <name val="Arial"/>
      <family val="2"/>
    </font>
    <font>
      <sz val="8"/>
      <name val="Arial"/>
      <family val="2"/>
    </font>
    <font>
      <b/>
      <sz val="11"/>
      <name val="Tahoma"/>
      <family val="2"/>
    </font>
    <font>
      <sz val="10"/>
      <name val="Tahoma"/>
      <family val="2"/>
    </font>
    <font>
      <sz val="8"/>
      <name val="Tahoma"/>
      <family val="2"/>
    </font>
    <font>
      <b/>
      <sz val="10"/>
      <name val="Tahoma"/>
      <family val="2"/>
    </font>
    <font>
      <sz val="9"/>
      <name val="Tahoma"/>
      <family val="2"/>
    </font>
    <font>
      <b/>
      <u/>
      <sz val="10"/>
      <name val="Tahoma"/>
      <family val="2"/>
    </font>
    <font>
      <sz val="10"/>
      <color indexed="12"/>
      <name val="Tahoma"/>
      <family val="2"/>
    </font>
    <font>
      <b/>
      <sz val="10"/>
      <color indexed="12"/>
      <name val="Tahoma"/>
      <family val="2"/>
    </font>
    <font>
      <sz val="8"/>
      <color indexed="12"/>
      <name val="Tahoma"/>
      <family val="2"/>
    </font>
    <font>
      <sz val="11"/>
      <name val="Tahoma"/>
      <family val="2"/>
    </font>
    <font>
      <b/>
      <sz val="9"/>
      <name val="Tahoma"/>
      <family val="2"/>
    </font>
    <font>
      <b/>
      <sz val="12"/>
      <color indexed="12"/>
      <name val="Tahoma"/>
      <family val="2"/>
    </font>
    <font>
      <b/>
      <sz val="11"/>
      <color indexed="12"/>
      <name val="Tahoma"/>
      <family val="2"/>
    </font>
    <font>
      <b/>
      <sz val="12"/>
      <name val="Tahoma"/>
      <family val="2"/>
    </font>
    <font>
      <sz val="9"/>
      <color indexed="12"/>
      <name val="Tahoma"/>
      <family val="2"/>
    </font>
    <font>
      <b/>
      <sz val="10"/>
      <color indexed="10"/>
      <name val="Tahoma"/>
      <family val="2"/>
    </font>
    <font>
      <u/>
      <sz val="10"/>
      <name val="Tahoma"/>
      <family val="2"/>
    </font>
    <font>
      <b/>
      <sz val="10"/>
      <color indexed="48"/>
      <name val="Tahoma"/>
      <family val="2"/>
    </font>
    <font>
      <b/>
      <sz val="9"/>
      <color indexed="10"/>
      <name val="Tahoma"/>
      <family val="2"/>
    </font>
    <font>
      <b/>
      <sz val="8"/>
      <name val="Tahoma"/>
      <family val="2"/>
    </font>
    <font>
      <sz val="10"/>
      <color rgb="FF0000FF"/>
      <name val="Tahoma"/>
      <family val="2"/>
    </font>
    <font>
      <sz val="9"/>
      <color rgb="FF0000FF"/>
      <name val="Tahoma"/>
      <family val="2"/>
    </font>
    <font>
      <sz val="11"/>
      <color indexed="8"/>
      <name val="Calibri"/>
      <family val="2"/>
    </font>
    <font>
      <sz val="11"/>
      <color indexed="9"/>
      <name val="Calibri"/>
      <family val="2"/>
    </font>
    <font>
      <b/>
      <sz val="9"/>
      <color indexed="18"/>
      <name val="Arial"/>
      <family val="2"/>
    </font>
    <font>
      <sz val="10"/>
      <name val="MS Sans Serif"/>
      <family val="2"/>
    </font>
    <font>
      <b/>
      <sz val="14"/>
      <color indexed="8"/>
      <name val="Arial"/>
      <family val="2"/>
    </font>
    <font>
      <b/>
      <sz val="11"/>
      <color indexed="8"/>
      <name val="Calibri"/>
      <family val="2"/>
    </font>
    <font>
      <sz val="1"/>
      <color indexed="8"/>
      <name val="Courier"/>
      <family val="3"/>
    </font>
    <font>
      <b/>
      <sz val="1"/>
      <color indexed="8"/>
      <name val="Courier"/>
      <family val="3"/>
    </font>
    <font>
      <b/>
      <sz val="8"/>
      <color indexed="1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sz val="9"/>
      <color indexed="29"/>
      <name val="Arial"/>
      <family val="2"/>
    </font>
    <font>
      <b/>
      <sz val="9"/>
      <color indexed="29"/>
      <name val="Arial"/>
      <family val="2"/>
    </font>
    <font>
      <sz val="10"/>
      <color rgb="FFFF0000"/>
      <name val="Tahoma"/>
      <family val="2"/>
    </font>
    <font>
      <u/>
      <sz val="10"/>
      <color rgb="FF0000FF"/>
      <name val="Tahoma"/>
      <family val="2"/>
    </font>
  </fonts>
  <fills count="4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D2D"/>
        <bgColor indexed="64"/>
      </patternFill>
    </fill>
    <fill>
      <patternFill patternType="solid">
        <fgColor rgb="FFFF0000"/>
        <bgColor indexed="64"/>
      </patternFill>
    </fill>
    <fill>
      <patternFill patternType="solid">
        <fgColor rgb="FFF0B8B7"/>
        <bgColor indexed="64"/>
      </patternFill>
    </fill>
  </fills>
  <borders count="4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8"/>
      </left>
      <right/>
      <top/>
      <bottom style="thin">
        <color indexed="28"/>
      </bottom>
      <diagonal/>
    </border>
  </borders>
  <cellStyleXfs count="101">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3" fontId="8" fillId="0" borderId="0"/>
    <xf numFmtId="9" fontId="2" fillId="0" borderId="0" applyFont="0" applyFill="0" applyBorder="0" applyAlignment="0" applyProtection="0"/>
    <xf numFmtId="0" fontId="4" fillId="0" borderId="0"/>
    <xf numFmtId="175" fontId="4" fillId="0" borderId="0" applyFont="0" applyFill="0" applyBorder="0" applyAlignment="0" applyProtection="0"/>
    <xf numFmtId="9" fontId="4" fillId="0" borderId="0" applyFont="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7"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3" fillId="16" borderId="0" applyNumberFormat="0" applyBorder="0" applyAlignment="0" applyProtection="0"/>
    <xf numFmtId="1" fontId="34" fillId="0" borderId="24">
      <alignment vertical="top"/>
    </xf>
    <xf numFmtId="43" fontId="35"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alignment vertical="top"/>
    </xf>
    <xf numFmtId="177" fontId="4" fillId="0" borderId="0" applyFont="0" applyFill="0" applyBorder="0" applyAlignment="0" applyProtection="0">
      <alignment vertical="top"/>
    </xf>
    <xf numFmtId="174" fontId="36" fillId="0" borderId="0"/>
    <xf numFmtId="5" fontId="4" fillId="0" borderId="0">
      <alignment vertical="top"/>
    </xf>
    <xf numFmtId="44" fontId="35"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5" fontId="4" fillId="0" borderId="0" applyFont="0" applyFill="0" applyBorder="0" applyAlignment="0" applyProtection="0">
      <alignment vertical="top"/>
    </xf>
    <xf numFmtId="177" fontId="4" fillId="0" borderId="0">
      <alignment vertical="top"/>
    </xf>
    <xf numFmtId="15" fontId="4" fillId="0" borderId="0" applyFont="0" applyFill="0" applyBorder="0" applyAlignment="0" applyProtection="0">
      <alignment vertical="top"/>
    </xf>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9" fontId="38" fillId="0" borderId="0">
      <protection locked="0"/>
    </xf>
    <xf numFmtId="174" fontId="9" fillId="0" borderId="0"/>
    <xf numFmtId="0" fontId="39" fillId="0" borderId="0">
      <protection locked="0"/>
    </xf>
    <xf numFmtId="0" fontId="39" fillId="0" borderId="0">
      <protection locked="0"/>
    </xf>
    <xf numFmtId="180" fontId="9" fillId="0" borderId="0"/>
    <xf numFmtId="181" fontId="9" fillId="0" borderId="0"/>
    <xf numFmtId="0" fontId="35" fillId="0" borderId="0"/>
    <xf numFmtId="10" fontId="4" fillId="0" borderId="0" applyFont="0" applyFill="0" applyBorder="0" applyAlignment="0" applyProtection="0">
      <alignment vertical="top"/>
    </xf>
    <xf numFmtId="182" fontId="40" fillId="0" borderId="0"/>
    <xf numFmtId="4" fontId="41" fillId="20" borderId="46" applyNumberFormat="0" applyProtection="0">
      <alignment vertical="center"/>
    </xf>
    <xf numFmtId="4" fontId="42" fillId="20" borderId="46" applyNumberFormat="0" applyProtection="0">
      <alignment vertical="center"/>
    </xf>
    <xf numFmtId="4" fontId="41" fillId="20" borderId="46" applyNumberFormat="0" applyProtection="0">
      <alignment horizontal="left" vertical="center" indent="1"/>
    </xf>
    <xf numFmtId="0" fontId="41" fillId="20" borderId="46" applyNumberFormat="0" applyProtection="0">
      <alignment horizontal="left" vertical="top" indent="1"/>
    </xf>
    <xf numFmtId="4" fontId="41" fillId="21" borderId="0" applyNumberFormat="0" applyProtection="0">
      <alignment horizontal="left" vertical="center" indent="1"/>
    </xf>
    <xf numFmtId="4" fontId="43" fillId="22" borderId="46" applyNumberFormat="0" applyProtection="0">
      <alignment horizontal="right" vertical="center"/>
    </xf>
    <xf numFmtId="4" fontId="43" fillId="23" borderId="46" applyNumberFormat="0" applyProtection="0">
      <alignment horizontal="right" vertical="center"/>
    </xf>
    <xf numFmtId="4" fontId="43" fillId="24" borderId="46" applyNumberFormat="0" applyProtection="0">
      <alignment horizontal="right" vertical="center"/>
    </xf>
    <xf numFmtId="4" fontId="43" fillId="25" borderId="46" applyNumberFormat="0" applyProtection="0">
      <alignment horizontal="right" vertical="center"/>
    </xf>
    <xf numFmtId="4" fontId="43" fillId="26" borderId="46" applyNumberFormat="0" applyProtection="0">
      <alignment horizontal="right" vertical="center"/>
    </xf>
    <xf numFmtId="4" fontId="43" fillId="27" borderId="46" applyNumberFormat="0" applyProtection="0">
      <alignment horizontal="right" vertical="center"/>
    </xf>
    <xf numFmtId="4" fontId="43" fillId="28" borderId="46" applyNumberFormat="0" applyProtection="0">
      <alignment horizontal="right" vertical="center"/>
    </xf>
    <xf numFmtId="4" fontId="43" fillId="29" borderId="46" applyNumberFormat="0" applyProtection="0">
      <alignment horizontal="right" vertical="center"/>
    </xf>
    <xf numFmtId="4" fontId="43" fillId="30" borderId="46" applyNumberFormat="0" applyProtection="0">
      <alignment horizontal="right" vertical="center"/>
    </xf>
    <xf numFmtId="4" fontId="41" fillId="31" borderId="47" applyNumberFormat="0" applyProtection="0">
      <alignment horizontal="left" vertical="center" indent="1"/>
    </xf>
    <xf numFmtId="4" fontId="43" fillId="32" borderId="0" applyNumberFormat="0" applyProtection="0">
      <alignment horizontal="left" vertical="center" indent="1"/>
    </xf>
    <xf numFmtId="4" fontId="44" fillId="33" borderId="0" applyNumberFormat="0" applyProtection="0">
      <alignment horizontal="left" vertical="center" indent="1"/>
    </xf>
    <xf numFmtId="4" fontId="43" fillId="21" borderId="46" applyNumberFormat="0" applyProtection="0">
      <alignment horizontal="right" vertical="center"/>
    </xf>
    <xf numFmtId="4" fontId="43" fillId="32" borderId="0" applyNumberFormat="0" applyProtection="0">
      <alignment horizontal="left" vertical="center" indent="1"/>
    </xf>
    <xf numFmtId="4" fontId="43" fillId="21" borderId="0" applyNumberFormat="0" applyProtection="0">
      <alignment horizontal="left" vertical="center" indent="1"/>
    </xf>
    <xf numFmtId="0" fontId="4" fillId="33" borderId="46" applyNumberFormat="0" applyProtection="0">
      <alignment horizontal="left" vertical="center" indent="1"/>
    </xf>
    <xf numFmtId="0" fontId="4" fillId="33" borderId="46" applyNumberFormat="0" applyProtection="0">
      <alignment horizontal="left" vertical="top" indent="1"/>
    </xf>
    <xf numFmtId="0" fontId="4" fillId="21" borderId="46" applyNumberFormat="0" applyProtection="0">
      <alignment horizontal="left" vertical="center" indent="1"/>
    </xf>
    <xf numFmtId="0" fontId="4" fillId="21" borderId="46" applyNumberFormat="0" applyProtection="0">
      <alignment horizontal="left" vertical="top" indent="1"/>
    </xf>
    <xf numFmtId="0" fontId="4" fillId="34" borderId="46" applyNumberFormat="0" applyProtection="0">
      <alignment horizontal="left" vertical="center" indent="1"/>
    </xf>
    <xf numFmtId="0" fontId="4" fillId="34" borderId="46" applyNumberFormat="0" applyProtection="0">
      <alignment horizontal="left" vertical="top" indent="1"/>
    </xf>
    <xf numFmtId="0" fontId="4" fillId="32" borderId="46" applyNumberFormat="0" applyProtection="0">
      <alignment horizontal="left" vertical="center" indent="1"/>
    </xf>
    <xf numFmtId="0" fontId="4" fillId="32" borderId="46" applyNumberFormat="0" applyProtection="0">
      <alignment horizontal="left" vertical="top" indent="1"/>
    </xf>
    <xf numFmtId="177" fontId="4" fillId="35" borderId="38" applyNumberFormat="0">
      <protection locked="0"/>
    </xf>
    <xf numFmtId="4" fontId="43" fillId="36" borderId="46" applyNumberFormat="0" applyProtection="0">
      <alignment vertical="center"/>
    </xf>
    <xf numFmtId="4" fontId="45" fillId="36" borderId="46" applyNumberFormat="0" applyProtection="0">
      <alignment vertical="center"/>
    </xf>
    <xf numFmtId="4" fontId="43" fillId="36" borderId="46" applyNumberFormat="0" applyProtection="0">
      <alignment horizontal="left" vertical="center" indent="1"/>
    </xf>
    <xf numFmtId="0" fontId="43" fillId="36" borderId="46" applyNumberFormat="0" applyProtection="0">
      <alignment horizontal="left" vertical="top" indent="1"/>
    </xf>
    <xf numFmtId="4" fontId="43" fillId="32" borderId="46" applyNumberFormat="0" applyProtection="0">
      <alignment horizontal="right" vertical="center"/>
    </xf>
    <xf numFmtId="4" fontId="45" fillId="32" borderId="46" applyNumberFormat="0" applyProtection="0">
      <alignment horizontal="right" vertical="center"/>
    </xf>
    <xf numFmtId="4" fontId="43" fillId="21" borderId="46" applyNumberFormat="0" applyProtection="0">
      <alignment horizontal="left" vertical="center" indent="1"/>
    </xf>
    <xf numFmtId="0" fontId="43" fillId="21" borderId="46" applyNumberFormat="0" applyProtection="0">
      <alignment horizontal="left" vertical="top" indent="1"/>
    </xf>
    <xf numFmtId="4" fontId="46" fillId="37" borderId="0" applyNumberFormat="0" applyProtection="0">
      <alignment horizontal="left" vertical="center" indent="1"/>
    </xf>
    <xf numFmtId="4" fontId="47" fillId="32" borderId="46" applyNumberFormat="0" applyProtection="0">
      <alignment horizontal="right" vertical="center"/>
    </xf>
    <xf numFmtId="0" fontId="48" fillId="0" borderId="0" applyNumberFormat="0" applyFill="0" applyBorder="0" applyAlignment="0" applyProtection="0"/>
    <xf numFmtId="182" fontId="49" fillId="0" borderId="0"/>
    <xf numFmtId="174" fontId="7" fillId="0" borderId="0"/>
    <xf numFmtId="182" fontId="50" fillId="38" borderId="0" applyFont="0" applyBorder="0" applyAlignment="0">
      <alignment vertical="top" wrapText="1"/>
    </xf>
    <xf numFmtId="182" fontId="51" fillId="38" borderId="48" applyBorder="0">
      <alignment horizontal="right" vertical="top" wrapText="1"/>
    </xf>
    <xf numFmtId="182" fontId="34" fillId="0" borderId="34" applyAlignment="0">
      <alignment horizontal="right"/>
    </xf>
    <xf numFmtId="180" fontId="34" fillId="0" borderId="34" applyAlignment="0"/>
    <xf numFmtId="181" fontId="34" fillId="0" borderId="34" applyAlignment="0"/>
    <xf numFmtId="0" fontId="5" fillId="0" borderId="34" applyFont="0" applyFill="0" applyBorder="0" applyAlignment="0" applyProtection="0"/>
    <xf numFmtId="0" fontId="1" fillId="0" borderId="0"/>
  </cellStyleXfs>
  <cellXfs count="515">
    <xf numFmtId="0" fontId="0" fillId="0" borderId="0" xfId="0"/>
    <xf numFmtId="0" fontId="10" fillId="0" borderId="0" xfId="0" applyFont="1" applyBorder="1"/>
    <xf numFmtId="0" fontId="11" fillId="0" borderId="0" xfId="0" applyFont="1"/>
    <xf numFmtId="0" fontId="11" fillId="0" borderId="0" xfId="0" applyFont="1" applyBorder="1"/>
    <xf numFmtId="0" fontId="12" fillId="0" borderId="0" xfId="0" applyFont="1" applyBorder="1" applyAlignment="1">
      <alignment horizontal="center"/>
    </xf>
    <xf numFmtId="0" fontId="13" fillId="0" borderId="0" xfId="0" applyFont="1" applyAlignment="1">
      <alignment horizontal="center"/>
    </xf>
    <xf numFmtId="14" fontId="13" fillId="0" borderId="0" xfId="0" applyNumberFormat="1" applyFont="1" applyAlignment="1">
      <alignment horizontal="center"/>
    </xf>
    <xf numFmtId="0" fontId="13" fillId="0" borderId="12" xfId="0" applyFont="1" applyBorder="1" applyAlignment="1">
      <alignment horizontal="center" wrapText="1"/>
    </xf>
    <xf numFmtId="0" fontId="13" fillId="0" borderId="0"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center"/>
    </xf>
    <xf numFmtId="0" fontId="14" fillId="0" borderId="9" xfId="0" applyFont="1" applyFill="1" applyBorder="1" applyAlignment="1">
      <alignment horizontal="center"/>
    </xf>
    <xf numFmtId="0" fontId="13" fillId="0" borderId="14" xfId="0" applyFont="1" applyBorder="1" applyAlignment="1">
      <alignment horizontal="center"/>
    </xf>
    <xf numFmtId="0" fontId="14" fillId="0" borderId="27" xfId="0" applyFont="1" applyFill="1" applyBorder="1" applyAlignment="1">
      <alignment horizontal="center"/>
    </xf>
    <xf numFmtId="171" fontId="11" fillId="0" borderId="14" xfId="0" applyNumberFormat="1" applyFont="1" applyBorder="1"/>
    <xf numFmtId="0" fontId="12" fillId="0" borderId="27" xfId="0" applyFont="1" applyFill="1" applyBorder="1" applyAlignment="1">
      <alignment horizontal="center"/>
    </xf>
    <xf numFmtId="0" fontId="11" fillId="0" borderId="27" xfId="0" applyFont="1" applyFill="1" applyBorder="1" applyAlignment="1">
      <alignment horizontal="center"/>
    </xf>
    <xf numFmtId="0" fontId="14" fillId="0" borderId="0" xfId="0" applyFont="1" applyFill="1" applyBorder="1" applyAlignment="1">
      <alignment horizontal="center"/>
    </xf>
    <xf numFmtId="164" fontId="14" fillId="0" borderId="0" xfId="0" applyNumberFormat="1" applyFont="1" applyFill="1" applyBorder="1" applyAlignment="1">
      <alignment horizontal="center"/>
    </xf>
    <xf numFmtId="39" fontId="11" fillId="0" borderId="0" xfId="0" applyNumberFormat="1" applyFont="1" applyBorder="1"/>
    <xf numFmtId="171" fontId="11" fillId="0" borderId="0" xfId="0" applyNumberFormat="1" applyFont="1" applyBorder="1"/>
    <xf numFmtId="0" fontId="14" fillId="0" borderId="14" xfId="0" applyFont="1" applyFill="1" applyBorder="1" applyAlignment="1">
      <alignment horizontal="center"/>
    </xf>
    <xf numFmtId="164" fontId="14" fillId="0" borderId="14" xfId="0" applyNumberFormat="1" applyFont="1" applyFill="1" applyBorder="1" applyAlignment="1">
      <alignment horizontal="center"/>
    </xf>
    <xf numFmtId="171" fontId="11" fillId="0" borderId="27" xfId="0" applyNumberFormat="1" applyFont="1" applyFill="1" applyBorder="1" applyAlignment="1"/>
    <xf numFmtId="171" fontId="11" fillId="0" borderId="14" xfId="0" applyNumberFormat="1" applyFont="1" applyFill="1" applyBorder="1" applyAlignment="1"/>
    <xf numFmtId="171" fontId="11" fillId="0" borderId="14" xfId="0" applyNumberFormat="1" applyFont="1" applyBorder="1" applyAlignment="1"/>
    <xf numFmtId="0" fontId="15" fillId="0" borderId="0" xfId="0" applyFont="1"/>
    <xf numFmtId="0" fontId="13" fillId="0" borderId="32" xfId="0" applyFont="1" applyBorder="1"/>
    <xf numFmtId="0" fontId="11" fillId="0" borderId="29" xfId="0" applyFont="1" applyBorder="1"/>
    <xf numFmtId="0" fontId="11" fillId="2" borderId="29" xfId="0" applyFont="1" applyFill="1" applyBorder="1"/>
    <xf numFmtId="0" fontId="11" fillId="0" borderId="29" xfId="0" applyFont="1" applyFill="1" applyBorder="1" applyAlignment="1">
      <alignment horizontal="center"/>
    </xf>
    <xf numFmtId="0" fontId="12" fillId="0" borderId="0" xfId="0" applyFont="1" applyBorder="1"/>
    <xf numFmtId="0" fontId="10" fillId="0" borderId="0" xfId="0" applyFont="1"/>
    <xf numFmtId="0" fontId="11" fillId="0" borderId="0" xfId="0" applyFont="1" applyAlignment="1">
      <alignment horizontal="center"/>
    </xf>
    <xf numFmtId="37" fontId="16" fillId="0" borderId="0" xfId="0" applyNumberFormat="1" applyFont="1"/>
    <xf numFmtId="0" fontId="13" fillId="0" borderId="0" xfId="0" applyFont="1"/>
    <xf numFmtId="168" fontId="16" fillId="0" borderId="0" xfId="0" applyNumberFormat="1" applyFont="1" applyFill="1"/>
    <xf numFmtId="37" fontId="16" fillId="0" borderId="0" xfId="0" applyNumberFormat="1" applyFont="1" applyFill="1"/>
    <xf numFmtId="7" fontId="16" fillId="0" borderId="0" xfId="0" applyNumberFormat="1" applyFont="1" applyFill="1"/>
    <xf numFmtId="169" fontId="16" fillId="0" borderId="0" xfId="0" applyNumberFormat="1" applyFont="1" applyFill="1"/>
    <xf numFmtId="0" fontId="16" fillId="0" borderId="0" xfId="0" applyFont="1"/>
    <xf numFmtId="0" fontId="13" fillId="0" borderId="0" xfId="0" quotePrefix="1" applyFont="1" applyAlignment="1">
      <alignment horizontal="center"/>
    </xf>
    <xf numFmtId="0" fontId="16" fillId="0" borderId="0" xfId="0" applyFont="1" applyAlignment="1">
      <alignment horizontal="center"/>
    </xf>
    <xf numFmtId="0" fontId="11" fillId="0" borderId="0" xfId="0" applyFont="1" applyBorder="1" applyAlignment="1">
      <alignment horizontal="center"/>
    </xf>
    <xf numFmtId="37" fontId="13" fillId="0" borderId="33" xfId="0" applyNumberFormat="1" applyFont="1" applyBorder="1" applyAlignment="1">
      <alignment horizontal="centerContinuous"/>
    </xf>
    <xf numFmtId="0" fontId="13" fillId="0" borderId="34" xfId="0" applyNumberFormat="1" applyFont="1" applyBorder="1" applyAlignment="1">
      <alignment horizontal="centerContinuous"/>
    </xf>
    <xf numFmtId="0" fontId="11" fillId="0" borderId="31" xfId="0" applyFont="1" applyBorder="1"/>
    <xf numFmtId="169" fontId="11" fillId="0" borderId="36" xfId="5" applyNumberFormat="1" applyFont="1" applyBorder="1" applyAlignment="1">
      <alignment horizontal="right"/>
    </xf>
    <xf numFmtId="0" fontId="11" fillId="0" borderId="29" xfId="0" applyFont="1" applyBorder="1" applyAlignment="1">
      <alignment horizontal="left"/>
    </xf>
    <xf numFmtId="0" fontId="11" fillId="0" borderId="12" xfId="0" applyFont="1" applyBorder="1" applyAlignment="1">
      <alignment horizontal="center"/>
    </xf>
    <xf numFmtId="0" fontId="11" fillId="0" borderId="20" xfId="0" applyFont="1" applyBorder="1"/>
    <xf numFmtId="37" fontId="13" fillId="0" borderId="23" xfId="0" applyNumberFormat="1" applyFont="1" applyBorder="1"/>
    <xf numFmtId="37" fontId="11" fillId="0" borderId="24" xfId="0" applyNumberFormat="1" applyFont="1" applyBorder="1"/>
    <xf numFmtId="0" fontId="13" fillId="2" borderId="2" xfId="0" applyFont="1" applyFill="1" applyBorder="1" applyAlignment="1">
      <alignment horizontal="right"/>
    </xf>
    <xf numFmtId="0" fontId="13" fillId="0" borderId="4" xfId="0" applyFont="1" applyBorder="1" applyAlignment="1">
      <alignment horizontal="center"/>
    </xf>
    <xf numFmtId="0" fontId="11" fillId="0" borderId="9" xfId="0" applyFont="1" applyFill="1" applyBorder="1" applyAlignment="1">
      <alignment horizontal="center"/>
    </xf>
    <xf numFmtId="0" fontId="13" fillId="2" borderId="16" xfId="0" applyFont="1" applyFill="1" applyBorder="1" applyAlignment="1">
      <alignment horizontal="center"/>
    </xf>
    <xf numFmtId="0" fontId="13" fillId="0" borderId="5" xfId="0" applyFont="1" applyBorder="1" applyAlignment="1">
      <alignment horizontal="center"/>
    </xf>
    <xf numFmtId="37" fontId="11" fillId="0" borderId="14" xfId="0" applyNumberFormat="1" applyFont="1" applyBorder="1"/>
    <xf numFmtId="171" fontId="11" fillId="2" borderId="16" xfId="0" applyNumberFormat="1" applyFont="1" applyFill="1" applyBorder="1"/>
    <xf numFmtId="170" fontId="16" fillId="0" borderId="5" xfId="0" applyNumberFormat="1" applyFont="1" applyBorder="1" applyAlignment="1">
      <alignment horizontal="center"/>
    </xf>
    <xf numFmtId="171" fontId="11" fillId="0" borderId="11" xfId="0" applyNumberFormat="1" applyFont="1" applyBorder="1"/>
    <xf numFmtId="39" fontId="11" fillId="0" borderId="14" xfId="0" applyNumberFormat="1" applyFont="1" applyBorder="1"/>
    <xf numFmtId="0" fontId="11" fillId="0" borderId="0" xfId="0" applyFont="1" applyFill="1" applyBorder="1" applyAlignment="1">
      <alignment horizontal="center"/>
    </xf>
    <xf numFmtId="37" fontId="11" fillId="0" borderId="0" xfId="0" applyNumberFormat="1" applyFont="1" applyBorder="1"/>
    <xf numFmtId="170" fontId="16" fillId="0" borderId="4" xfId="0" applyNumberFormat="1" applyFont="1" applyBorder="1" applyAlignment="1">
      <alignment horizontal="center"/>
    </xf>
    <xf numFmtId="171" fontId="11" fillId="2" borderId="3" xfId="0" applyNumberFormat="1" applyFont="1" applyFill="1" applyBorder="1"/>
    <xf numFmtId="171" fontId="11" fillId="0" borderId="8" xfId="0" applyNumberFormat="1" applyFont="1" applyBorder="1"/>
    <xf numFmtId="0" fontId="11" fillId="0" borderId="14" xfId="0" applyFont="1" applyFill="1" applyBorder="1" applyAlignment="1">
      <alignment horizontal="center"/>
    </xf>
    <xf numFmtId="171" fontId="11" fillId="0" borderId="0" xfId="0" applyNumberFormat="1" applyFont="1" applyBorder="1" applyAlignment="1"/>
    <xf numFmtId="171" fontId="11" fillId="2" borderId="3" xfId="0" applyNumberFormat="1" applyFont="1" applyFill="1" applyBorder="1" applyAlignment="1"/>
    <xf numFmtId="171" fontId="11" fillId="0" borderId="0" xfId="0" applyNumberFormat="1" applyFont="1" applyFill="1" applyBorder="1" applyAlignment="1"/>
    <xf numFmtId="37" fontId="11" fillId="0" borderId="0" xfId="0" applyNumberFormat="1" applyFont="1"/>
    <xf numFmtId="39" fontId="11" fillId="0" borderId="0" xfId="0" applyNumberFormat="1" applyFont="1"/>
    <xf numFmtId="171" fontId="11" fillId="2" borderId="16" xfId="0" applyNumberFormat="1" applyFont="1" applyFill="1" applyBorder="1" applyAlignment="1"/>
    <xf numFmtId="171" fontId="11" fillId="2" borderId="38" xfId="0" applyNumberFormat="1" applyFont="1" applyFill="1" applyBorder="1" applyAlignment="1"/>
    <xf numFmtId="170" fontId="16" fillId="0" borderId="0" xfId="0" applyNumberFormat="1" applyFont="1" applyAlignment="1">
      <alignment horizontal="center"/>
    </xf>
    <xf numFmtId="0" fontId="11" fillId="2" borderId="29" xfId="0" applyFont="1" applyFill="1" applyBorder="1" applyAlignment="1">
      <alignment horizontal="center"/>
    </xf>
    <xf numFmtId="0" fontId="11" fillId="2" borderId="30" xfId="0" applyFont="1" applyFill="1" applyBorder="1"/>
    <xf numFmtId="171" fontId="11" fillId="0" borderId="0" xfId="0" applyNumberFormat="1" applyFont="1"/>
    <xf numFmtId="0" fontId="11" fillId="0" borderId="29" xfId="0" applyFont="1" applyFill="1" applyBorder="1"/>
    <xf numFmtId="171" fontId="16" fillId="0" borderId="0" xfId="0" applyNumberFormat="1" applyFont="1" applyBorder="1"/>
    <xf numFmtId="171" fontId="16" fillId="0" borderId="14" xfId="0" applyNumberFormat="1" applyFont="1" applyFill="1" applyBorder="1" applyAlignment="1"/>
    <xf numFmtId="171" fontId="16" fillId="0" borderId="14" xfId="0" applyNumberFormat="1" applyFont="1" applyBorder="1" applyAlignment="1"/>
    <xf numFmtId="0" fontId="16" fillId="0" borderId="29" xfId="0" applyFont="1" applyBorder="1" applyAlignment="1">
      <alignment horizontal="center"/>
    </xf>
    <xf numFmtId="0" fontId="13" fillId="0" borderId="12" xfId="0" applyFont="1" applyBorder="1" applyAlignment="1">
      <alignment horizontal="center"/>
    </xf>
    <xf numFmtId="0" fontId="11" fillId="0" borderId="1" xfId="0" applyFont="1" applyBorder="1"/>
    <xf numFmtId="0" fontId="11" fillId="0" borderId="0" xfId="0" applyFont="1" applyFill="1" applyBorder="1"/>
    <xf numFmtId="0" fontId="11" fillId="0" borderId="32" xfId="0" applyFont="1" applyBorder="1"/>
    <xf numFmtId="37" fontId="13" fillId="0" borderId="0" xfId="0" applyNumberFormat="1" applyFont="1" applyAlignment="1" applyProtection="1">
      <alignment horizontal="left"/>
    </xf>
    <xf numFmtId="43" fontId="11" fillId="0" borderId="0" xfId="0" applyNumberFormat="1" applyFont="1" applyBorder="1"/>
    <xf numFmtId="0" fontId="18" fillId="2" borderId="29" xfId="0" applyFont="1" applyFill="1" applyBorder="1" applyAlignment="1">
      <alignment horizontal="center"/>
    </xf>
    <xf numFmtId="0" fontId="16" fillId="2" borderId="29" xfId="0" applyFont="1" applyFill="1" applyBorder="1" applyAlignment="1">
      <alignment horizontal="center"/>
    </xf>
    <xf numFmtId="0" fontId="19" fillId="0" borderId="0" xfId="0" applyFont="1" applyBorder="1"/>
    <xf numFmtId="0" fontId="19" fillId="0" borderId="0" xfId="0" applyFont="1"/>
    <xf numFmtId="14" fontId="11" fillId="0" borderId="0" xfId="0" applyNumberFormat="1" applyFont="1" applyAlignment="1">
      <alignment horizontal="center"/>
    </xf>
    <xf numFmtId="0" fontId="11" fillId="0" borderId="39" xfId="0" applyFont="1" applyBorder="1" applyAlignment="1">
      <alignment horizontal="center"/>
    </xf>
    <xf numFmtId="14" fontId="11" fillId="0" borderId="40" xfId="0" applyNumberFormat="1" applyFont="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171" fontId="11" fillId="0" borderId="14" xfId="0" applyNumberFormat="1" applyFont="1" applyBorder="1" applyAlignment="1">
      <alignment horizontal="center"/>
    </xf>
    <xf numFmtId="170" fontId="11" fillId="0" borderId="14" xfId="0" applyNumberFormat="1" applyFont="1" applyBorder="1"/>
    <xf numFmtId="166" fontId="11" fillId="0" borderId="42" xfId="5" applyNumberFormat="1" applyFont="1" applyBorder="1"/>
    <xf numFmtId="37" fontId="11" fillId="0" borderId="0" xfId="0" applyNumberFormat="1" applyFont="1" applyBorder="1" applyAlignment="1">
      <alignment horizontal="center"/>
    </xf>
    <xf numFmtId="170" fontId="11" fillId="0" borderId="0" xfId="0" applyNumberFormat="1" applyFont="1" applyBorder="1"/>
    <xf numFmtId="171" fontId="11" fillId="0" borderId="40" xfId="0" applyNumberFormat="1" applyFont="1" applyBorder="1"/>
    <xf numFmtId="164" fontId="20" fillId="0" borderId="14" xfId="0" applyNumberFormat="1" applyFont="1" applyFill="1" applyBorder="1" applyAlignment="1">
      <alignment horizontal="center"/>
    </xf>
    <xf numFmtId="37" fontId="13" fillId="0" borderId="14" xfId="0" applyNumberFormat="1" applyFont="1" applyBorder="1"/>
    <xf numFmtId="37" fontId="13" fillId="0" borderId="14" xfId="0" applyNumberFormat="1" applyFont="1" applyBorder="1" applyAlignment="1">
      <alignment horizontal="center"/>
    </xf>
    <xf numFmtId="170" fontId="13" fillId="0" borderId="14" xfId="0" applyNumberFormat="1" applyFont="1" applyBorder="1"/>
    <xf numFmtId="166" fontId="13" fillId="0" borderId="42" xfId="5" applyNumberFormat="1" applyFont="1" applyBorder="1"/>
    <xf numFmtId="37" fontId="11" fillId="0" borderId="0" xfId="0" applyNumberFormat="1" applyFont="1" applyBorder="1" applyAlignment="1"/>
    <xf numFmtId="170" fontId="11" fillId="0" borderId="0" xfId="0" applyNumberFormat="1" applyFont="1" applyBorder="1" applyAlignment="1"/>
    <xf numFmtId="171" fontId="11" fillId="0" borderId="40" xfId="0" applyNumberFormat="1" applyFont="1" applyBorder="1" applyAlignment="1"/>
    <xf numFmtId="37" fontId="11" fillId="0" borderId="0" xfId="0" applyNumberFormat="1" applyFont="1" applyFill="1" applyBorder="1" applyAlignment="1"/>
    <xf numFmtId="170" fontId="11" fillId="0" borderId="0" xfId="0" applyNumberFormat="1" applyFont="1" applyFill="1" applyBorder="1" applyAlignment="1"/>
    <xf numFmtId="171" fontId="11" fillId="0" borderId="40" xfId="0" applyNumberFormat="1" applyFont="1" applyFill="1" applyBorder="1" applyAlignment="1"/>
    <xf numFmtId="37" fontId="11" fillId="0" borderId="27" xfId="0" applyNumberFormat="1" applyFont="1" applyFill="1" applyBorder="1" applyAlignment="1"/>
    <xf numFmtId="171" fontId="11" fillId="0" borderId="27" xfId="0" applyNumberFormat="1" applyFont="1" applyFill="1" applyBorder="1" applyAlignment="1">
      <alignment horizontal="center"/>
    </xf>
    <xf numFmtId="170" fontId="11" fillId="0" borderId="27" xfId="0" applyNumberFormat="1" applyFont="1" applyFill="1" applyBorder="1" applyAlignment="1"/>
    <xf numFmtId="166" fontId="11" fillId="0" borderId="42" xfId="5" applyNumberFormat="1" applyFont="1" applyBorder="1" applyAlignment="1">
      <alignment horizontal="center"/>
    </xf>
    <xf numFmtId="37" fontId="11" fillId="0" borderId="14" xfId="0" applyNumberFormat="1" applyFont="1" applyFill="1" applyBorder="1" applyAlignment="1"/>
    <xf numFmtId="170" fontId="11" fillId="0" borderId="14" xfId="0" applyNumberFormat="1" applyFont="1" applyFill="1" applyBorder="1" applyAlignment="1"/>
    <xf numFmtId="37" fontId="11" fillId="0" borderId="14" xfId="0" applyNumberFormat="1" applyFont="1" applyBorder="1" applyAlignment="1"/>
    <xf numFmtId="170" fontId="11" fillId="0" borderId="14" xfId="0" applyNumberFormat="1" applyFont="1" applyBorder="1" applyAlignment="1"/>
    <xf numFmtId="166" fontId="11" fillId="0" borderId="41" xfId="5" applyNumberFormat="1" applyFont="1" applyBorder="1" applyAlignment="1">
      <alignment horizontal="center"/>
    </xf>
    <xf numFmtId="166" fontId="13" fillId="0" borderId="0" xfId="5" applyNumberFormat="1" applyFont="1" applyBorder="1"/>
    <xf numFmtId="0" fontId="11" fillId="0" borderId="13" xfId="0" applyFont="1" applyBorder="1"/>
    <xf numFmtId="0" fontId="14" fillId="0" borderId="0" xfId="0" applyFont="1" applyAlignment="1">
      <alignment horizontal="center"/>
    </xf>
    <xf numFmtId="0" fontId="20" fillId="0" borderId="0" xfId="0" applyFont="1"/>
    <xf numFmtId="170" fontId="11" fillId="0" borderId="0" xfId="0" applyNumberFormat="1" applyFont="1"/>
    <xf numFmtId="0" fontId="21" fillId="0" borderId="0" xfId="0" applyFont="1" applyFill="1" applyBorder="1" applyAlignment="1">
      <alignment horizontal="left"/>
    </xf>
    <xf numFmtId="0" fontId="10" fillId="0" borderId="0" xfId="0" applyFont="1" applyFill="1" applyBorder="1" applyAlignment="1">
      <alignment horizontal="left"/>
    </xf>
    <xf numFmtId="0" fontId="23" fillId="0" borderId="0" xfId="0" applyFont="1" applyFill="1" applyBorder="1" applyAlignment="1">
      <alignment horizontal="left"/>
    </xf>
    <xf numFmtId="0" fontId="13" fillId="0" borderId="0" xfId="0" applyFont="1" applyFill="1" applyBorder="1" applyAlignment="1">
      <alignment horizontal="center"/>
    </xf>
    <xf numFmtId="0" fontId="11" fillId="0" borderId="0" xfId="3" applyFont="1" applyAlignment="1">
      <alignment horizontal="left"/>
    </xf>
    <xf numFmtId="0" fontId="13" fillId="0" borderId="12" xfId="0" applyFont="1" applyFill="1" applyBorder="1" applyAlignment="1">
      <alignment horizontal="center"/>
    </xf>
    <xf numFmtId="170" fontId="14" fillId="0" borderId="27" xfId="0" applyNumberFormat="1" applyFont="1" applyFill="1" applyBorder="1" applyAlignment="1"/>
    <xf numFmtId="170" fontId="14" fillId="0" borderId="0" xfId="0" applyNumberFormat="1" applyFont="1" applyFill="1" applyBorder="1" applyAlignment="1"/>
    <xf numFmtId="3" fontId="11" fillId="0" borderId="0" xfId="4" applyFont="1" applyBorder="1"/>
    <xf numFmtId="167" fontId="11" fillId="0" borderId="0" xfId="1" applyNumberFormat="1" applyFont="1" applyFill="1" applyBorder="1"/>
    <xf numFmtId="4" fontId="11" fillId="0" borderId="0" xfId="4" applyNumberFormat="1" applyFont="1" applyBorder="1"/>
    <xf numFmtId="170" fontId="14" fillId="0" borderId="14" xfId="0" applyNumberFormat="1" applyFont="1" applyFill="1" applyBorder="1" applyAlignment="1"/>
    <xf numFmtId="3" fontId="11" fillId="0" borderId="0" xfId="4" applyFont="1" applyBorder="1" applyAlignment="1">
      <alignment horizontal="centerContinuous"/>
    </xf>
    <xf numFmtId="17" fontId="11" fillId="0" borderId="0" xfId="4" applyNumberFormat="1" applyFont="1" applyBorder="1" applyAlignment="1">
      <alignment horizontal="centerContinuous"/>
    </xf>
    <xf numFmtId="3" fontId="11" fillId="0" borderId="0" xfId="4" applyFont="1" applyBorder="1" applyAlignment="1">
      <alignment horizontal="center"/>
    </xf>
    <xf numFmtId="3" fontId="11" fillId="0" borderId="0" xfId="4" applyFont="1" applyFill="1" applyBorder="1" applyAlignment="1">
      <alignment horizontal="center"/>
    </xf>
    <xf numFmtId="3" fontId="11" fillId="0" borderId="0" xfId="4" applyFont="1" applyFill="1" applyBorder="1"/>
    <xf numFmtId="170" fontId="13" fillId="0" borderId="0" xfId="0" applyNumberFormat="1" applyFont="1"/>
    <xf numFmtId="170" fontId="13" fillId="0" borderId="0" xfId="0" applyNumberFormat="1" applyFont="1" applyBorder="1"/>
    <xf numFmtId="167" fontId="11" fillId="0" borderId="0" xfId="1" applyNumberFormat="1" applyFont="1"/>
    <xf numFmtId="43" fontId="11" fillId="0" borderId="0" xfId="0" applyNumberFormat="1" applyFont="1"/>
    <xf numFmtId="165" fontId="11" fillId="0" borderId="0" xfId="0" applyNumberFormat="1" applyFont="1"/>
    <xf numFmtId="165" fontId="11" fillId="0" borderId="0" xfId="0" applyNumberFormat="1" applyFont="1" applyBorder="1"/>
    <xf numFmtId="0" fontId="20" fillId="0" borderId="32" xfId="3" applyFont="1" applyBorder="1" applyAlignment="1">
      <alignment horizontal="left"/>
    </xf>
    <xf numFmtId="0" fontId="13" fillId="0" borderId="29" xfId="0" applyFont="1" applyFill="1" applyBorder="1" applyAlignment="1">
      <alignment horizontal="center"/>
    </xf>
    <xf numFmtId="0" fontId="13" fillId="0" borderId="29" xfId="0" applyFont="1" applyBorder="1"/>
    <xf numFmtId="165" fontId="11" fillId="0" borderId="0" xfId="1" applyNumberFormat="1" applyFont="1" applyBorder="1"/>
    <xf numFmtId="0" fontId="11" fillId="0" borderId="0" xfId="0" applyFont="1" applyFill="1" applyBorder="1" applyAlignment="1">
      <alignment horizontal="left"/>
    </xf>
    <xf numFmtId="0" fontId="15" fillId="0" borderId="0" xfId="0" applyFont="1" applyFill="1" applyBorder="1" applyAlignment="1">
      <alignment horizontal="left"/>
    </xf>
    <xf numFmtId="167" fontId="11" fillId="0" borderId="0" xfId="1" applyNumberFormat="1" applyFont="1" applyBorder="1"/>
    <xf numFmtId="165" fontId="16" fillId="0" borderId="0" xfId="1" applyNumberFormat="1" applyFont="1" applyBorder="1"/>
    <xf numFmtId="0" fontId="26" fillId="0" borderId="0" xfId="0" applyFont="1" applyBorder="1" applyAlignment="1">
      <alignment horizontal="center"/>
    </xf>
    <xf numFmtId="0" fontId="11" fillId="0" borderId="0" xfId="0" applyFont="1" applyFill="1"/>
    <xf numFmtId="0" fontId="13" fillId="0" borderId="0" xfId="0" applyFont="1" applyFill="1" applyAlignment="1">
      <alignment horizontal="center"/>
    </xf>
    <xf numFmtId="0" fontId="16" fillId="0" borderId="0" xfId="0" applyFont="1" applyFill="1"/>
    <xf numFmtId="165" fontId="16" fillId="0" borderId="0" xfId="1" applyNumberFormat="1" applyFont="1" applyFill="1"/>
    <xf numFmtId="171" fontId="13" fillId="0" borderId="34" xfId="0" applyNumberFormat="1" applyFont="1" applyBorder="1" applyAlignment="1">
      <alignment horizontal="centerContinuous"/>
    </xf>
    <xf numFmtId="171" fontId="11" fillId="0" borderId="29" xfId="0" applyNumberFormat="1" applyFont="1" applyBorder="1"/>
    <xf numFmtId="171" fontId="11" fillId="0" borderId="29" xfId="0" applyNumberFormat="1" applyFont="1" applyBorder="1" applyAlignment="1">
      <alignment horizontal="left"/>
    </xf>
    <xf numFmtId="171" fontId="11" fillId="0" borderId="24" xfId="0" applyNumberFormat="1" applyFont="1" applyBorder="1"/>
    <xf numFmtId="171" fontId="11" fillId="0" borderId="0" xfId="0" applyNumberFormat="1" applyFont="1" applyBorder="1" applyAlignment="1">
      <alignment horizontal="center"/>
    </xf>
    <xf numFmtId="171" fontId="13" fillId="0" borderId="14" xfId="0" applyNumberFormat="1" applyFont="1" applyBorder="1" applyAlignment="1">
      <alignment horizontal="center"/>
    </xf>
    <xf numFmtId="171" fontId="11" fillId="2" borderId="29" xfId="0" applyNumberFormat="1" applyFont="1" applyFill="1" applyBorder="1"/>
    <xf numFmtId="170" fontId="11" fillId="0" borderId="0" xfId="1" applyNumberFormat="1" applyFont="1" applyBorder="1"/>
    <xf numFmtId="10" fontId="16" fillId="0" borderId="0" xfId="5" applyNumberFormat="1" applyFont="1" applyAlignment="1">
      <alignment horizontal="center"/>
    </xf>
    <xf numFmtId="0" fontId="13" fillId="3" borderId="0" xfId="0" applyFont="1" applyFill="1" applyAlignment="1">
      <alignment horizontal="center"/>
    </xf>
    <xf numFmtId="0" fontId="17" fillId="3" borderId="0" xfId="0" applyFont="1" applyFill="1" applyAlignment="1">
      <alignment horizontal="center"/>
    </xf>
    <xf numFmtId="0" fontId="17" fillId="3" borderId="12" xfId="0" applyFont="1" applyFill="1" applyBorder="1" applyAlignment="1">
      <alignment horizontal="center" wrapText="1"/>
    </xf>
    <xf numFmtId="0" fontId="13" fillId="0" borderId="0" xfId="0" applyFont="1" applyBorder="1"/>
    <xf numFmtId="0" fontId="14" fillId="0" borderId="0" xfId="0" applyFont="1"/>
    <xf numFmtId="0" fontId="14" fillId="0" borderId="0" xfId="0" applyFont="1" applyBorder="1"/>
    <xf numFmtId="171" fontId="14" fillId="0" borderId="0" xfId="0" applyNumberFormat="1" applyFont="1" applyBorder="1"/>
    <xf numFmtId="171" fontId="14" fillId="0" borderId="0" xfId="0" applyNumberFormat="1" applyFont="1"/>
    <xf numFmtId="168" fontId="14" fillId="0" borderId="0" xfId="0" applyNumberFormat="1" applyFont="1"/>
    <xf numFmtId="0" fontId="16" fillId="3" borderId="0" xfId="0" applyFont="1" applyFill="1" applyBorder="1" applyAlignment="1">
      <alignment horizontal="center"/>
    </xf>
    <xf numFmtId="0" fontId="20" fillId="0" borderId="0" xfId="0" applyFont="1" applyAlignment="1">
      <alignment horizontal="center"/>
    </xf>
    <xf numFmtId="14" fontId="20" fillId="0" borderId="0" xfId="0" applyNumberFormat="1" applyFont="1" applyAlignment="1">
      <alignment horizontal="center"/>
    </xf>
    <xf numFmtId="0" fontId="13" fillId="0" borderId="0" xfId="0" applyFont="1" applyBorder="1" applyAlignment="1">
      <alignment horizontal="centerContinuous"/>
    </xf>
    <xf numFmtId="171" fontId="20" fillId="0" borderId="0" xfId="0" applyNumberFormat="1" applyFont="1" applyBorder="1" applyAlignment="1">
      <alignment horizontal="center"/>
    </xf>
    <xf numFmtId="0" fontId="25" fillId="0" borderId="0" xfId="0" applyFont="1" applyBorder="1" applyAlignment="1">
      <alignment horizont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7" xfId="0" applyFont="1" applyBorder="1" applyAlignment="1">
      <alignment horizontal="center"/>
    </xf>
    <xf numFmtId="0" fontId="13" fillId="0" borderId="18" xfId="0" applyFont="1" applyBorder="1" applyAlignment="1">
      <alignment horizontal="right"/>
    </xf>
    <xf numFmtId="0" fontId="13" fillId="0" borderId="21" xfId="0" applyFont="1" applyBorder="1" applyAlignment="1">
      <alignment horizontal="right"/>
    </xf>
    <xf numFmtId="172" fontId="14" fillId="0" borderId="14" xfId="0" applyNumberFormat="1" applyFont="1" applyBorder="1"/>
    <xf numFmtId="168" fontId="14" fillId="0" borderId="0" xfId="0" applyNumberFormat="1" applyFont="1" applyBorder="1"/>
    <xf numFmtId="168" fontId="11" fillId="0" borderId="0" xfId="0" applyNumberFormat="1" applyFont="1" applyBorder="1"/>
    <xf numFmtId="7" fontId="11" fillId="0" borderId="0" xfId="0" applyNumberFormat="1" applyFont="1" applyBorder="1"/>
    <xf numFmtId="164" fontId="11" fillId="0" borderId="0" xfId="0" applyNumberFormat="1" applyFont="1" applyFill="1" applyBorder="1" applyAlignment="1">
      <alignment horizontal="center"/>
    </xf>
    <xf numFmtId="172" fontId="14" fillId="0" borderId="0" xfId="0" applyNumberFormat="1" applyFont="1" applyBorder="1"/>
    <xf numFmtId="164" fontId="11" fillId="0" borderId="14" xfId="0" applyNumberFormat="1" applyFont="1" applyFill="1" applyBorder="1" applyAlignment="1">
      <alignment horizontal="center"/>
    </xf>
    <xf numFmtId="172" fontId="14" fillId="0" borderId="0" xfId="0" applyNumberFormat="1" applyFont="1" applyBorder="1" applyAlignment="1"/>
    <xf numFmtId="172" fontId="14" fillId="0" borderId="0" xfId="0" applyNumberFormat="1" applyFont="1" applyFill="1" applyBorder="1" applyAlignment="1"/>
    <xf numFmtId="172" fontId="14" fillId="0" borderId="14" xfId="0" applyNumberFormat="1" applyFont="1" applyFill="1" applyBorder="1" applyAlignment="1"/>
    <xf numFmtId="172" fontId="14" fillId="0" borderId="27" xfId="0" applyNumberFormat="1" applyFont="1" applyFill="1" applyBorder="1" applyAlignment="1"/>
    <xf numFmtId="172" fontId="14" fillId="0" borderId="14" xfId="0" applyNumberFormat="1" applyFont="1" applyBorder="1" applyAlignment="1"/>
    <xf numFmtId="0" fontId="24" fillId="0" borderId="29" xfId="0" applyFont="1" applyFill="1" applyBorder="1" applyAlignment="1">
      <alignment horizontal="center"/>
    </xf>
    <xf numFmtId="0" fontId="14" fillId="2" borderId="29" xfId="0" applyFont="1" applyFill="1" applyBorder="1"/>
    <xf numFmtId="0" fontId="11" fillId="0" borderId="29" xfId="0" applyFont="1" applyBorder="1" applyAlignment="1">
      <alignment horizontal="center"/>
    </xf>
    <xf numFmtId="0" fontId="22" fillId="0" borderId="0" xfId="0" applyFont="1" applyBorder="1"/>
    <xf numFmtId="0" fontId="11" fillId="0" borderId="0" xfId="0" applyFont="1" applyAlignment="1"/>
    <xf numFmtId="0" fontId="27" fillId="0" borderId="0" xfId="0" applyFont="1" applyFill="1" applyBorder="1"/>
    <xf numFmtId="0" fontId="27" fillId="0" borderId="0" xfId="0" applyFont="1" applyFill="1"/>
    <xf numFmtId="0" fontId="13" fillId="0" borderId="0" xfId="0" applyFont="1" applyFill="1"/>
    <xf numFmtId="171" fontId="11" fillId="0" borderId="14" xfId="0" quotePrefix="1" applyNumberFormat="1" applyFont="1" applyBorder="1"/>
    <xf numFmtId="7" fontId="11" fillId="0" borderId="14" xfId="0" applyNumberFormat="1" applyFont="1" applyBorder="1"/>
    <xf numFmtId="7" fontId="11" fillId="0" borderId="0" xfId="0" applyNumberFormat="1" applyFont="1" applyBorder="1" applyAlignment="1"/>
    <xf numFmtId="7" fontId="11" fillId="0" borderId="0" xfId="0" applyNumberFormat="1" applyFont="1" applyFill="1" applyBorder="1" applyAlignment="1"/>
    <xf numFmtId="7" fontId="11" fillId="0" borderId="14" xfId="0" applyNumberFormat="1" applyFont="1" applyFill="1" applyBorder="1" applyAlignment="1"/>
    <xf numFmtId="7" fontId="11" fillId="0" borderId="27" xfId="0" applyNumberFormat="1" applyFont="1" applyFill="1" applyBorder="1" applyAlignment="1"/>
    <xf numFmtId="7" fontId="11" fillId="0" borderId="14" xfId="0" applyNumberFormat="1" applyFont="1" applyBorder="1" applyAlignment="1"/>
    <xf numFmtId="0" fontId="13" fillId="0" borderId="14" xfId="0" applyFont="1" applyFill="1" applyBorder="1" applyAlignment="1">
      <alignment horizontal="center"/>
    </xf>
    <xf numFmtId="171" fontId="11" fillId="0" borderId="14" xfId="0" applyNumberFormat="1" applyFont="1" applyFill="1" applyBorder="1"/>
    <xf numFmtId="7" fontId="11" fillId="0" borderId="14" xfId="0" applyNumberFormat="1" applyFont="1" applyFill="1" applyBorder="1"/>
    <xf numFmtId="0" fontId="13" fillId="3" borderId="32" xfId="0" applyFont="1" applyFill="1" applyBorder="1"/>
    <xf numFmtId="0" fontId="13" fillId="3" borderId="29" xfId="0" applyFont="1" applyFill="1" applyBorder="1"/>
    <xf numFmtId="0" fontId="13" fillId="3" borderId="30" xfId="0" applyFont="1" applyFill="1" applyBorder="1"/>
    <xf numFmtId="0" fontId="13" fillId="3" borderId="29" xfId="0" applyFont="1" applyFill="1" applyBorder="1" applyAlignment="1">
      <alignment horizontal="center"/>
    </xf>
    <xf numFmtId="0" fontId="13" fillId="3" borderId="30" xfId="0" applyFont="1" applyFill="1" applyBorder="1" applyAlignment="1">
      <alignment horizontal="center"/>
    </xf>
    <xf numFmtId="0" fontId="11" fillId="0" borderId="0" xfId="0" applyFont="1" applyBorder="1" applyAlignment="1">
      <alignment horizontal="right"/>
    </xf>
    <xf numFmtId="0" fontId="11" fillId="3" borderId="0" xfId="0" applyFont="1" applyFill="1" applyBorder="1"/>
    <xf numFmtId="0" fontId="13" fillId="3" borderId="27" xfId="0" applyFont="1" applyFill="1" applyBorder="1" applyAlignment="1">
      <alignment horizontal="centerContinuous"/>
    </xf>
    <xf numFmtId="0" fontId="13" fillId="3" borderId="27" xfId="0" applyFont="1" applyFill="1" applyBorder="1" applyAlignment="1">
      <alignment horizontal="center"/>
    </xf>
    <xf numFmtId="0" fontId="11" fillId="3" borderId="27" xfId="0" applyFont="1" applyFill="1" applyBorder="1" applyAlignment="1">
      <alignment horizontal="centerContinuous"/>
    </xf>
    <xf numFmtId="0" fontId="13" fillId="3" borderId="0" xfId="0" applyFont="1" applyFill="1" applyBorder="1" applyAlignment="1">
      <alignment horizontal="center"/>
    </xf>
    <xf numFmtId="0" fontId="11" fillId="3" borderId="0" xfId="0" applyFont="1" applyFill="1" applyBorder="1" applyAlignment="1">
      <alignment horizontal="center"/>
    </xf>
    <xf numFmtId="0" fontId="24" fillId="0" borderId="0" xfId="0" applyFont="1" applyFill="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0" fontId="20" fillId="3" borderId="32" xfId="0" applyFont="1" applyFill="1" applyBorder="1"/>
    <xf numFmtId="0" fontId="11" fillId="3" borderId="29" xfId="0" applyFont="1" applyFill="1" applyBorder="1"/>
    <xf numFmtId="171" fontId="14" fillId="3" borderId="30" xfId="0" applyNumberFormat="1" applyFont="1" applyFill="1" applyBorder="1"/>
    <xf numFmtId="171" fontId="14" fillId="0" borderId="0" xfId="0" applyNumberFormat="1" applyFont="1" applyBorder="1" applyAlignment="1">
      <alignment horizontal="center"/>
    </xf>
    <xf numFmtId="14" fontId="13" fillId="0" borderId="0" xfId="0" applyNumberFormat="1" applyFont="1" applyFill="1" applyAlignment="1">
      <alignment horizontal="center"/>
    </xf>
    <xf numFmtId="171" fontId="11" fillId="0" borderId="0" xfId="0" applyNumberFormat="1" applyFont="1" applyFill="1" applyBorder="1"/>
    <xf numFmtId="0" fontId="25" fillId="4" borderId="0" xfId="0" applyFont="1" applyFill="1" applyBorder="1"/>
    <xf numFmtId="0" fontId="28" fillId="4" borderId="0" xfId="0" applyFont="1" applyFill="1" applyBorder="1"/>
    <xf numFmtId="171" fontId="28" fillId="4" borderId="0" xfId="0" applyNumberFormat="1" applyFont="1" applyFill="1" applyBorder="1"/>
    <xf numFmtId="0" fontId="17" fillId="4" borderId="0" xfId="0" applyFont="1" applyFill="1" applyBorder="1"/>
    <xf numFmtId="172" fontId="6" fillId="0" borderId="7" xfId="0" applyNumberFormat="1" applyFont="1" applyBorder="1"/>
    <xf numFmtId="171" fontId="6" fillId="0" borderId="0" xfId="0" applyNumberFormat="1" applyFont="1" applyBorder="1"/>
    <xf numFmtId="171" fontId="6" fillId="0" borderId="1" xfId="0" applyNumberFormat="1" applyFont="1" applyBorder="1"/>
    <xf numFmtId="171" fontId="6" fillId="0" borderId="12" xfId="0" applyNumberFormat="1" applyFont="1" applyBorder="1"/>
    <xf numFmtId="168" fontId="11" fillId="0" borderId="14" xfId="0" applyNumberFormat="1" applyFont="1" applyBorder="1" applyAlignment="1"/>
    <xf numFmtId="0" fontId="14" fillId="0" borderId="29" xfId="0" applyFont="1" applyFill="1" applyBorder="1" applyAlignment="1">
      <alignment horizontal="center"/>
    </xf>
    <xf numFmtId="0" fontId="11" fillId="0" borderId="0" xfId="0" applyFont="1" applyBorder="1" applyAlignment="1">
      <alignment horizontal="center" wrapText="1"/>
    </xf>
    <xf numFmtId="171" fontId="31" fillId="0" borderId="14" xfId="0" applyNumberFormat="1" applyFont="1" applyBorder="1"/>
    <xf numFmtId="171" fontId="31" fillId="0" borderId="0" xfId="0" applyNumberFormat="1" applyFont="1" applyBorder="1"/>
    <xf numFmtId="171" fontId="31" fillId="0" borderId="0" xfId="0" applyNumberFormat="1" applyFont="1" applyBorder="1" applyAlignment="1"/>
    <xf numFmtId="171" fontId="31" fillId="0" borderId="0" xfId="0" applyNumberFormat="1" applyFont="1" applyFill="1" applyBorder="1" applyAlignment="1"/>
    <xf numFmtId="171" fontId="31" fillId="0" borderId="14" xfId="0" applyNumberFormat="1" applyFont="1" applyFill="1" applyBorder="1" applyAlignment="1"/>
    <xf numFmtId="171" fontId="31" fillId="0" borderId="27" xfId="0" applyNumberFormat="1" applyFont="1" applyFill="1" applyBorder="1" applyAlignment="1"/>
    <xf numFmtId="166" fontId="13" fillId="0" borderId="40" xfId="5" applyNumberFormat="1" applyFont="1" applyBorder="1"/>
    <xf numFmtId="0" fontId="13" fillId="5" borderId="0" xfId="0" applyFont="1" applyFill="1" applyAlignment="1">
      <alignment horizontal="left"/>
    </xf>
    <xf numFmtId="166" fontId="11" fillId="0" borderId="0" xfId="5" applyNumberFormat="1" applyFont="1" applyBorder="1"/>
    <xf numFmtId="168" fontId="11" fillId="0" borderId="0" xfId="0" applyNumberFormat="1" applyFont="1"/>
    <xf numFmtId="0" fontId="12" fillId="0" borderId="29" xfId="0" applyFont="1" applyFill="1" applyBorder="1" applyAlignment="1">
      <alignment horizontal="center"/>
    </xf>
    <xf numFmtId="0" fontId="12" fillId="0" borderId="0" xfId="0" applyFont="1" applyFill="1" applyBorder="1" applyAlignment="1">
      <alignment horizontal="center"/>
    </xf>
    <xf numFmtId="0" fontId="15" fillId="0" borderId="0" xfId="0" applyFont="1" applyFill="1"/>
    <xf numFmtId="37" fontId="14" fillId="0" borderId="24" xfId="0" applyNumberFormat="1" applyFont="1" applyBorder="1"/>
    <xf numFmtId="170" fontId="11" fillId="0" borderId="0" xfId="0" quotePrefix="1" applyNumberFormat="1" applyFont="1"/>
    <xf numFmtId="0" fontId="13" fillId="39" borderId="0" xfId="0" applyFont="1" applyFill="1" applyBorder="1" applyAlignment="1">
      <alignment horizontal="right"/>
    </xf>
    <xf numFmtId="0" fontId="11" fillId="39" borderId="0" xfId="0" applyFont="1" applyFill="1" applyBorder="1" applyAlignment="1">
      <alignment horizontal="center"/>
    </xf>
    <xf numFmtId="0" fontId="13" fillId="39" borderId="0" xfId="0" applyFont="1" applyFill="1" applyBorder="1" applyAlignment="1">
      <alignment horizontal="center"/>
    </xf>
    <xf numFmtId="0" fontId="12" fillId="39" borderId="0" xfId="0" applyFont="1" applyFill="1" applyBorder="1" applyAlignment="1">
      <alignment horizontal="right"/>
    </xf>
    <xf numFmtId="170" fontId="16" fillId="0" borderId="0" xfId="0" applyNumberFormat="1" applyFont="1" applyFill="1"/>
    <xf numFmtId="0" fontId="11" fillId="40" borderId="0" xfId="0" applyFont="1" applyFill="1" applyBorder="1"/>
    <xf numFmtId="37" fontId="12" fillId="0" borderId="24" xfId="0" applyNumberFormat="1" applyFont="1" applyBorder="1"/>
    <xf numFmtId="0" fontId="52" fillId="0" borderId="0" xfId="0" applyFont="1" applyBorder="1"/>
    <xf numFmtId="183" fontId="14" fillId="0" borderId="0" xfId="0" applyNumberFormat="1" applyFont="1"/>
    <xf numFmtId="171" fontId="6" fillId="0" borderId="13" xfId="0" applyNumberFormat="1" applyFont="1" applyBorder="1"/>
    <xf numFmtId="166" fontId="11" fillId="0" borderId="0" xfId="0" applyNumberFormat="1" applyFont="1" applyBorder="1"/>
    <xf numFmtId="172" fontId="11" fillId="0" borderId="0" xfId="0" applyNumberFormat="1" applyFont="1"/>
    <xf numFmtId="0" fontId="13" fillId="0" borderId="0" xfId="0" applyFont="1" applyBorder="1" applyAlignment="1">
      <alignment horizontal="center" wrapText="1"/>
    </xf>
    <xf numFmtId="0" fontId="11" fillId="5" borderId="0" xfId="0" applyFont="1" applyFill="1" applyBorder="1"/>
    <xf numFmtId="0" fontId="13" fillId="5" borderId="27" xfId="0" applyFont="1" applyFill="1" applyBorder="1" applyAlignment="1">
      <alignment horizontal="centerContinuous"/>
    </xf>
    <xf numFmtId="0" fontId="11" fillId="5" borderId="27" xfId="0" applyFont="1" applyFill="1" applyBorder="1" applyAlignment="1">
      <alignment horizontal="centerContinuous"/>
    </xf>
    <xf numFmtId="0" fontId="11" fillId="41" borderId="0" xfId="0" applyFont="1" applyFill="1" applyBorder="1"/>
    <xf numFmtId="0" fontId="53" fillId="0" borderId="0" xfId="0" applyFont="1" applyBorder="1"/>
    <xf numFmtId="0" fontId="30" fillId="0" borderId="0" xfId="0" applyFont="1" applyBorder="1"/>
    <xf numFmtId="4" fontId="11" fillId="0" borderId="0" xfId="0" applyNumberFormat="1" applyFont="1" applyBorder="1"/>
    <xf numFmtId="3" fontId="11" fillId="0" borderId="0" xfId="4" applyFont="1" applyFill="1" applyBorder="1" applyAlignment="1">
      <alignment horizontal="centerContinuous"/>
    </xf>
    <xf numFmtId="17" fontId="11" fillId="0" borderId="0" xfId="4" applyNumberFormat="1" applyFont="1" applyFill="1" applyBorder="1" applyAlignment="1">
      <alignment horizontal="centerContinuous"/>
    </xf>
    <xf numFmtId="0" fontId="13" fillId="0" borderId="0" xfId="0" applyFont="1" applyFill="1" applyBorder="1" applyAlignment="1">
      <alignment horizontal="right"/>
    </xf>
    <xf numFmtId="14" fontId="11" fillId="0" borderId="39" xfId="0" applyNumberFormat="1" applyFont="1" applyBorder="1" applyAlignment="1">
      <alignment horizontal="center"/>
    </xf>
    <xf numFmtId="0" fontId="13" fillId="0" borderId="40" xfId="0" applyFont="1" applyFill="1" applyBorder="1" applyAlignment="1">
      <alignment horizontal="center"/>
    </xf>
    <xf numFmtId="0" fontId="13" fillId="0" borderId="42" xfId="0" applyFont="1" applyFill="1" applyBorder="1" applyAlignment="1">
      <alignment horizontal="center"/>
    </xf>
    <xf numFmtId="166" fontId="11" fillId="0" borderId="40" xfId="5" applyNumberFormat="1" applyFont="1" applyBorder="1"/>
    <xf numFmtId="166" fontId="11" fillId="0" borderId="43" xfId="5" applyNumberFormat="1" applyFont="1" applyBorder="1"/>
    <xf numFmtId="39" fontId="11" fillId="0" borderId="41" xfId="0" applyNumberFormat="1" applyFont="1" applyBorder="1"/>
    <xf numFmtId="0" fontId="13" fillId="42" borderId="12" xfId="0" applyFont="1" applyFill="1" applyBorder="1" applyAlignment="1">
      <alignment horizontal="center" wrapText="1"/>
    </xf>
    <xf numFmtId="0" fontId="13" fillId="42" borderId="0" xfId="0" applyFont="1" applyFill="1" applyBorder="1" applyAlignment="1">
      <alignment horizontal="center"/>
    </xf>
    <xf numFmtId="0" fontId="13" fillId="42" borderId="14" xfId="0" applyFont="1" applyFill="1" applyBorder="1" applyAlignment="1">
      <alignment horizontal="center"/>
    </xf>
    <xf numFmtId="171" fontId="11" fillId="42" borderId="14" xfId="0" applyNumberFormat="1" applyFont="1" applyFill="1" applyBorder="1" applyAlignment="1"/>
    <xf numFmtId="0" fontId="13" fillId="0" borderId="12" xfId="0" applyFont="1" applyFill="1" applyBorder="1" applyAlignment="1">
      <alignment horizontal="center" wrapText="1"/>
    </xf>
    <xf numFmtId="0" fontId="13" fillId="0" borderId="0" xfId="0" applyFont="1" applyFill="1" applyAlignment="1">
      <alignment horizontal="right"/>
    </xf>
    <xf numFmtId="168" fontId="11" fillId="0" borderId="14" xfId="0" applyNumberFormat="1" applyFont="1" applyFill="1" applyBorder="1" applyAlignment="1"/>
    <xf numFmtId="0" fontId="16" fillId="0" borderId="29" xfId="0" applyFont="1" applyFill="1" applyBorder="1" applyAlignment="1">
      <alignment horizontal="center"/>
    </xf>
    <xf numFmtId="37" fontId="11" fillId="0" borderId="0" xfId="0" applyNumberFormat="1" applyFont="1" applyAlignment="1" applyProtection="1">
      <alignment horizontal="left" vertical="top"/>
    </xf>
    <xf numFmtId="0" fontId="0" fillId="0" borderId="0" xfId="0" applyAlignment="1">
      <alignment vertical="top"/>
    </xf>
    <xf numFmtId="183" fontId="13" fillId="0" borderId="0" xfId="0" applyNumberFormat="1" applyFont="1" applyBorder="1" applyAlignment="1">
      <alignment horizontal="right"/>
    </xf>
    <xf numFmtId="171" fontId="11" fillId="0" borderId="0" xfId="0" applyNumberFormat="1" applyFont="1" applyFill="1"/>
    <xf numFmtId="172" fontId="11" fillId="0" borderId="14" xfId="0" applyNumberFormat="1" applyFont="1" applyFill="1" applyBorder="1"/>
    <xf numFmtId="172" fontId="11" fillId="0" borderId="14" xfId="0" applyNumberFormat="1" applyFont="1" applyBorder="1"/>
    <xf numFmtId="172" fontId="11" fillId="0" borderId="0" xfId="0" applyNumberFormat="1" applyFont="1" applyBorder="1"/>
    <xf numFmtId="172" fontId="11" fillId="0" borderId="0" xfId="0" applyNumberFormat="1" applyFont="1" applyBorder="1" applyAlignment="1"/>
    <xf numFmtId="172" fontId="11" fillId="0" borderId="0" xfId="0" applyNumberFormat="1" applyFont="1" applyFill="1" applyBorder="1" applyAlignment="1"/>
    <xf numFmtId="172" fontId="11" fillId="0" borderId="14" xfId="0" applyNumberFormat="1" applyFont="1" applyFill="1" applyBorder="1" applyAlignment="1"/>
    <xf numFmtId="172" fontId="11" fillId="0" borderId="27" xfId="0" applyNumberFormat="1" applyFont="1" applyFill="1" applyBorder="1" applyAlignment="1"/>
    <xf numFmtId="172" fontId="11" fillId="0" borderId="14" xfId="0" applyNumberFormat="1" applyFont="1" applyBorder="1" applyAlignment="1"/>
    <xf numFmtId="172" fontId="16" fillId="0" borderId="0" xfId="0" applyNumberFormat="1" applyFont="1"/>
    <xf numFmtId="173" fontId="11" fillId="0" borderId="14" xfId="0" applyNumberFormat="1" applyFont="1" applyBorder="1"/>
    <xf numFmtId="173" fontId="16" fillId="0" borderId="0" xfId="0" applyNumberFormat="1" applyFont="1"/>
    <xf numFmtId="168" fontId="11" fillId="0" borderId="14" xfId="0" applyNumberFormat="1" applyFont="1" applyBorder="1"/>
    <xf numFmtId="168" fontId="11" fillId="0" borderId="0" xfId="3" applyNumberFormat="1" applyFont="1" applyBorder="1"/>
    <xf numFmtId="168" fontId="11" fillId="0" borderId="0" xfId="3" quotePrefix="1" applyNumberFormat="1" applyFont="1" applyBorder="1"/>
    <xf numFmtId="5" fontId="11" fillId="0" borderId="0" xfId="0" applyNumberFormat="1" applyFont="1"/>
    <xf numFmtId="176" fontId="11" fillId="0" borderId="0" xfId="0" applyNumberFormat="1" applyFont="1"/>
    <xf numFmtId="5" fontId="16" fillId="0" borderId="0" xfId="0" applyNumberFormat="1" applyFont="1" applyAlignment="1">
      <alignment horizontal="center"/>
    </xf>
    <xf numFmtId="168" fontId="11" fillId="0" borderId="11" xfId="0" applyNumberFormat="1" applyFont="1" applyBorder="1"/>
    <xf numFmtId="168" fontId="11" fillId="0" borderId="8" xfId="0" applyNumberFormat="1" applyFont="1" applyBorder="1"/>
    <xf numFmtId="168" fontId="13" fillId="0" borderId="14" xfId="0" applyNumberFormat="1" applyFont="1" applyBorder="1"/>
    <xf numFmtId="168" fontId="11" fillId="0" borderId="0" xfId="0" applyNumberFormat="1" applyFont="1" applyFill="1" applyBorder="1" applyAlignment="1"/>
    <xf numFmtId="168" fontId="11" fillId="0" borderId="27" xfId="0" applyNumberFormat="1" applyFont="1" applyFill="1" applyBorder="1" applyAlignment="1"/>
    <xf numFmtId="7" fontId="13" fillId="0" borderId="14" xfId="0" applyNumberFormat="1" applyFont="1" applyBorder="1"/>
    <xf numFmtId="168" fontId="13" fillId="0" borderId="0" xfId="0" applyNumberFormat="1" applyFont="1" applyBorder="1"/>
    <xf numFmtId="168" fontId="11" fillId="0" borderId="27" xfId="0" applyNumberFormat="1" applyFont="1" applyBorder="1"/>
    <xf numFmtId="7" fontId="16" fillId="0" borderId="0" xfId="0" applyNumberFormat="1" applyFont="1" applyFill="1" applyBorder="1" applyAlignment="1"/>
    <xf numFmtId="7" fontId="16" fillId="0" borderId="27" xfId="0" applyNumberFormat="1" applyFont="1" applyFill="1" applyBorder="1" applyAlignment="1"/>
    <xf numFmtId="0" fontId="10" fillId="0" borderId="0" xfId="0" applyFont="1" applyBorder="1" applyAlignment="1">
      <alignment horizontal="centerContinuous"/>
    </xf>
    <xf numFmtId="0" fontId="10" fillId="0" borderId="0" xfId="0" applyFont="1" applyBorder="1" applyAlignment="1">
      <alignment horizontal="left"/>
    </xf>
    <xf numFmtId="170" fontId="24" fillId="0" borderId="0" xfId="0" applyNumberFormat="1" applyFont="1" applyFill="1" applyBorder="1" applyAlignment="1"/>
    <xf numFmtId="170" fontId="24" fillId="0" borderId="14" xfId="0" applyNumberFormat="1" applyFont="1" applyFill="1" applyBorder="1" applyAlignment="1"/>
    <xf numFmtId="170" fontId="24" fillId="0" borderId="27" xfId="0" applyNumberFormat="1" applyFont="1" applyFill="1" applyBorder="1" applyAlignment="1"/>
    <xf numFmtId="44" fontId="11" fillId="0" borderId="0" xfId="2" applyFont="1" applyBorder="1"/>
    <xf numFmtId="167" fontId="16" fillId="0" borderId="0" xfId="1" applyNumberFormat="1" applyFont="1" applyAlignment="1">
      <alignment horizontal="center"/>
    </xf>
    <xf numFmtId="7" fontId="10" fillId="0" borderId="0" xfId="0" applyNumberFormat="1" applyFont="1" applyBorder="1" applyAlignment="1">
      <alignment horizontal="center"/>
    </xf>
    <xf numFmtId="37" fontId="11" fillId="0" borderId="36" xfId="0" applyNumberFormat="1" applyFont="1" applyBorder="1"/>
    <xf numFmtId="0" fontId="17" fillId="0" borderId="12" xfId="0" applyFont="1" applyFill="1" applyBorder="1" applyAlignment="1">
      <alignment horizontal="center"/>
    </xf>
    <xf numFmtId="170" fontId="31" fillId="0" borderId="27" xfId="0" applyNumberFormat="1" applyFont="1" applyFill="1" applyBorder="1" applyAlignment="1"/>
    <xf numFmtId="170" fontId="31" fillId="0" borderId="14" xfId="0" applyNumberFormat="1" applyFont="1" applyFill="1" applyBorder="1" applyAlignment="1"/>
    <xf numFmtId="170" fontId="31" fillId="0" borderId="0" xfId="0" applyNumberFormat="1" applyFont="1" applyFill="1" applyBorder="1" applyAlignment="1"/>
    <xf numFmtId="171" fontId="16" fillId="0" borderId="14" xfId="0" applyNumberFormat="1" applyFont="1" applyFill="1" applyBorder="1"/>
    <xf numFmtId="171" fontId="31" fillId="0" borderId="14" xfId="0" applyNumberFormat="1" applyFont="1" applyFill="1" applyBorder="1"/>
    <xf numFmtId="171" fontId="16" fillId="0" borderId="0" xfId="0" applyNumberFormat="1" applyFont="1" applyFill="1" applyBorder="1"/>
    <xf numFmtId="171" fontId="31" fillId="0" borderId="0" xfId="0" applyNumberFormat="1" applyFont="1" applyFill="1" applyBorder="1"/>
    <xf numFmtId="171" fontId="16" fillId="0" borderId="0" xfId="0" applyNumberFormat="1" applyFont="1" applyFill="1" applyBorder="1" applyAlignment="1"/>
    <xf numFmtId="171" fontId="16" fillId="0" borderId="27" xfId="0" applyNumberFormat="1" applyFont="1" applyFill="1" applyBorder="1" applyAlignment="1"/>
    <xf numFmtId="171" fontId="30" fillId="0" borderId="14" xfId="0" applyNumberFormat="1" applyFont="1" applyFill="1" applyBorder="1"/>
    <xf numFmtId="171" fontId="30" fillId="0" borderId="14" xfId="0" applyNumberFormat="1" applyFont="1" applyBorder="1"/>
    <xf numFmtId="14" fontId="30" fillId="0" borderId="0" xfId="0" applyNumberFormat="1" applyFont="1" applyFill="1" applyAlignment="1">
      <alignment horizontal="center"/>
    </xf>
    <xf numFmtId="168" fontId="11" fillId="0" borderId="14" xfId="0" applyNumberFormat="1" applyFont="1" applyFill="1" applyBorder="1"/>
    <xf numFmtId="168" fontId="11" fillId="0" borderId="0" xfId="0" applyNumberFormat="1" applyFont="1" applyFill="1" applyBorder="1"/>
    <xf numFmtId="168" fontId="13" fillId="0" borderId="14" xfId="0" applyNumberFormat="1" applyFont="1" applyFill="1" applyBorder="1"/>
    <xf numFmtId="168" fontId="13" fillId="0" borderId="0" xfId="0" applyNumberFormat="1" applyFont="1" applyFill="1" applyBorder="1"/>
    <xf numFmtId="168" fontId="11" fillId="0" borderId="27" xfId="0" applyNumberFormat="1" applyFont="1" applyFill="1" applyBorder="1"/>
    <xf numFmtId="39" fontId="11" fillId="0" borderId="14" xfId="0" applyNumberFormat="1" applyFont="1" applyFill="1" applyBorder="1"/>
    <xf numFmtId="39" fontId="11" fillId="0" borderId="0" xfId="0" applyNumberFormat="1" applyFont="1" applyFill="1"/>
    <xf numFmtId="7" fontId="11" fillId="0" borderId="0" xfId="0" applyNumberFormat="1" applyFont="1" applyFill="1"/>
    <xf numFmtId="0" fontId="12" fillId="0" borderId="0" xfId="0" applyFont="1"/>
    <xf numFmtId="7" fontId="10" fillId="0" borderId="0" xfId="0" applyNumberFormat="1" applyFont="1" applyBorder="1" applyAlignment="1">
      <alignment horizontal="centerContinuous"/>
    </xf>
    <xf numFmtId="0" fontId="13" fillId="0" borderId="10" xfId="0" applyFont="1" applyBorder="1" applyAlignment="1">
      <alignment horizontal="center"/>
    </xf>
    <xf numFmtId="0" fontId="11" fillId="0" borderId="9" xfId="0" applyFont="1" applyBorder="1" applyAlignment="1">
      <alignment horizontal="center"/>
    </xf>
    <xf numFmtId="171" fontId="11" fillId="0" borderId="15" xfId="0" applyNumberFormat="1" applyFont="1" applyBorder="1" applyAlignment="1">
      <alignment horizontal="center"/>
    </xf>
    <xf numFmtId="171" fontId="13" fillId="0" borderId="11" xfId="0" applyNumberFormat="1" applyFont="1" applyBorder="1" applyAlignment="1">
      <alignment horizontal="center"/>
    </xf>
    <xf numFmtId="168" fontId="11" fillId="0" borderId="8" xfId="3" applyNumberFormat="1" applyFont="1" applyBorder="1"/>
    <xf numFmtId="168" fontId="11" fillId="0" borderId="8" xfId="3" quotePrefix="1" applyNumberFormat="1" applyFont="1" applyBorder="1"/>
    <xf numFmtId="170" fontId="16" fillId="0" borderId="26" xfId="0" applyNumberFormat="1" applyFont="1" applyBorder="1" applyAlignment="1">
      <alignment horizontal="center"/>
    </xf>
    <xf numFmtId="168" fontId="11" fillId="0" borderId="28" xfId="0" applyNumberFormat="1" applyFont="1" applyBorder="1"/>
    <xf numFmtId="171" fontId="11" fillId="0" borderId="37" xfId="0" applyNumberFormat="1" applyFont="1" applyBorder="1"/>
    <xf numFmtId="171" fontId="11" fillId="0" borderId="37" xfId="0" applyNumberFormat="1" applyFont="1" applyBorder="1" applyAlignment="1">
      <alignment horizontal="left"/>
    </xf>
    <xf numFmtId="171" fontId="11" fillId="0" borderId="25" xfId="0" applyNumberFormat="1" applyFont="1" applyBorder="1"/>
    <xf numFmtId="171" fontId="11" fillId="0" borderId="0" xfId="0" applyNumberFormat="1" applyFont="1" applyFill="1" applyBorder="1" applyAlignment="1">
      <alignment horizontal="center"/>
    </xf>
    <xf numFmtId="0" fontId="11" fillId="0" borderId="34" xfId="0" applyFont="1" applyBorder="1"/>
    <xf numFmtId="171" fontId="11" fillId="0" borderId="35" xfId="0" applyNumberFormat="1" applyFont="1" applyBorder="1"/>
    <xf numFmtId="171" fontId="11" fillId="0" borderId="8" xfId="0" applyNumberFormat="1" applyFont="1" applyBorder="1" applyAlignment="1">
      <alignment horizontal="center"/>
    </xf>
    <xf numFmtId="171" fontId="11" fillId="0" borderId="8" xfId="3" applyNumberFormat="1" applyFont="1" applyBorder="1"/>
    <xf numFmtId="171" fontId="11" fillId="0" borderId="8" xfId="3" quotePrefix="1" applyNumberFormat="1" applyFont="1" applyBorder="1"/>
    <xf numFmtId="171" fontId="11" fillId="0" borderId="28" xfId="0" applyNumberFormat="1" applyFont="1" applyBorder="1"/>
    <xf numFmtId="5" fontId="11" fillId="0" borderId="14" xfId="0" applyNumberFormat="1" applyFont="1" applyBorder="1"/>
    <xf numFmtId="5" fontId="11" fillId="0" borderId="0" xfId="3" applyNumberFormat="1" applyFont="1" applyBorder="1"/>
    <xf numFmtId="5" fontId="11" fillId="0" borderId="0" xfId="3" quotePrefix="1" applyNumberFormat="1" applyFont="1" applyBorder="1"/>
    <xf numFmtId="5" fontId="11" fillId="0" borderId="0" xfId="0" applyNumberFormat="1" applyFont="1" applyBorder="1"/>
    <xf numFmtId="37" fontId="11" fillId="0" borderId="33" xfId="0" applyNumberFormat="1" applyFont="1" applyBorder="1"/>
    <xf numFmtId="0" fontId="13" fillId="0" borderId="21" xfId="0" applyFont="1" applyFill="1" applyBorder="1" applyAlignment="1">
      <alignment horizontal="center"/>
    </xf>
    <xf numFmtId="0" fontId="13" fillId="0" borderId="39" xfId="0" applyFont="1" applyBorder="1" applyAlignment="1">
      <alignment horizontal="right"/>
    </xf>
    <xf numFmtId="0" fontId="30" fillId="39" borderId="0" xfId="0" applyFont="1" applyFill="1" applyBorder="1" applyAlignment="1">
      <alignment horizontal="center"/>
    </xf>
    <xf numFmtId="0" fontId="13" fillId="0" borderId="39" xfId="0" applyFont="1" applyFill="1" applyBorder="1" applyAlignment="1">
      <alignment horizontal="center"/>
    </xf>
    <xf numFmtId="39" fontId="11" fillId="0" borderId="0" xfId="0" applyNumberFormat="1" applyFont="1" applyFill="1" applyBorder="1"/>
    <xf numFmtId="7" fontId="10" fillId="0" borderId="0" xfId="0" applyNumberFormat="1" applyFont="1" applyFill="1" applyBorder="1" applyAlignment="1">
      <alignment horizontal="center"/>
    </xf>
    <xf numFmtId="14" fontId="11" fillId="0" borderId="0" xfId="0" applyNumberFormat="1" applyFont="1" applyFill="1" applyAlignment="1">
      <alignment horizontal="center"/>
    </xf>
    <xf numFmtId="0" fontId="11" fillId="0" borderId="0" xfId="0" applyFont="1" applyFill="1" applyAlignment="1">
      <alignment horizontal="center"/>
    </xf>
    <xf numFmtId="167" fontId="11" fillId="0" borderId="0" xfId="0" applyNumberFormat="1" applyFont="1"/>
    <xf numFmtId="37" fontId="11" fillId="0" borderId="0" xfId="0" applyNumberFormat="1" applyFont="1" applyFill="1" applyBorder="1"/>
    <xf numFmtId="7" fontId="10" fillId="0" borderId="0" xfId="2" applyNumberFormat="1" applyFont="1" applyBorder="1" applyAlignment="1">
      <alignment horizontal="center"/>
    </xf>
    <xf numFmtId="171" fontId="13" fillId="0" borderId="35" xfId="0" applyNumberFormat="1" applyFont="1" applyBorder="1" applyAlignment="1">
      <alignment horizontal="centerContinuous"/>
    </xf>
    <xf numFmtId="39" fontId="11" fillId="0" borderId="11" xfId="0" applyNumberFormat="1" applyFont="1" applyBorder="1"/>
    <xf numFmtId="176" fontId="11" fillId="0" borderId="14" xfId="0" applyNumberFormat="1" applyFont="1" applyFill="1" applyBorder="1"/>
    <xf numFmtId="176" fontId="11" fillId="0" borderId="14" xfId="0" applyNumberFormat="1" applyFont="1" applyBorder="1"/>
    <xf numFmtId="176" fontId="11" fillId="0" borderId="0" xfId="3" quotePrefix="1" applyNumberFormat="1" applyFont="1" applyBorder="1"/>
    <xf numFmtId="176" fontId="11" fillId="0" borderId="0" xfId="0" applyNumberFormat="1" applyFont="1" applyBorder="1"/>
    <xf numFmtId="176" fontId="11" fillId="0" borderId="0" xfId="3" applyNumberFormat="1" applyFont="1" applyBorder="1"/>
    <xf numFmtId="172" fontId="16" fillId="0" borderId="0" xfId="0" applyNumberFormat="1" applyFont="1" applyFill="1"/>
    <xf numFmtId="184" fontId="30" fillId="43" borderId="0" xfId="0" applyNumberFormat="1" applyFont="1" applyFill="1" applyBorder="1" applyAlignment="1">
      <alignment horizontal="center"/>
    </xf>
    <xf numFmtId="164" fontId="11" fillId="0" borderId="22" xfId="0" applyNumberFormat="1" applyFont="1" applyFill="1" applyBorder="1" applyAlignment="1">
      <alignment horizontal="center"/>
    </xf>
    <xf numFmtId="0" fontId="10" fillId="0" borderId="0" xfId="0" applyFont="1" applyFill="1" applyBorder="1" applyAlignment="1">
      <alignment horizontal="centerContinuous"/>
    </xf>
    <xf numFmtId="0" fontId="19" fillId="0" borderId="0" xfId="0" applyFont="1" applyFill="1"/>
    <xf numFmtId="0" fontId="11" fillId="0" borderId="12" xfId="0" applyFont="1" applyFill="1" applyBorder="1" applyAlignment="1">
      <alignment horizontal="center"/>
    </xf>
    <xf numFmtId="0" fontId="18" fillId="0" borderId="29" xfId="0" applyFont="1" applyFill="1" applyBorder="1" applyAlignment="1">
      <alignment horizontal="center"/>
    </xf>
    <xf numFmtId="171" fontId="30" fillId="42" borderId="14" xfId="0" applyNumberFormat="1" applyFont="1" applyFill="1" applyBorder="1"/>
    <xf numFmtId="171" fontId="30" fillId="0" borderId="0" xfId="0" applyNumberFormat="1" applyFont="1" applyFill="1" applyBorder="1"/>
    <xf numFmtId="171" fontId="30" fillId="42" borderId="0" xfId="0" applyNumberFormat="1" applyFont="1" applyFill="1" applyBorder="1"/>
    <xf numFmtId="171" fontId="30" fillId="0" borderId="0" xfId="0" applyNumberFormat="1" applyFont="1" applyBorder="1"/>
    <xf numFmtId="171" fontId="30" fillId="0" borderId="27" xfId="0" applyNumberFormat="1" applyFont="1" applyFill="1" applyBorder="1" applyAlignment="1"/>
    <xf numFmtId="171" fontId="30" fillId="42" borderId="27" xfId="0" applyNumberFormat="1" applyFont="1" applyFill="1" applyBorder="1" applyAlignment="1"/>
    <xf numFmtId="171" fontId="30" fillId="0" borderId="14" xfId="0" applyNumberFormat="1" applyFont="1" applyFill="1" applyBorder="1" applyAlignment="1"/>
    <xf numFmtId="171" fontId="30" fillId="42" borderId="14" xfId="0" applyNumberFormat="1" applyFont="1" applyFill="1" applyBorder="1" applyAlignment="1"/>
    <xf numFmtId="0" fontId="16" fillId="0" borderId="0" xfId="0" applyFont="1" applyFill="1" applyAlignment="1">
      <alignment horizontal="center"/>
    </xf>
    <xf numFmtId="171" fontId="11" fillId="0" borderId="29" xfId="0" applyNumberFormat="1" applyFont="1" applyFill="1" applyBorder="1"/>
    <xf numFmtId="170" fontId="16" fillId="0" borderId="0" xfId="0" applyNumberFormat="1" applyFont="1" applyFill="1" applyAlignment="1">
      <alignment horizontal="center"/>
    </xf>
    <xf numFmtId="167" fontId="16" fillId="0" borderId="0" xfId="1" applyNumberFormat="1" applyFont="1" applyFill="1" applyAlignment="1">
      <alignment horizontal="center"/>
    </xf>
    <xf numFmtId="5" fontId="11" fillId="0" borderId="0" xfId="0" applyNumberFormat="1" applyFont="1" applyFill="1"/>
    <xf numFmtId="10" fontId="16" fillId="0" borderId="0" xfId="5" applyNumberFormat="1" applyFont="1" applyFill="1" applyAlignment="1">
      <alignment horizontal="center"/>
    </xf>
    <xf numFmtId="170" fontId="11" fillId="0" borderId="0" xfId="0" applyNumberFormat="1" applyFont="1" applyFill="1"/>
    <xf numFmtId="170" fontId="11" fillId="0" borderId="0" xfId="0" quotePrefix="1" applyNumberFormat="1" applyFont="1" applyFill="1"/>
    <xf numFmtId="170" fontId="11" fillId="0" borderId="0" xfId="0" applyNumberFormat="1" applyFont="1" applyFill="1" applyBorder="1"/>
    <xf numFmtId="37" fontId="11" fillId="0" borderId="0" xfId="0" applyNumberFormat="1" applyFont="1" applyFill="1"/>
    <xf numFmtId="7" fontId="16" fillId="0" borderId="14" xfId="0" applyNumberFormat="1" applyFont="1" applyFill="1" applyBorder="1"/>
    <xf numFmtId="7" fontId="16" fillId="0" borderId="0" xfId="0" applyNumberFormat="1" applyFont="1" applyFill="1" applyBorder="1"/>
    <xf numFmtId="7" fontId="17" fillId="0" borderId="14" xfId="0" applyNumberFormat="1" applyFont="1" applyFill="1" applyBorder="1"/>
    <xf numFmtId="7" fontId="17" fillId="0" borderId="0" xfId="0" applyNumberFormat="1" applyFont="1" applyFill="1" applyBorder="1"/>
    <xf numFmtId="39" fontId="16" fillId="0" borderId="14" xfId="0" applyNumberFormat="1" applyFont="1" applyFill="1" applyBorder="1" applyAlignment="1"/>
    <xf numFmtId="0" fontId="0" fillId="0" borderId="0" xfId="0" applyFill="1" applyAlignment="1">
      <alignment vertical="top"/>
    </xf>
    <xf numFmtId="0" fontId="13" fillId="0" borderId="0" xfId="1" applyNumberFormat="1" applyFont="1" applyFill="1" applyAlignment="1">
      <alignment horizontal="center"/>
    </xf>
    <xf numFmtId="0" fontId="11" fillId="0" borderId="0" xfId="1" applyNumberFormat="1" applyFont="1" applyFill="1" applyAlignment="1">
      <alignment horizontal="center"/>
    </xf>
    <xf numFmtId="171" fontId="30" fillId="43" borderId="0" xfId="0" applyNumberFormat="1" applyFont="1" applyFill="1" applyBorder="1" applyAlignment="1">
      <alignment horizontal="center"/>
    </xf>
    <xf numFmtId="184" fontId="30" fillId="39" borderId="0" xfId="0" applyNumberFormat="1" applyFont="1" applyFill="1" applyBorder="1" applyAlignment="1">
      <alignment horizontal="center"/>
    </xf>
    <xf numFmtId="168" fontId="11" fillId="0" borderId="45" xfId="0" applyNumberFormat="1" applyFont="1" applyFill="1" applyBorder="1"/>
    <xf numFmtId="44" fontId="11" fillId="0" borderId="0" xfId="2" applyFont="1" applyFill="1" applyBorder="1"/>
    <xf numFmtId="0" fontId="13" fillId="0" borderId="7" xfId="0" applyFont="1" applyBorder="1" applyAlignment="1">
      <alignment horizontal="right"/>
    </xf>
    <xf numFmtId="0" fontId="13" fillId="0" borderId="1" xfId="0" applyFont="1" applyBorder="1" applyAlignment="1">
      <alignment horizontal="right"/>
    </xf>
    <xf numFmtId="171" fontId="11" fillId="0" borderId="7" xfId="0" applyNumberFormat="1" applyFont="1" applyFill="1" applyBorder="1"/>
    <xf numFmtId="44" fontId="11" fillId="0" borderId="1" xfId="2" applyFont="1" applyBorder="1"/>
    <xf numFmtId="0" fontId="11" fillId="0" borderId="1" xfId="0" applyFont="1" applyFill="1" applyBorder="1"/>
    <xf numFmtId="171" fontId="11" fillId="0" borderId="6" xfId="0" applyNumberFormat="1" applyFont="1" applyFill="1" applyBorder="1"/>
    <xf numFmtId="185" fontId="11" fillId="0" borderId="7" xfId="2" applyNumberFormat="1" applyFont="1" applyFill="1" applyBorder="1"/>
    <xf numFmtId="170" fontId="14" fillId="0" borderId="9" xfId="0" applyNumberFormat="1" applyFont="1" applyFill="1" applyBorder="1" applyAlignment="1"/>
    <xf numFmtId="37" fontId="31" fillId="0" borderId="27" xfId="0" applyNumberFormat="1" applyFont="1" applyFill="1" applyBorder="1" applyAlignment="1"/>
    <xf numFmtId="186" fontId="11" fillId="0" borderId="0" xfId="2" applyNumberFormat="1" applyFont="1" applyFill="1"/>
    <xf numFmtId="186" fontId="11" fillId="0" borderId="0" xfId="2" applyNumberFormat="1" applyFont="1" applyFill="1" applyBorder="1"/>
    <xf numFmtId="186" fontId="11" fillId="0" borderId="34" xfId="0" applyNumberFormat="1" applyFont="1" applyFill="1" applyBorder="1"/>
    <xf numFmtId="44" fontId="11" fillId="0" borderId="9" xfId="0" applyNumberFormat="1" applyFont="1" applyFill="1" applyBorder="1"/>
    <xf numFmtId="187" fontId="13" fillId="0" borderId="0" xfId="2" applyNumberFormat="1" applyFont="1" applyFill="1" applyAlignment="1">
      <alignment horizontal="center"/>
    </xf>
    <xf numFmtId="44" fontId="11" fillId="0" borderId="0" xfId="0" applyNumberFormat="1" applyFont="1" applyBorder="1"/>
    <xf numFmtId="171" fontId="13" fillId="0" borderId="0" xfId="0" applyNumberFormat="1" applyFont="1" applyBorder="1" applyAlignment="1">
      <alignment horizontal="center"/>
    </xf>
    <xf numFmtId="37" fontId="11" fillId="0" borderId="9" xfId="0" applyNumberFormat="1" applyFont="1" applyFill="1" applyBorder="1" applyAlignment="1"/>
    <xf numFmtId="37" fontId="11" fillId="0" borderId="44" xfId="0" applyNumberFormat="1" applyFont="1" applyFill="1" applyBorder="1" applyAlignment="1"/>
    <xf numFmtId="186" fontId="11" fillId="0" borderId="9" xfId="2" applyNumberFormat="1" applyFont="1" applyFill="1" applyBorder="1"/>
    <xf numFmtId="186" fontId="13" fillId="0" borderId="9" xfId="2" applyNumberFormat="1" applyFont="1" applyFill="1" applyBorder="1"/>
    <xf numFmtId="44" fontId="14" fillId="0" borderId="0" xfId="2" applyFont="1" applyFill="1" applyBorder="1" applyAlignment="1"/>
    <xf numFmtId="44" fontId="11" fillId="0" borderId="0" xfId="2" applyFont="1"/>
    <xf numFmtId="44" fontId="19" fillId="0" borderId="0" xfId="2" applyFont="1" applyBorder="1"/>
    <xf numFmtId="44" fontId="13" fillId="0" borderId="0" xfId="2" applyFont="1" applyBorder="1" applyAlignment="1">
      <alignment horizontal="center"/>
    </xf>
    <xf numFmtId="44" fontId="13" fillId="0" borderId="0" xfId="2" applyFont="1" applyBorder="1" applyAlignment="1">
      <alignment horizontal="right"/>
    </xf>
    <xf numFmtId="44" fontId="11" fillId="0" borderId="32" xfId="2" applyFont="1" applyBorder="1"/>
    <xf numFmtId="44" fontId="11" fillId="0" borderId="6" xfId="2" applyFont="1" applyFill="1" applyBorder="1"/>
    <xf numFmtId="44" fontId="11" fillId="0" borderId="32" xfId="2" applyFont="1" applyFill="1" applyBorder="1"/>
    <xf numFmtId="44" fontId="11" fillId="0" borderId="39" xfId="2" applyFont="1" applyBorder="1"/>
    <xf numFmtId="44" fontId="11" fillId="0" borderId="40" xfId="2" applyFont="1" applyBorder="1"/>
    <xf numFmtId="44" fontId="13" fillId="0" borderId="40" xfId="2" applyFont="1" applyBorder="1" applyAlignment="1">
      <alignment horizontal="center"/>
    </xf>
    <xf numFmtId="44" fontId="14" fillId="0" borderId="9" xfId="2" applyFont="1" applyFill="1" applyBorder="1" applyAlignment="1"/>
    <xf numFmtId="44" fontId="14" fillId="0" borderId="14" xfId="2" applyFont="1" applyFill="1" applyBorder="1" applyAlignment="1"/>
    <xf numFmtId="37" fontId="13" fillId="0" borderId="0" xfId="0" applyNumberFormat="1" applyFont="1" applyBorder="1" applyAlignment="1">
      <alignment horizontal="center"/>
    </xf>
    <xf numFmtId="171" fontId="11" fillId="0" borderId="0" xfId="0" applyNumberFormat="1" applyFont="1" applyBorder="1" applyAlignment="1">
      <alignment horizontal="left"/>
    </xf>
    <xf numFmtId="171" fontId="11" fillId="0" borderId="0" xfId="3" applyNumberFormat="1" applyFont="1" applyBorder="1"/>
    <xf numFmtId="171" fontId="11" fillId="0" borderId="0" xfId="3" quotePrefix="1" applyNumberFormat="1" applyFont="1" applyBorder="1"/>
    <xf numFmtId="0" fontId="13" fillId="0" borderId="17" xfId="0" applyFont="1" applyFill="1" applyBorder="1" applyAlignment="1">
      <alignment horizontal="center"/>
    </xf>
    <xf numFmtId="0" fontId="13" fillId="0" borderId="21" xfId="0" applyFont="1" applyBorder="1" applyAlignment="1">
      <alignment horizontal="center"/>
    </xf>
    <xf numFmtId="0" fontId="11" fillId="0" borderId="7" xfId="0" applyFont="1" applyFill="1" applyBorder="1" applyAlignment="1">
      <alignment horizontal="center"/>
    </xf>
    <xf numFmtId="44" fontId="11" fillId="0" borderId="1" xfId="2" applyFont="1" applyBorder="1" applyAlignment="1">
      <alignment horizontal="center"/>
    </xf>
    <xf numFmtId="44" fontId="11" fillId="0" borderId="44" xfId="0" applyNumberFormat="1" applyFont="1" applyBorder="1" applyAlignment="1">
      <alignment horizontal="center"/>
    </xf>
    <xf numFmtId="0" fontId="11" fillId="0" borderId="6" xfId="0" applyFont="1" applyFill="1" applyBorder="1" applyAlignment="1">
      <alignment horizontal="center"/>
    </xf>
    <xf numFmtId="44" fontId="11" fillId="0" borderId="13" xfId="0" applyNumberFormat="1" applyFont="1" applyBorder="1" applyAlignment="1">
      <alignment horizontal="center"/>
    </xf>
    <xf numFmtId="173" fontId="16" fillId="0" borderId="0" xfId="0" applyNumberFormat="1" applyFont="1" applyFill="1"/>
    <xf numFmtId="0" fontId="29" fillId="0" borderId="0" xfId="0" applyFont="1" applyBorder="1" applyAlignment="1">
      <alignment wrapText="1"/>
    </xf>
    <xf numFmtId="0" fontId="3" fillId="0" borderId="0" xfId="0" applyFont="1" applyAlignment="1">
      <alignment wrapText="1"/>
    </xf>
    <xf numFmtId="0" fontId="0" fillId="0" borderId="0" xfId="0" applyAlignment="1">
      <alignment wrapText="1"/>
    </xf>
    <xf numFmtId="37" fontId="29" fillId="0" borderId="0" xfId="0" applyNumberFormat="1" applyFont="1" applyAlignment="1" applyProtection="1">
      <alignment horizontal="left" wrapText="1"/>
    </xf>
    <xf numFmtId="0" fontId="13" fillId="0" borderId="32" xfId="0"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1" fillId="0" borderId="32" xfId="0" applyFont="1" applyFill="1" applyBorder="1" applyAlignment="1">
      <alignment horizontal="center"/>
    </xf>
    <xf numFmtId="0" fontId="11" fillId="0" borderId="30" xfId="0" applyFont="1" applyFill="1" applyBorder="1" applyAlignment="1">
      <alignment horizontal="center"/>
    </xf>
    <xf numFmtId="0" fontId="13" fillId="39" borderId="0" xfId="0" applyFont="1" applyFill="1" applyBorder="1" applyAlignment="1">
      <alignment horizontal="center" wrapText="1"/>
    </xf>
    <xf numFmtId="0" fontId="12" fillId="40" borderId="0" xfId="0" applyFont="1" applyFill="1" applyBorder="1" applyAlignment="1">
      <alignment horizontal="center" wrapText="1"/>
    </xf>
    <xf numFmtId="37" fontId="13" fillId="0" borderId="10" xfId="0" applyNumberFormat="1" applyFont="1" applyBorder="1" applyAlignment="1">
      <alignment horizontal="center"/>
    </xf>
    <xf numFmtId="37" fontId="13" fillId="0" borderId="9" xfId="0" applyNumberFormat="1" applyFont="1" applyBorder="1" applyAlignment="1">
      <alignment horizontal="center"/>
    </xf>
    <xf numFmtId="37" fontId="13" fillId="0" borderId="15" xfId="0" applyNumberFormat="1" applyFont="1" applyBorder="1" applyAlignment="1">
      <alignment horizontal="center"/>
    </xf>
    <xf numFmtId="0" fontId="13" fillId="0" borderId="19" xfId="0" applyFont="1" applyBorder="1" applyAlignment="1">
      <alignment horizontal="center" wrapText="1"/>
    </xf>
    <xf numFmtId="0" fontId="0" fillId="0" borderId="8" xfId="0" applyBorder="1" applyAlignment="1">
      <alignment horizontal="center" wrapText="1"/>
    </xf>
    <xf numFmtId="37" fontId="13" fillId="0" borderId="33" xfId="0" applyNumberFormat="1" applyFont="1" applyBorder="1" applyAlignment="1">
      <alignment horizontal="center"/>
    </xf>
    <xf numFmtId="37" fontId="13" fillId="0" borderId="34" xfId="0" applyNumberFormat="1" applyFont="1" applyBorder="1" applyAlignment="1">
      <alignment horizontal="center"/>
    </xf>
    <xf numFmtId="37" fontId="13" fillId="0" borderId="35" xfId="0" applyNumberFormat="1" applyFont="1" applyBorder="1" applyAlignment="1">
      <alignment horizontal="center"/>
    </xf>
  </cellXfs>
  <cellStyles count="101">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lumnHeading" xfId="27"/>
    <cellStyle name="Comma" xfId="1" builtinId="3"/>
    <cellStyle name="Comma 2" xfId="7"/>
    <cellStyle name="Comma 3" xfId="28"/>
    <cellStyle name="Comma 4" xfId="29"/>
    <cellStyle name="Comma0" xfId="30"/>
    <cellStyle name="Comma4" xfId="31"/>
    <cellStyle name="CountryTitle" xfId="32"/>
    <cellStyle name="Currency" xfId="2" builtinId="4"/>
    <cellStyle name="currency 0" xfId="33"/>
    <cellStyle name="Currency 2" xfId="34"/>
    <cellStyle name="Currency 3" xfId="35"/>
    <cellStyle name="Currency 4" xfId="36"/>
    <cellStyle name="Currency0" xfId="37"/>
    <cellStyle name="Currency4" xfId="38"/>
    <cellStyle name="Date" xfId="39"/>
    <cellStyle name="Emphasis 1" xfId="40"/>
    <cellStyle name="Emphasis 2" xfId="41"/>
    <cellStyle name="Emphasis 3" xfId="42"/>
    <cellStyle name="Fixed" xfId="43"/>
    <cellStyle name="Footnote" xfId="44"/>
    <cellStyle name="Heading1" xfId="45"/>
    <cellStyle name="Heading2" xfId="46"/>
    <cellStyle name="Normal" xfId="0" builtinId="0"/>
    <cellStyle name="Normal [0]" xfId="47"/>
    <cellStyle name="Normal [2]" xfId="48"/>
    <cellStyle name="Normal 154" xfId="100"/>
    <cellStyle name="Normal 2" xfId="6"/>
    <cellStyle name="Normal 3" xfId="49"/>
    <cellStyle name="Normal_Book3" xfId="3"/>
    <cellStyle name="Normal_DISTBYrateMay2002" xfId="4"/>
    <cellStyle name="Percent" xfId="5" builtinId="5"/>
    <cellStyle name="Percent 2" xfId="8"/>
    <cellStyle name="Percent2" xfId="50"/>
    <cellStyle name="RowHeading" xfId="51"/>
    <cellStyle name="SAPBEXaggData" xfId="52"/>
    <cellStyle name="SAPBEXaggDataEmph" xfId="53"/>
    <cellStyle name="SAPBEXaggItem" xfId="54"/>
    <cellStyle name="SAPBEXaggItemX" xfId="55"/>
    <cellStyle name="SAPBEXchaText" xfId="56"/>
    <cellStyle name="SAPBEXexcBad7" xfId="57"/>
    <cellStyle name="SAPBEXexcBad8" xfId="58"/>
    <cellStyle name="SAPBEXexcBad9" xfId="59"/>
    <cellStyle name="SAPBEXexcCritical4" xfId="60"/>
    <cellStyle name="SAPBEXexcCritical5" xfId="61"/>
    <cellStyle name="SAPBEXexcCritical6" xfId="62"/>
    <cellStyle name="SAPBEXexcGood1" xfId="63"/>
    <cellStyle name="SAPBEXexcGood2" xfId="64"/>
    <cellStyle name="SAPBEXexcGood3" xfId="65"/>
    <cellStyle name="SAPBEXfilterDrill" xfId="66"/>
    <cellStyle name="SAPBEXfilterItem" xfId="67"/>
    <cellStyle name="SAPBEXfilterText" xfId="68"/>
    <cellStyle name="SAPBEXformats" xfId="69"/>
    <cellStyle name="SAPBEXheaderItem" xfId="70"/>
    <cellStyle name="SAPBEXheaderText" xfId="71"/>
    <cellStyle name="SAPBEXHLevel0" xfId="72"/>
    <cellStyle name="SAPBEXHLevel0X" xfId="73"/>
    <cellStyle name="SAPBEXHLevel1" xfId="74"/>
    <cellStyle name="SAPBEXHLevel1X" xfId="75"/>
    <cellStyle name="SAPBEXHLevel2" xfId="76"/>
    <cellStyle name="SAPBEXHLevel2X" xfId="77"/>
    <cellStyle name="SAPBEXHLevel3" xfId="78"/>
    <cellStyle name="SAPBEXHLevel3X" xfId="79"/>
    <cellStyle name="SAPBEXinputData" xfId="80"/>
    <cellStyle name="SAPBEXresData" xfId="81"/>
    <cellStyle name="SAPBEXresDataEmph" xfId="82"/>
    <cellStyle name="SAPBEXresItem" xfId="83"/>
    <cellStyle name="SAPBEXresItemX" xfId="84"/>
    <cellStyle name="SAPBEXstdData" xfId="85"/>
    <cellStyle name="SAPBEXstdDataEmph" xfId="86"/>
    <cellStyle name="SAPBEXstdItem" xfId="87"/>
    <cellStyle name="SAPBEXstdItemX" xfId="88"/>
    <cellStyle name="SAPBEXtitle" xfId="89"/>
    <cellStyle name="SAPBEXundefined" xfId="90"/>
    <cellStyle name="Sheet Title" xfId="91"/>
    <cellStyle name="SubHeading" xfId="92"/>
    <cellStyle name="SubsidTitle" xfId="93"/>
    <cellStyle name="Table Data" xfId="94"/>
    <cellStyle name="Table Headings Bold" xfId="95"/>
    <cellStyle name="Totals" xfId="96"/>
    <cellStyle name="Totals [0]" xfId="97"/>
    <cellStyle name="Totals [2]" xfId="98"/>
    <cellStyle name="Year" xfId="99"/>
  </cellStyles>
  <dxfs count="0"/>
  <tableStyles count="0" defaultTableStyle="TableStyleMedium9" defaultPivotStyle="PivotStyleLight16"/>
  <colors>
    <mruColors>
      <color rgb="FF0000FF"/>
      <color rgb="FFFFFF99"/>
      <color rgb="FFFF3300"/>
      <color rgb="FFF0B8B7"/>
      <color rgb="FFFF9999"/>
      <color rgb="FFFFCCCC"/>
      <color rgb="FF00FF00"/>
      <color rgb="FFFFFF00"/>
      <color rgb="FFFFFF66"/>
      <color rgb="FFFFC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snt01\groups\Documents%20and%20Settings\jzs\Local%20Settings\Temporary%20Internet%20Files\OLK17C\Income%20Statement%20Budget%20-%20Version%200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OREGON/2012/October%20filings/Gas%20Cost%20Development%20file%20and%20support/NWN%202012-13%20PGA%20gas%20cost%20development%20file%20Octo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Total Commodity Summary old"/>
      <sheetName val="Commodity Cost from Vol Pipe"/>
      <sheetName val="download for JV28A"/>
      <sheetName val="Commodity Cost from Supply VERT"/>
      <sheetName val="Hedged Spot Dispatch &amp; Cost"/>
      <sheetName val="Commodity Cost from Supply"/>
      <sheetName val="Commodity Supply Dispatch"/>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 val="COG Inputs -FCST MGN file"/>
      <sheetName val="PGA Summary UM1286 Req'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E10">
            <v>4.3720000000000002E-2</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A1:G64"/>
  <sheetViews>
    <sheetView showGridLines="0" zoomScaleNormal="100" workbookViewId="0">
      <selection activeCell="F16" sqref="F16"/>
    </sheetView>
  </sheetViews>
  <sheetFormatPr defaultColWidth="9.33203125" defaultRowHeight="12.75" x14ac:dyDescent="0.2"/>
  <cols>
    <col min="1" max="1" width="5.83203125" style="2" customWidth="1"/>
    <col min="2" max="2" width="15.83203125" style="37" customWidth="1"/>
    <col min="3" max="3" width="73.5" style="2" customWidth="1"/>
    <col min="4" max="4" width="62.6640625" style="2" customWidth="1"/>
    <col min="5" max="5" width="30.83203125" style="2" customWidth="1"/>
    <col min="6" max="6" width="51.83203125" style="2" customWidth="1"/>
    <col min="7" max="10" width="20.83203125" style="2" customWidth="1"/>
    <col min="11" max="29" width="12.83203125" style="2" customWidth="1"/>
    <col min="30" max="16384" width="9.33203125" style="2"/>
  </cols>
  <sheetData>
    <row r="1" spans="1:7" ht="14.25" x14ac:dyDescent="0.2">
      <c r="A1" s="32" t="str">
        <f>+'Washington volumes'!A1</f>
        <v>NW Natural</v>
      </c>
      <c r="B1" s="2"/>
    </row>
    <row r="2" spans="1:7" ht="14.25" x14ac:dyDescent="0.2">
      <c r="A2" s="32" t="str">
        <f>+'Washington volumes'!A2</f>
        <v>Rates &amp; Regulatory Affairs</v>
      </c>
      <c r="B2" s="2"/>
    </row>
    <row r="3" spans="1:7" ht="14.25" x14ac:dyDescent="0.2">
      <c r="A3" s="32" t="str">
        <f>+'Washington volumes'!A3</f>
        <v>2019 WA GRC</v>
      </c>
      <c r="B3" s="2"/>
    </row>
    <row r="4" spans="1:7" ht="14.25" x14ac:dyDescent="0.2">
      <c r="A4" s="32" t="s">
        <v>385</v>
      </c>
      <c r="B4" s="2"/>
      <c r="D4" s="267"/>
    </row>
    <row r="5" spans="1:7" ht="13.5" thickBot="1" x14ac:dyDescent="0.25">
      <c r="B5" s="2"/>
    </row>
    <row r="6" spans="1:7" ht="13.5" thickBot="1" x14ac:dyDescent="0.25">
      <c r="A6" s="128">
        <v>1</v>
      </c>
      <c r="B6" s="226" t="s">
        <v>19</v>
      </c>
      <c r="C6" s="227" t="s">
        <v>17</v>
      </c>
      <c r="D6" s="227" t="s">
        <v>18</v>
      </c>
      <c r="E6" s="227"/>
      <c r="F6" s="228"/>
    </row>
    <row r="7" spans="1:7" x14ac:dyDescent="0.2">
      <c r="A7" s="128">
        <v>2</v>
      </c>
      <c r="C7" s="163"/>
      <c r="D7" s="163"/>
      <c r="E7" s="36"/>
    </row>
    <row r="8" spans="1:7" x14ac:dyDescent="0.2">
      <c r="A8" s="128">
        <v>3</v>
      </c>
      <c r="B8" s="36">
        <v>0.22356000000000001</v>
      </c>
      <c r="C8" s="163" t="s">
        <v>27</v>
      </c>
      <c r="D8" s="215" t="s">
        <v>378</v>
      </c>
      <c r="E8" s="36"/>
      <c r="G8" s="267"/>
    </row>
    <row r="9" spans="1:7" x14ac:dyDescent="0.2">
      <c r="A9" s="128">
        <f t="shared" ref="A9:A52" si="0">+A8+1</f>
        <v>4</v>
      </c>
      <c r="B9" s="36"/>
      <c r="C9" s="163"/>
      <c r="D9" s="215"/>
      <c r="E9" s="38"/>
      <c r="G9" s="267"/>
    </row>
    <row r="10" spans="1:7" x14ac:dyDescent="0.2">
      <c r="A10" s="128">
        <f t="shared" si="0"/>
        <v>5</v>
      </c>
      <c r="B10" s="36">
        <v>0.1113</v>
      </c>
      <c r="C10" s="163" t="s">
        <v>172</v>
      </c>
      <c r="D10" s="215" t="str">
        <f>D8</f>
        <v>2018-19 PGA Filing</v>
      </c>
      <c r="E10" s="38"/>
      <c r="G10" s="35"/>
    </row>
    <row r="11" spans="1:7" x14ac:dyDescent="0.2">
      <c r="A11" s="128">
        <f t="shared" si="0"/>
        <v>6</v>
      </c>
      <c r="B11" s="36"/>
      <c r="C11" s="163"/>
      <c r="D11" s="215"/>
      <c r="E11" s="38"/>
      <c r="G11" s="35"/>
    </row>
    <row r="12" spans="1:7" x14ac:dyDescent="0.2">
      <c r="A12" s="128">
        <f t="shared" si="0"/>
        <v>7</v>
      </c>
      <c r="B12" s="36">
        <v>3.8879999999999998E-2</v>
      </c>
      <c r="C12" s="163" t="s">
        <v>173</v>
      </c>
      <c r="D12" s="215" t="str">
        <f>D8</f>
        <v>2018-19 PGA Filing</v>
      </c>
      <c r="E12" s="36"/>
      <c r="G12" s="35"/>
    </row>
    <row r="13" spans="1:7" x14ac:dyDescent="0.2">
      <c r="A13" s="128">
        <f t="shared" si="0"/>
        <v>8</v>
      </c>
      <c r="B13" s="36"/>
      <c r="C13" s="163"/>
      <c r="D13" s="215"/>
      <c r="E13" s="36"/>
      <c r="G13" s="35"/>
    </row>
    <row r="14" spans="1:7" x14ac:dyDescent="0.2">
      <c r="A14" s="128">
        <f t="shared" si="0"/>
        <v>9</v>
      </c>
      <c r="B14" s="39">
        <v>4.1579999999999999E-2</v>
      </c>
      <c r="C14" s="163" t="s">
        <v>20</v>
      </c>
      <c r="D14" s="215" t="s">
        <v>340</v>
      </c>
    </row>
    <row r="15" spans="1:7" x14ac:dyDescent="0.2">
      <c r="A15" s="128">
        <f t="shared" si="0"/>
        <v>10</v>
      </c>
      <c r="B15" s="39"/>
      <c r="C15" s="163"/>
      <c r="D15" s="215"/>
    </row>
    <row r="16" spans="1:7" x14ac:dyDescent="0.2">
      <c r="A16" s="128">
        <f t="shared" si="0"/>
        <v>11</v>
      </c>
      <c r="B16" s="414">
        <v>0.26512999999999998</v>
      </c>
      <c r="C16" s="163" t="s">
        <v>199</v>
      </c>
      <c r="D16" s="215" t="s">
        <v>378</v>
      </c>
    </row>
    <row r="17" spans="1:6" x14ac:dyDescent="0.2">
      <c r="A17" s="128">
        <f t="shared" si="0"/>
        <v>12</v>
      </c>
      <c r="C17" s="163"/>
      <c r="D17" s="163"/>
    </row>
    <row r="18" spans="1:6" x14ac:dyDescent="0.2">
      <c r="A18" s="128">
        <f t="shared" si="0"/>
        <v>13</v>
      </c>
      <c r="B18" s="495">
        <v>1.66</v>
      </c>
      <c r="C18" s="163" t="s">
        <v>381</v>
      </c>
      <c r="D18" s="215" t="s">
        <v>378</v>
      </c>
    </row>
    <row r="19" spans="1:6" x14ac:dyDescent="0.2">
      <c r="A19" s="128">
        <f t="shared" si="0"/>
        <v>14</v>
      </c>
      <c r="C19" s="163"/>
      <c r="D19" s="163"/>
    </row>
    <row r="20" spans="1:6" x14ac:dyDescent="0.2">
      <c r="A20" s="128">
        <f t="shared" si="0"/>
        <v>15</v>
      </c>
      <c r="B20" s="414">
        <v>3.8879999999999998E-2</v>
      </c>
      <c r="C20" s="163" t="s">
        <v>173</v>
      </c>
      <c r="D20" s="215" t="s">
        <v>378</v>
      </c>
    </row>
    <row r="21" spans="1:6" x14ac:dyDescent="0.2">
      <c r="A21" s="128">
        <f t="shared" si="0"/>
        <v>16</v>
      </c>
      <c r="B21" s="414"/>
      <c r="C21" s="163"/>
      <c r="D21" s="215"/>
    </row>
    <row r="22" spans="1:6" x14ac:dyDescent="0.2">
      <c r="A22" s="128">
        <f t="shared" si="0"/>
        <v>17</v>
      </c>
      <c r="B22" s="414">
        <v>9.5409999999999995E-2</v>
      </c>
      <c r="C22" s="163" t="s">
        <v>382</v>
      </c>
      <c r="D22" s="215" t="s">
        <v>386</v>
      </c>
    </row>
    <row r="23" spans="1:6" x14ac:dyDescent="0.2">
      <c r="A23" s="128">
        <f t="shared" si="0"/>
        <v>18</v>
      </c>
      <c r="B23" s="414"/>
      <c r="C23" s="163"/>
      <c r="D23" s="215"/>
    </row>
    <row r="24" spans="1:6" x14ac:dyDescent="0.2">
      <c r="A24" s="128">
        <f t="shared" si="0"/>
        <v>19</v>
      </c>
      <c r="B24" s="414">
        <v>0.30077999999999999</v>
      </c>
      <c r="C24" s="163" t="s">
        <v>383</v>
      </c>
      <c r="D24" s="215" t="s">
        <v>386</v>
      </c>
    </row>
    <row r="25" spans="1:6" x14ac:dyDescent="0.2">
      <c r="A25" s="128">
        <f t="shared" si="0"/>
        <v>20</v>
      </c>
      <c r="B25" s="414"/>
      <c r="C25" s="163"/>
      <c r="D25" s="215"/>
    </row>
    <row r="26" spans="1:6" x14ac:dyDescent="0.2">
      <c r="A26" s="128">
        <f t="shared" si="0"/>
        <v>21</v>
      </c>
      <c r="B26" s="414">
        <v>0.19081999999999999</v>
      </c>
      <c r="C26" s="163" t="s">
        <v>384</v>
      </c>
      <c r="D26" s="215" t="s">
        <v>386</v>
      </c>
    </row>
    <row r="27" spans="1:6" ht="13.5" thickBot="1" x14ac:dyDescent="0.25">
      <c r="A27" s="128">
        <f t="shared" si="0"/>
        <v>22</v>
      </c>
      <c r="C27" s="163"/>
      <c r="D27" s="163"/>
    </row>
    <row r="28" spans="1:6" ht="13.5" thickBot="1" x14ac:dyDescent="0.25">
      <c r="A28" s="128">
        <f t="shared" si="0"/>
        <v>23</v>
      </c>
      <c r="C28" s="226" t="s">
        <v>21</v>
      </c>
      <c r="D28" s="227" t="s">
        <v>18</v>
      </c>
      <c r="E28" s="229" t="s">
        <v>33</v>
      </c>
      <c r="F28" s="230" t="s">
        <v>34</v>
      </c>
    </row>
    <row r="29" spans="1:6" x14ac:dyDescent="0.2">
      <c r="A29" s="128">
        <f t="shared" si="0"/>
        <v>24</v>
      </c>
    </row>
    <row r="30" spans="1:6" x14ac:dyDescent="0.2">
      <c r="A30" s="128">
        <f t="shared" si="0"/>
        <v>25</v>
      </c>
      <c r="B30" s="37">
        <v>-1998283</v>
      </c>
      <c r="C30" s="163" t="s">
        <v>22</v>
      </c>
      <c r="D30" s="215" t="s">
        <v>378</v>
      </c>
      <c r="E30" s="163" t="s">
        <v>35</v>
      </c>
      <c r="F30" s="163" t="s">
        <v>277</v>
      </c>
    </row>
    <row r="31" spans="1:6" x14ac:dyDescent="0.2">
      <c r="A31" s="128">
        <f t="shared" si="0"/>
        <v>26</v>
      </c>
      <c r="C31" s="163"/>
      <c r="D31" s="215"/>
      <c r="E31" s="163"/>
      <c r="F31" s="163"/>
    </row>
    <row r="32" spans="1:6" x14ac:dyDescent="0.2">
      <c r="A32" s="128">
        <f t="shared" si="0"/>
        <v>27</v>
      </c>
      <c r="B32" s="37">
        <v>-2005163</v>
      </c>
      <c r="C32" s="163" t="s">
        <v>42</v>
      </c>
      <c r="D32" s="215" t="s">
        <v>378</v>
      </c>
      <c r="E32" s="163" t="s">
        <v>35</v>
      </c>
      <c r="F32" s="163" t="s">
        <v>278</v>
      </c>
    </row>
    <row r="33" spans="1:6" x14ac:dyDescent="0.2">
      <c r="A33" s="128">
        <f t="shared" si="0"/>
        <v>28</v>
      </c>
      <c r="C33" s="163"/>
      <c r="D33" s="215"/>
      <c r="E33" s="163"/>
      <c r="F33" s="163"/>
    </row>
    <row r="34" spans="1:6" x14ac:dyDescent="0.2">
      <c r="A34" s="128">
        <f t="shared" si="0"/>
        <v>29</v>
      </c>
      <c r="B34" s="37">
        <v>-12158</v>
      </c>
      <c r="C34" s="163" t="s">
        <v>43</v>
      </c>
      <c r="D34" s="215" t="s">
        <v>378</v>
      </c>
      <c r="E34" s="163" t="s">
        <v>35</v>
      </c>
      <c r="F34" s="163" t="s">
        <v>279</v>
      </c>
    </row>
    <row r="35" spans="1:6" x14ac:dyDescent="0.2">
      <c r="A35" s="128">
        <f t="shared" si="0"/>
        <v>30</v>
      </c>
      <c r="C35" s="163"/>
      <c r="D35" s="215"/>
      <c r="E35" s="163"/>
      <c r="F35" s="163"/>
    </row>
    <row r="36" spans="1:6" x14ac:dyDescent="0.2">
      <c r="A36" s="128">
        <f t="shared" si="0"/>
        <v>31</v>
      </c>
      <c r="B36" s="37">
        <v>2297298</v>
      </c>
      <c r="C36" s="163" t="s">
        <v>248</v>
      </c>
      <c r="D36" s="215" t="s">
        <v>378</v>
      </c>
      <c r="E36" s="163" t="s">
        <v>183</v>
      </c>
      <c r="F36" s="163" t="s">
        <v>280</v>
      </c>
    </row>
    <row r="37" spans="1:6" x14ac:dyDescent="0.2">
      <c r="A37" s="128">
        <f t="shared" si="0"/>
        <v>32</v>
      </c>
      <c r="C37" s="163"/>
      <c r="D37" s="215"/>
      <c r="E37" s="163"/>
      <c r="F37" s="163"/>
    </row>
    <row r="38" spans="1:6" x14ac:dyDescent="0.2">
      <c r="A38" s="128">
        <f t="shared" si="0"/>
        <v>33</v>
      </c>
      <c r="B38" s="37">
        <v>82997</v>
      </c>
      <c r="C38" s="163" t="s">
        <v>241</v>
      </c>
      <c r="D38" s="215" t="s">
        <v>378</v>
      </c>
      <c r="E38" s="163" t="s">
        <v>183</v>
      </c>
      <c r="F38" s="163" t="s">
        <v>277</v>
      </c>
    </row>
    <row r="39" spans="1:6" x14ac:dyDescent="0.2">
      <c r="A39" s="128">
        <f t="shared" si="0"/>
        <v>34</v>
      </c>
      <c r="C39" s="163"/>
      <c r="D39" s="215"/>
      <c r="E39" s="163"/>
      <c r="F39" s="163"/>
    </row>
    <row r="40" spans="1:6" x14ac:dyDescent="0.2">
      <c r="A40" s="128">
        <f t="shared" si="0"/>
        <v>35</v>
      </c>
      <c r="B40" s="37">
        <v>354242</v>
      </c>
      <c r="C40" s="163" t="s">
        <v>212</v>
      </c>
      <c r="D40" s="215" t="s">
        <v>378</v>
      </c>
      <c r="E40" s="163" t="s">
        <v>183</v>
      </c>
      <c r="F40" s="163" t="s">
        <v>277</v>
      </c>
    </row>
    <row r="41" spans="1:6" x14ac:dyDescent="0.2">
      <c r="A41" s="128">
        <f t="shared" si="0"/>
        <v>36</v>
      </c>
      <c r="C41" s="163"/>
      <c r="D41" s="215"/>
      <c r="E41" s="163"/>
      <c r="F41" s="163"/>
    </row>
    <row r="42" spans="1:6" x14ac:dyDescent="0.2">
      <c r="A42" s="128">
        <f t="shared" si="0"/>
        <v>37</v>
      </c>
      <c r="B42" s="37">
        <v>-55000</v>
      </c>
      <c r="C42" s="2" t="s">
        <v>325</v>
      </c>
      <c r="D42" s="215" t="s">
        <v>326</v>
      </c>
      <c r="E42" s="163" t="s">
        <v>183</v>
      </c>
      <c r="F42" s="2" t="s">
        <v>322</v>
      </c>
    </row>
    <row r="43" spans="1:6" x14ac:dyDescent="0.2">
      <c r="A43" s="128">
        <f t="shared" si="0"/>
        <v>38</v>
      </c>
      <c r="D43" s="35"/>
    </row>
    <row r="44" spans="1:6" ht="13.5" thickBot="1" x14ac:dyDescent="0.25">
      <c r="A44" s="128">
        <f t="shared" si="0"/>
        <v>39</v>
      </c>
      <c r="D44" s="35"/>
    </row>
    <row r="45" spans="1:6" ht="13.5" thickBot="1" x14ac:dyDescent="0.25">
      <c r="A45" s="128">
        <f t="shared" si="0"/>
        <v>40</v>
      </c>
      <c r="C45" s="226" t="s">
        <v>184</v>
      </c>
      <c r="D45" s="227" t="s">
        <v>18</v>
      </c>
      <c r="E45" s="229" t="s">
        <v>33</v>
      </c>
      <c r="F45" s="230" t="s">
        <v>34</v>
      </c>
    </row>
    <row r="46" spans="1:6" x14ac:dyDescent="0.2">
      <c r="A46" s="128">
        <f t="shared" si="0"/>
        <v>41</v>
      </c>
      <c r="D46" s="35"/>
    </row>
    <row r="47" spans="1:6" x14ac:dyDescent="0.2">
      <c r="A47" s="128">
        <f t="shared" si="0"/>
        <v>42</v>
      </c>
      <c r="B47" s="37">
        <f>-2530000*0.2</f>
        <v>-506000</v>
      </c>
      <c r="C47" s="163" t="s">
        <v>330</v>
      </c>
      <c r="D47" s="215" t="s">
        <v>376</v>
      </c>
      <c r="E47" s="163" t="s">
        <v>183</v>
      </c>
      <c r="F47" s="163" t="s">
        <v>322</v>
      </c>
    </row>
    <row r="48" spans="1:6" x14ac:dyDescent="0.2">
      <c r="A48" s="128">
        <f t="shared" si="0"/>
        <v>43</v>
      </c>
      <c r="C48" s="163"/>
      <c r="D48" s="215"/>
      <c r="E48" s="163"/>
      <c r="F48" s="163"/>
    </row>
    <row r="49" spans="1:6" x14ac:dyDescent="0.2">
      <c r="A49" s="128">
        <f t="shared" si="0"/>
        <v>44</v>
      </c>
      <c r="B49" s="37">
        <f>400000*(1/10)</f>
        <v>40000</v>
      </c>
      <c r="C49" s="163" t="s">
        <v>331</v>
      </c>
      <c r="D49" s="215" t="s">
        <v>376</v>
      </c>
      <c r="E49" s="163" t="s">
        <v>183</v>
      </c>
      <c r="F49" s="163" t="s">
        <v>322</v>
      </c>
    </row>
    <row r="50" spans="1:6" x14ac:dyDescent="0.2">
      <c r="A50" s="128">
        <f t="shared" si="0"/>
        <v>45</v>
      </c>
      <c r="C50" s="163"/>
      <c r="D50" s="215"/>
      <c r="E50" s="163"/>
      <c r="F50" s="163"/>
    </row>
    <row r="51" spans="1:6" x14ac:dyDescent="0.2">
      <c r="A51" s="128">
        <f t="shared" si="0"/>
        <v>46</v>
      </c>
      <c r="B51" s="37">
        <f>-2100000*(12/23)</f>
        <v>-1095652.1739130435</v>
      </c>
      <c r="C51" s="163" t="s">
        <v>332</v>
      </c>
      <c r="D51" s="215" t="s">
        <v>377</v>
      </c>
      <c r="E51" s="163" t="s">
        <v>183</v>
      </c>
      <c r="F51" s="163" t="s">
        <v>322</v>
      </c>
    </row>
    <row r="52" spans="1:6" x14ac:dyDescent="0.2">
      <c r="A52" s="128">
        <f t="shared" si="0"/>
        <v>47</v>
      </c>
      <c r="C52" s="163"/>
      <c r="D52" s="215"/>
      <c r="E52" s="163"/>
      <c r="F52" s="163"/>
    </row>
    <row r="53" spans="1:6" x14ac:dyDescent="0.2">
      <c r="A53" s="33"/>
    </row>
    <row r="54" spans="1:6" x14ac:dyDescent="0.2">
      <c r="A54" s="33"/>
    </row>
    <row r="55" spans="1:6" x14ac:dyDescent="0.2">
      <c r="A55" s="33"/>
    </row>
    <row r="56" spans="1:6" x14ac:dyDescent="0.2">
      <c r="A56" s="33"/>
    </row>
    <row r="57" spans="1:6" x14ac:dyDescent="0.2">
      <c r="A57" s="33"/>
    </row>
    <row r="58" spans="1:6" x14ac:dyDescent="0.2">
      <c r="A58" s="33"/>
    </row>
    <row r="59" spans="1:6" x14ac:dyDescent="0.2">
      <c r="A59" s="33"/>
    </row>
    <row r="60" spans="1:6" x14ac:dyDescent="0.2">
      <c r="A60" s="33"/>
    </row>
    <row r="61" spans="1:6" x14ac:dyDescent="0.2">
      <c r="A61" s="33"/>
    </row>
    <row r="62" spans="1:6" x14ac:dyDescent="0.2">
      <c r="A62" s="33"/>
    </row>
    <row r="63" spans="1:6" x14ac:dyDescent="0.2">
      <c r="A63" s="33"/>
    </row>
    <row r="64" spans="1:6" x14ac:dyDescent="0.2">
      <c r="A64" s="33"/>
    </row>
  </sheetData>
  <phoneticPr fontId="3" type="noConversion"/>
  <printOptions horizontalCentered="1"/>
  <pageMargins left="0.5" right="0.5" top="0.5" bottom="0.5" header="0.25" footer="0.25"/>
  <pageSetup scale="49" orientation="portrait" r:id="rId1"/>
  <headerFooter alignWithMargins="0">
    <oddFooter xml:space="preserve">&amp;C&amp;F &amp;D &amp;T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N105"/>
  <sheetViews>
    <sheetView showGridLines="0" zoomScaleNormal="100" workbookViewId="0">
      <pane xSplit="4" ySplit="12" topLeftCell="E13" activePane="bottomRight" state="frozen"/>
      <selection activeCell="Q32" sqref="Q32"/>
      <selection pane="topRight" activeCell="Q32" sqref="Q32"/>
      <selection pane="bottomLeft" activeCell="Q32" sqref="Q32"/>
      <selection pane="bottomRight" activeCell="K15" sqref="K15"/>
    </sheetView>
  </sheetViews>
  <sheetFormatPr defaultColWidth="9.33203125" defaultRowHeight="12.75" x14ac:dyDescent="0.2"/>
  <cols>
    <col min="1" max="1" width="5.83203125" style="2" customWidth="1"/>
    <col min="2" max="2" width="17.83203125" style="63" customWidth="1"/>
    <col min="3" max="3" width="11.83203125" style="63" customWidth="1"/>
    <col min="4" max="4" width="14.33203125" style="63" hidden="1" customWidth="1"/>
    <col min="5" max="5" width="19.83203125" style="2" customWidth="1"/>
    <col min="6" max="6" width="16.83203125" style="2" hidden="1" customWidth="1"/>
    <col min="7" max="7" width="5.83203125" style="3" customWidth="1"/>
    <col min="8" max="8" width="14.6640625" style="163" customWidth="1"/>
    <col min="9" max="9" width="15.83203125" style="2" customWidth="1"/>
    <col min="10" max="10" width="8.6640625" style="2" customWidth="1"/>
    <col min="11" max="11" width="14.6640625" style="3" customWidth="1"/>
    <col min="12" max="12" width="9.33203125" style="2"/>
    <col min="13" max="13" width="21.1640625" style="2" bestFit="1" customWidth="1"/>
    <col min="14" max="14" width="16.83203125" style="2" bestFit="1" customWidth="1"/>
    <col min="15" max="16384" width="9.33203125" style="2"/>
  </cols>
  <sheetData>
    <row r="1" spans="1:14" ht="15" x14ac:dyDescent="0.2">
      <c r="A1" s="131" t="s">
        <v>0</v>
      </c>
    </row>
    <row r="2" spans="1:14" ht="15" x14ac:dyDescent="0.2">
      <c r="A2" s="131" t="s">
        <v>1</v>
      </c>
    </row>
    <row r="3" spans="1:14" ht="14.25" x14ac:dyDescent="0.2">
      <c r="A3" s="211" t="s">
        <v>337</v>
      </c>
    </row>
    <row r="4" spans="1:14" ht="14.25" x14ac:dyDescent="0.2">
      <c r="A4" s="132" t="s">
        <v>335</v>
      </c>
    </row>
    <row r="7" spans="1:14" ht="15" x14ac:dyDescent="0.2">
      <c r="A7" s="43">
        <v>1</v>
      </c>
      <c r="B7" s="133"/>
    </row>
    <row r="8" spans="1:14" ht="15" x14ac:dyDescent="0.2">
      <c r="A8" s="43">
        <f>+A7+1</f>
        <v>2</v>
      </c>
      <c r="B8" s="133"/>
      <c r="E8" s="5" t="s">
        <v>333</v>
      </c>
      <c r="I8" s="5" t="s">
        <v>164</v>
      </c>
      <c r="K8" s="10"/>
    </row>
    <row r="9" spans="1:14" x14ac:dyDescent="0.2">
      <c r="A9" s="43">
        <f t="shared" ref="A9:A71" si="0">+A8+1</f>
        <v>3</v>
      </c>
      <c r="B9" s="135"/>
      <c r="E9" s="5" t="s">
        <v>197</v>
      </c>
      <c r="I9" s="5" t="s">
        <v>151</v>
      </c>
      <c r="K9" s="10" t="s">
        <v>366</v>
      </c>
      <c r="M9" s="5" t="s">
        <v>176</v>
      </c>
      <c r="N9" s="10" t="s">
        <v>372</v>
      </c>
    </row>
    <row r="10" spans="1:14" ht="13.5" thickBot="1" x14ac:dyDescent="0.25">
      <c r="A10" s="43">
        <f t="shared" si="0"/>
        <v>4</v>
      </c>
      <c r="E10" s="350" t="s">
        <v>334</v>
      </c>
      <c r="F10" s="136" t="s">
        <v>15</v>
      </c>
      <c r="G10" s="134"/>
      <c r="H10" s="136" t="s">
        <v>156</v>
      </c>
      <c r="I10" s="85" t="s">
        <v>157</v>
      </c>
      <c r="K10" s="85" t="s">
        <v>367</v>
      </c>
      <c r="M10" s="85" t="s">
        <v>368</v>
      </c>
      <c r="N10" s="85" t="s">
        <v>367</v>
      </c>
    </row>
    <row r="11" spans="1:14" x14ac:dyDescent="0.2">
      <c r="A11" s="43">
        <f t="shared" si="0"/>
        <v>5</v>
      </c>
      <c r="F11" s="5"/>
      <c r="G11" s="10"/>
      <c r="I11" s="5" t="s">
        <v>196</v>
      </c>
      <c r="K11" s="10"/>
    </row>
    <row r="12" spans="1:14" x14ac:dyDescent="0.2">
      <c r="A12" s="43">
        <f t="shared" si="0"/>
        <v>6</v>
      </c>
      <c r="B12" s="55" t="s">
        <v>2</v>
      </c>
      <c r="C12" s="11" t="s">
        <v>3</v>
      </c>
      <c r="D12" s="17" t="s">
        <v>125</v>
      </c>
      <c r="E12" s="12" t="s">
        <v>68</v>
      </c>
      <c r="F12" s="12" t="s">
        <v>72</v>
      </c>
      <c r="G12" s="10"/>
      <c r="H12" s="164" t="s">
        <v>73</v>
      </c>
      <c r="I12" s="5" t="s">
        <v>74</v>
      </c>
      <c r="J12" s="3"/>
      <c r="K12" s="10"/>
      <c r="L12" s="3"/>
      <c r="M12" s="3"/>
    </row>
    <row r="13" spans="1:14" x14ac:dyDescent="0.2">
      <c r="A13" s="43">
        <f t="shared" si="0"/>
        <v>7</v>
      </c>
      <c r="B13" s="16" t="s">
        <v>4</v>
      </c>
      <c r="C13" s="13"/>
      <c r="D13" s="16" t="s">
        <v>4</v>
      </c>
      <c r="E13" s="459">
        <v>195500</v>
      </c>
      <c r="F13" s="137">
        <f>E13</f>
        <v>195500</v>
      </c>
      <c r="G13" s="138"/>
      <c r="H13" s="345">
        <v>860.33333333333337</v>
      </c>
      <c r="I13" s="137">
        <f t="shared" ref="I13:I18" si="1">IF(H13&lt;&gt;0,ROUND(+E13/H13/12,5),0)</f>
        <v>18.93646</v>
      </c>
      <c r="J13" s="141"/>
      <c r="K13" s="482">
        <f>'Avg Bill by RS'!AF13</f>
        <v>7.84</v>
      </c>
      <c r="L13" s="140"/>
      <c r="M13" s="405" t="s">
        <v>40</v>
      </c>
      <c r="N13" s="472">
        <f>((K13*H13)+(K15*H15))/(H13+H15)</f>
        <v>6.436180210805138</v>
      </c>
    </row>
    <row r="14" spans="1:14" x14ac:dyDescent="0.2">
      <c r="A14" s="43">
        <f t="shared" si="0"/>
        <v>8</v>
      </c>
      <c r="B14" s="16" t="s">
        <v>5</v>
      </c>
      <c r="C14" s="13"/>
      <c r="D14" s="16" t="s">
        <v>5</v>
      </c>
      <c r="E14" s="351">
        <v>45533</v>
      </c>
      <c r="F14" s="137">
        <f t="shared" ref="F14:F66" si="2">E14</f>
        <v>45533</v>
      </c>
      <c r="G14" s="138"/>
      <c r="H14" s="345">
        <v>36.916666666666664</v>
      </c>
      <c r="I14" s="137">
        <f t="shared" si="1"/>
        <v>102.7833</v>
      </c>
      <c r="J14" s="141"/>
      <c r="K14" s="482">
        <f>'Avg Bill by RS'!AF14</f>
        <v>26.97999999999999</v>
      </c>
      <c r="L14" s="140"/>
      <c r="M14" s="405" t="s">
        <v>41</v>
      </c>
      <c r="N14" s="472">
        <f>((K14*H14)+(K16*H16)+(K18*H18)+(K19*H19)+(K21*H21)+(K29*H29))/(H14+H16+H18+H19+H21+H29)</f>
        <v>25.845392261868948</v>
      </c>
    </row>
    <row r="15" spans="1:14" x14ac:dyDescent="0.2">
      <c r="A15" s="43">
        <f t="shared" si="0"/>
        <v>9</v>
      </c>
      <c r="B15" s="16" t="s">
        <v>14</v>
      </c>
      <c r="C15" s="13"/>
      <c r="D15" s="16" t="s">
        <v>14</v>
      </c>
      <c r="E15" s="351">
        <v>50173169</v>
      </c>
      <c r="F15" s="137">
        <f t="shared" si="2"/>
        <v>50173169</v>
      </c>
      <c r="G15" s="138"/>
      <c r="H15" s="345">
        <v>74643.833333333328</v>
      </c>
      <c r="I15" s="137">
        <f t="shared" si="1"/>
        <v>56.01397</v>
      </c>
      <c r="J15" s="141"/>
      <c r="K15" s="482">
        <f>'Avg Bill by RS'!AF15</f>
        <v>6.4199999999999946</v>
      </c>
      <c r="L15" s="140"/>
      <c r="M15" s="405" t="s">
        <v>369</v>
      </c>
      <c r="N15" s="472">
        <f>((K17*H17)+(K25*H25)+(K35*H35))/(H17+H25+H35)</f>
        <v>321.65248073959947</v>
      </c>
    </row>
    <row r="16" spans="1:14" x14ac:dyDescent="0.2">
      <c r="A16" s="43">
        <f t="shared" si="0"/>
        <v>10</v>
      </c>
      <c r="B16" s="16" t="s">
        <v>12</v>
      </c>
      <c r="C16" s="13"/>
      <c r="D16" s="16" t="s">
        <v>12</v>
      </c>
      <c r="E16" s="351">
        <v>16892375</v>
      </c>
      <c r="F16" s="137">
        <f t="shared" si="2"/>
        <v>16892375</v>
      </c>
      <c r="G16" s="138"/>
      <c r="H16" s="345">
        <v>6007.083333333333</v>
      </c>
      <c r="I16" s="137">
        <f t="shared" si="1"/>
        <v>234.33967000000001</v>
      </c>
      <c r="J16" s="141"/>
      <c r="K16" s="482">
        <f>'Avg Bill by RS'!AF16</f>
        <v>21.120000000000005</v>
      </c>
      <c r="L16" s="140"/>
      <c r="M16" s="87" t="s">
        <v>370</v>
      </c>
      <c r="N16" s="472">
        <f>((K21*H21)+(K27*H27)+(K47*H47)+(K53*H53))/(H21+H27+H47+H53)</f>
        <v>926.48000000000025</v>
      </c>
    </row>
    <row r="17" spans="1:14" x14ac:dyDescent="0.2">
      <c r="A17" s="43">
        <f t="shared" si="0"/>
        <v>11</v>
      </c>
      <c r="B17" s="16" t="s">
        <v>13</v>
      </c>
      <c r="C17" s="13"/>
      <c r="D17" s="16" t="s">
        <v>13</v>
      </c>
      <c r="E17" s="351">
        <v>478558</v>
      </c>
      <c r="F17" s="137">
        <f t="shared" si="2"/>
        <v>478558</v>
      </c>
      <c r="G17" s="138"/>
      <c r="H17" s="345">
        <v>27.333333333333332</v>
      </c>
      <c r="I17" s="137">
        <f t="shared" si="1"/>
        <v>1459.01829</v>
      </c>
      <c r="J17" s="141"/>
      <c r="K17" s="482">
        <f>'Avg Bill by RS'!AF17</f>
        <v>95.119999999999891</v>
      </c>
      <c r="L17" s="140"/>
      <c r="M17" s="87" t="s">
        <v>371</v>
      </c>
      <c r="N17" s="472">
        <f>((K23*H23)+(K41*H41)+(K59*H59))/(H23+H41+H59)</f>
        <v>1460.3662526315788</v>
      </c>
    </row>
    <row r="18" spans="1:14" x14ac:dyDescent="0.2">
      <c r="A18" s="43">
        <f t="shared" si="0"/>
        <v>12</v>
      </c>
      <c r="B18" s="68">
        <v>27</v>
      </c>
      <c r="C18" s="21"/>
      <c r="D18" s="68">
        <v>27</v>
      </c>
      <c r="E18" s="352">
        <v>517111</v>
      </c>
      <c r="F18" s="142">
        <f t="shared" si="2"/>
        <v>517111</v>
      </c>
      <c r="G18" s="138"/>
      <c r="H18" s="344">
        <v>786.5</v>
      </c>
      <c r="I18" s="137">
        <f t="shared" si="1"/>
        <v>54.790320000000001</v>
      </c>
      <c r="J18" s="139"/>
      <c r="K18" s="482">
        <f>'Avg Bill by RS'!AF18</f>
        <v>10.39</v>
      </c>
      <c r="L18" s="140"/>
      <c r="M18" s="87"/>
    </row>
    <row r="19" spans="1:14" x14ac:dyDescent="0.2">
      <c r="A19" s="43">
        <f t="shared" si="0"/>
        <v>13</v>
      </c>
      <c r="B19" s="63" t="s">
        <v>242</v>
      </c>
      <c r="C19" s="18" t="s">
        <v>6</v>
      </c>
      <c r="D19" s="63" t="s">
        <v>87</v>
      </c>
      <c r="E19" s="353">
        <v>1845370.0521046275</v>
      </c>
      <c r="F19" s="138">
        <f t="shared" si="2"/>
        <v>1845370.0521046275</v>
      </c>
      <c r="G19" s="138"/>
      <c r="H19" s="343">
        <v>88.333333333333329</v>
      </c>
      <c r="I19" s="458">
        <f>IF(H19&lt;&gt;0,ROUND(SUM(E19:F20)/H19/12,5),0)</f>
        <v>6920.0764499999996</v>
      </c>
      <c r="J19" s="143"/>
      <c r="K19" s="482">
        <f>'Avg Bill by RS'!AF21</f>
        <v>452.5300000000002</v>
      </c>
      <c r="L19" s="293"/>
      <c r="M19" s="87"/>
    </row>
    <row r="20" spans="1:14" x14ac:dyDescent="0.2">
      <c r="A20" s="43">
        <f t="shared" si="0"/>
        <v>14</v>
      </c>
      <c r="B20" s="68"/>
      <c r="C20" s="22" t="s">
        <v>7</v>
      </c>
      <c r="D20" s="68" t="s">
        <v>88</v>
      </c>
      <c r="E20" s="352">
        <v>1822270.4689744238</v>
      </c>
      <c r="F20" s="142">
        <f t="shared" si="2"/>
        <v>1822270.4689744238</v>
      </c>
      <c r="G20" s="138"/>
      <c r="H20" s="344"/>
      <c r="I20" s="142"/>
      <c r="J20" s="143"/>
      <c r="K20" s="471"/>
      <c r="L20" s="293"/>
      <c r="M20" s="87"/>
    </row>
    <row r="21" spans="1:14" x14ac:dyDescent="0.2">
      <c r="A21" s="43">
        <f t="shared" si="0"/>
        <v>15</v>
      </c>
      <c r="B21" s="63" t="s">
        <v>243</v>
      </c>
      <c r="C21" s="18" t="s">
        <v>6</v>
      </c>
      <c r="E21" s="353">
        <v>0</v>
      </c>
      <c r="F21" s="138">
        <f t="shared" si="2"/>
        <v>0</v>
      </c>
      <c r="G21" s="138"/>
      <c r="H21" s="343">
        <v>0</v>
      </c>
      <c r="I21" s="458">
        <f>IF(H21&lt;&gt;0,ROUND(SUM(E21:F22)/H21/12,5),0)</f>
        <v>0</v>
      </c>
      <c r="J21" s="143"/>
      <c r="K21" s="482">
        <f>'Avg Bill by RS'!AF24</f>
        <v>0</v>
      </c>
      <c r="L21" s="293"/>
      <c r="M21" s="87"/>
    </row>
    <row r="22" spans="1:14" x14ac:dyDescent="0.2">
      <c r="A22" s="43">
        <f t="shared" si="0"/>
        <v>16</v>
      </c>
      <c r="B22" s="68"/>
      <c r="C22" s="22" t="s">
        <v>7</v>
      </c>
      <c r="E22" s="352">
        <v>0</v>
      </c>
      <c r="F22" s="142">
        <f t="shared" si="2"/>
        <v>0</v>
      </c>
      <c r="G22" s="138"/>
      <c r="H22" s="344"/>
      <c r="I22" s="142"/>
      <c r="J22" s="143"/>
      <c r="K22" s="471"/>
      <c r="L22" s="293"/>
      <c r="M22" s="87"/>
    </row>
    <row r="23" spans="1:14" x14ac:dyDescent="0.2">
      <c r="A23" s="43">
        <f t="shared" si="0"/>
        <v>17</v>
      </c>
      <c r="B23" s="63" t="s">
        <v>126</v>
      </c>
      <c r="C23" s="18" t="s">
        <v>6</v>
      </c>
      <c r="D23" s="63" t="s">
        <v>89</v>
      </c>
      <c r="E23" s="353">
        <v>373284</v>
      </c>
      <c r="F23" s="138">
        <f t="shared" si="2"/>
        <v>373284</v>
      </c>
      <c r="G23" s="138"/>
      <c r="H23" s="343">
        <v>16.833333333333332</v>
      </c>
      <c r="I23" s="458">
        <f>IF(H23&lt;&gt;0,ROUND(SUM(E23:F24)/H23/12,5),0)</f>
        <v>9538.9603999999999</v>
      </c>
      <c r="J23" s="143"/>
      <c r="K23" s="482">
        <f>'Avg Bill by RS'!AF27</f>
        <v>625.00999999999976</v>
      </c>
      <c r="L23" s="293"/>
      <c r="M23" s="87"/>
    </row>
    <row r="24" spans="1:14" x14ac:dyDescent="0.2">
      <c r="A24" s="43">
        <f t="shared" si="0"/>
        <v>18</v>
      </c>
      <c r="B24" s="68"/>
      <c r="C24" s="22" t="s">
        <v>7</v>
      </c>
      <c r="D24" s="68" t="s">
        <v>90</v>
      </c>
      <c r="E24" s="352">
        <v>590151</v>
      </c>
      <c r="F24" s="142">
        <f t="shared" si="2"/>
        <v>590151</v>
      </c>
      <c r="G24" s="138"/>
      <c r="H24" s="344"/>
      <c r="I24" s="142"/>
      <c r="J24" s="144"/>
      <c r="K24" s="471"/>
      <c r="L24" s="294"/>
      <c r="M24" s="87"/>
    </row>
    <row r="25" spans="1:14" x14ac:dyDescent="0.2">
      <c r="A25" s="43">
        <f t="shared" si="0"/>
        <v>19</v>
      </c>
      <c r="B25" s="63" t="s">
        <v>244</v>
      </c>
      <c r="C25" s="18" t="s">
        <v>6</v>
      </c>
      <c r="E25" s="353">
        <v>322107.7</v>
      </c>
      <c r="F25" s="138">
        <f t="shared" si="2"/>
        <v>322107.7</v>
      </c>
      <c r="G25" s="138"/>
      <c r="H25" s="343">
        <v>14.916666666666666</v>
      </c>
      <c r="I25" s="458">
        <f>IF(H25&lt;&gt;0,ROUND(SUM(E25:F26)/H25/12,5),0)</f>
        <v>7471.22235</v>
      </c>
      <c r="J25" s="144"/>
      <c r="K25" s="482">
        <f>'Avg Bill by RS'!AF30</f>
        <v>486.96000000000004</v>
      </c>
      <c r="L25" s="294"/>
      <c r="M25" s="87"/>
    </row>
    <row r="26" spans="1:14" x14ac:dyDescent="0.2">
      <c r="A26" s="43">
        <f t="shared" si="0"/>
        <v>20</v>
      </c>
      <c r="B26" s="68"/>
      <c r="C26" s="22" t="s">
        <v>7</v>
      </c>
      <c r="E26" s="352">
        <v>346566.6999999999</v>
      </c>
      <c r="F26" s="142">
        <f t="shared" si="2"/>
        <v>346566.6999999999</v>
      </c>
      <c r="G26" s="138"/>
      <c r="H26" s="344"/>
      <c r="I26" s="142"/>
      <c r="J26" s="144"/>
      <c r="K26" s="471"/>
      <c r="L26" s="294"/>
      <c r="M26" s="87"/>
    </row>
    <row r="27" spans="1:14" x14ac:dyDescent="0.2">
      <c r="A27" s="43">
        <f t="shared" si="0"/>
        <v>21</v>
      </c>
      <c r="B27" s="63" t="s">
        <v>245</v>
      </c>
      <c r="C27" s="18" t="s">
        <v>6</v>
      </c>
      <c r="D27" s="63" t="s">
        <v>91</v>
      </c>
      <c r="E27" s="353">
        <v>0</v>
      </c>
      <c r="F27" s="138">
        <f t="shared" si="2"/>
        <v>0</v>
      </c>
      <c r="G27" s="138"/>
      <c r="H27" s="343">
        <v>0</v>
      </c>
      <c r="I27" s="458">
        <f>IF(H27&lt;&gt;0,ROUND(SUM(E27:F28)/H27/12,5),0)</f>
        <v>0</v>
      </c>
      <c r="J27" s="144"/>
      <c r="K27" s="482">
        <f>'Avg Bill by RS'!AF33</f>
        <v>0</v>
      </c>
      <c r="L27" s="293"/>
      <c r="M27" s="87"/>
    </row>
    <row r="28" spans="1:14" x14ac:dyDescent="0.2">
      <c r="A28" s="43">
        <f t="shared" si="0"/>
        <v>22</v>
      </c>
      <c r="B28" s="68"/>
      <c r="C28" s="22" t="s">
        <v>7</v>
      </c>
      <c r="D28" s="68" t="s">
        <v>92</v>
      </c>
      <c r="E28" s="352">
        <v>0</v>
      </c>
      <c r="F28" s="142">
        <f t="shared" si="2"/>
        <v>0</v>
      </c>
      <c r="G28" s="138"/>
      <c r="H28" s="344"/>
      <c r="I28" s="142"/>
      <c r="J28" s="139"/>
      <c r="K28" s="471"/>
      <c r="L28" s="293"/>
      <c r="M28" s="87"/>
    </row>
    <row r="29" spans="1:14" x14ac:dyDescent="0.2">
      <c r="A29" s="43">
        <f t="shared" si="0"/>
        <v>23</v>
      </c>
      <c r="B29" s="63" t="s">
        <v>127</v>
      </c>
      <c r="C29" s="18" t="s">
        <v>6</v>
      </c>
      <c r="D29" s="63" t="s">
        <v>93</v>
      </c>
      <c r="E29" s="353">
        <v>375026.16770230286</v>
      </c>
      <c r="F29" s="138">
        <f t="shared" si="2"/>
        <v>375026.16770230286</v>
      </c>
      <c r="G29" s="138"/>
      <c r="H29" s="343">
        <v>5.75</v>
      </c>
      <c r="I29" s="458">
        <f>IF(H29&lt;&gt;0,ROUND(SUM(E29:F34)/H29/12,5),0)</f>
        <v>21652.71067</v>
      </c>
      <c r="J29" s="145"/>
      <c r="K29" s="482">
        <f>'Avg Bill by RS'!AF40</f>
        <v>514.38999999999942</v>
      </c>
      <c r="L29" s="146"/>
      <c r="M29" s="87"/>
    </row>
    <row r="30" spans="1:14" x14ac:dyDescent="0.2">
      <c r="A30" s="43">
        <f t="shared" si="0"/>
        <v>24</v>
      </c>
      <c r="C30" s="18" t="s">
        <v>7</v>
      </c>
      <c r="D30" s="63" t="s">
        <v>94</v>
      </c>
      <c r="E30" s="353">
        <v>296468.52767807955</v>
      </c>
      <c r="F30" s="138">
        <f t="shared" si="2"/>
        <v>296468.52767807955</v>
      </c>
      <c r="G30" s="138"/>
      <c r="H30" s="343"/>
      <c r="I30" s="138"/>
      <c r="J30" s="145"/>
      <c r="K30" s="471"/>
      <c r="L30" s="146"/>
      <c r="M30" s="87"/>
    </row>
    <row r="31" spans="1:14" x14ac:dyDescent="0.2">
      <c r="A31" s="43">
        <f t="shared" si="0"/>
        <v>25</v>
      </c>
      <c r="C31" s="18" t="s">
        <v>8</v>
      </c>
      <c r="D31" s="63" t="s">
        <v>95</v>
      </c>
      <c r="E31" s="353">
        <v>74327.252382580977</v>
      </c>
      <c r="F31" s="138">
        <f t="shared" si="2"/>
        <v>74327.252382580977</v>
      </c>
      <c r="G31" s="138"/>
      <c r="H31" s="343"/>
      <c r="I31" s="138"/>
      <c r="J31" s="139"/>
      <c r="K31" s="471"/>
      <c r="L31" s="147"/>
      <c r="M31" s="87"/>
    </row>
    <row r="32" spans="1:14" x14ac:dyDescent="0.2">
      <c r="A32" s="43">
        <f t="shared" si="0"/>
        <v>26</v>
      </c>
      <c r="C32" s="18" t="s">
        <v>9</v>
      </c>
      <c r="D32" s="63" t="s">
        <v>96</v>
      </c>
      <c r="E32" s="353">
        <v>1196.5703303302539</v>
      </c>
      <c r="F32" s="138">
        <f t="shared" si="2"/>
        <v>1196.5703303302539</v>
      </c>
      <c r="G32" s="138"/>
      <c r="H32" s="343"/>
      <c r="I32" s="138"/>
      <c r="J32" s="139"/>
      <c r="K32" s="471"/>
      <c r="L32" s="147"/>
      <c r="M32" s="3"/>
    </row>
    <row r="33" spans="1:13" x14ac:dyDescent="0.2">
      <c r="A33" s="43">
        <f t="shared" si="0"/>
        <v>27</v>
      </c>
      <c r="C33" s="18" t="s">
        <v>10</v>
      </c>
      <c r="D33" s="63" t="s">
        <v>97</v>
      </c>
      <c r="E33" s="353">
        <v>0</v>
      </c>
      <c r="F33" s="138">
        <f t="shared" si="2"/>
        <v>0</v>
      </c>
      <c r="G33" s="138"/>
      <c r="H33" s="343"/>
      <c r="I33" s="138"/>
      <c r="J33" s="139"/>
      <c r="K33" s="471"/>
      <c r="L33" s="147"/>
      <c r="M33" s="3"/>
    </row>
    <row r="34" spans="1:13" x14ac:dyDescent="0.2">
      <c r="A34" s="43">
        <f t="shared" si="0"/>
        <v>28</v>
      </c>
      <c r="B34" s="68"/>
      <c r="C34" s="22" t="s">
        <v>11</v>
      </c>
      <c r="D34" s="68" t="s">
        <v>98</v>
      </c>
      <c r="E34" s="352">
        <v>0</v>
      </c>
      <c r="F34" s="142">
        <f t="shared" si="2"/>
        <v>0</v>
      </c>
      <c r="G34" s="138"/>
      <c r="H34" s="344"/>
      <c r="I34" s="142"/>
      <c r="J34" s="139"/>
      <c r="K34" s="471"/>
      <c r="L34" s="147"/>
      <c r="M34" s="3"/>
    </row>
    <row r="35" spans="1:13" x14ac:dyDescent="0.2">
      <c r="A35" s="43">
        <f t="shared" si="0"/>
        <v>29</v>
      </c>
      <c r="B35" s="63" t="s">
        <v>128</v>
      </c>
      <c r="C35" s="18" t="s">
        <v>6</v>
      </c>
      <c r="D35" s="63" t="s">
        <v>99</v>
      </c>
      <c r="E35" s="353">
        <v>1116842.3999999999</v>
      </c>
      <c r="F35" s="138">
        <f t="shared" si="2"/>
        <v>1116842.3999999999</v>
      </c>
      <c r="G35" s="138"/>
      <c r="H35" s="343">
        <v>11.833333333333334</v>
      </c>
      <c r="I35" s="458">
        <f>IF(H35&lt;&gt;0,ROUND(SUM(E35:F40)/H35/12,5),0)</f>
        <v>27009.42958</v>
      </c>
      <c r="J35" s="139"/>
      <c r="K35" s="482">
        <f>'Avg Bill by RS'!AF47</f>
        <v>636.53000000000065</v>
      </c>
      <c r="L35" s="147"/>
      <c r="M35" s="3"/>
    </row>
    <row r="36" spans="1:13" x14ac:dyDescent="0.2">
      <c r="A36" s="43">
        <f t="shared" si="0"/>
        <v>30</v>
      </c>
      <c r="C36" s="18" t="s">
        <v>7</v>
      </c>
      <c r="D36" s="63" t="s">
        <v>100</v>
      </c>
      <c r="E36" s="353">
        <v>718678.6</v>
      </c>
      <c r="F36" s="138">
        <f t="shared" si="2"/>
        <v>718678.6</v>
      </c>
      <c r="G36" s="138"/>
      <c r="H36" s="343"/>
      <c r="I36" s="138"/>
      <c r="J36" s="3"/>
      <c r="K36" s="471"/>
      <c r="L36" s="3"/>
      <c r="M36" s="3"/>
    </row>
    <row r="37" spans="1:13" x14ac:dyDescent="0.2">
      <c r="A37" s="43">
        <f t="shared" si="0"/>
        <v>31</v>
      </c>
      <c r="C37" s="18" t="s">
        <v>8</v>
      </c>
      <c r="D37" s="63" t="s">
        <v>101</v>
      </c>
      <c r="E37" s="353">
        <v>82148.5</v>
      </c>
      <c r="F37" s="138">
        <f t="shared" si="2"/>
        <v>82148.5</v>
      </c>
      <c r="G37" s="138"/>
      <c r="H37" s="343"/>
      <c r="I37" s="138"/>
      <c r="J37" s="3"/>
      <c r="K37" s="471"/>
      <c r="L37" s="3"/>
      <c r="M37" s="3"/>
    </row>
    <row r="38" spans="1:13" x14ac:dyDescent="0.2">
      <c r="A38" s="43">
        <f t="shared" si="0"/>
        <v>32</v>
      </c>
      <c r="C38" s="18" t="s">
        <v>9</v>
      </c>
      <c r="D38" s="63" t="s">
        <v>102</v>
      </c>
      <c r="E38" s="353">
        <v>0</v>
      </c>
      <c r="F38" s="138">
        <f t="shared" si="2"/>
        <v>0</v>
      </c>
      <c r="G38" s="138"/>
      <c r="H38" s="343"/>
      <c r="I38" s="138"/>
      <c r="J38" s="3"/>
      <c r="K38" s="471"/>
      <c r="L38" s="3"/>
      <c r="M38" s="3"/>
    </row>
    <row r="39" spans="1:13" x14ac:dyDescent="0.2">
      <c r="A39" s="43">
        <f t="shared" si="0"/>
        <v>33</v>
      </c>
      <c r="C39" s="18" t="s">
        <v>10</v>
      </c>
      <c r="D39" s="63" t="s">
        <v>103</v>
      </c>
      <c r="E39" s="353">
        <v>0</v>
      </c>
      <c r="F39" s="138">
        <f t="shared" si="2"/>
        <v>0</v>
      </c>
      <c r="G39" s="138"/>
      <c r="H39" s="343"/>
      <c r="I39" s="138"/>
      <c r="J39" s="3"/>
      <c r="K39" s="471"/>
      <c r="L39" s="3"/>
      <c r="M39" s="3"/>
    </row>
    <row r="40" spans="1:13" x14ac:dyDescent="0.2">
      <c r="A40" s="43">
        <f t="shared" si="0"/>
        <v>34</v>
      </c>
      <c r="B40" s="68"/>
      <c r="C40" s="22" t="s">
        <v>11</v>
      </c>
      <c r="D40" s="68" t="s">
        <v>104</v>
      </c>
      <c r="E40" s="352">
        <v>0</v>
      </c>
      <c r="F40" s="142">
        <f t="shared" si="2"/>
        <v>0</v>
      </c>
      <c r="G40" s="138"/>
      <c r="H40" s="344"/>
      <c r="I40" s="142"/>
      <c r="J40" s="3"/>
      <c r="K40" s="471"/>
      <c r="L40" s="3"/>
      <c r="M40" s="3"/>
    </row>
    <row r="41" spans="1:13" x14ac:dyDescent="0.2">
      <c r="A41" s="43">
        <f t="shared" si="0"/>
        <v>35</v>
      </c>
      <c r="B41" s="63" t="s">
        <v>129</v>
      </c>
      <c r="C41" s="18" t="s">
        <v>6</v>
      </c>
      <c r="D41" s="63" t="s">
        <v>105</v>
      </c>
      <c r="E41" s="353">
        <v>1315575</v>
      </c>
      <c r="F41" s="138">
        <f t="shared" si="2"/>
        <v>1315575</v>
      </c>
      <c r="G41" s="138"/>
      <c r="H41" s="343">
        <v>11.833333333333332</v>
      </c>
      <c r="I41" s="458">
        <f>IF(H41&lt;&gt;0,ROUND(SUM(E41:F46)/H41/12,5),0)</f>
        <v>85947.676059999998</v>
      </c>
      <c r="J41" s="3"/>
      <c r="K41" s="482">
        <f>'Avg Bill by RS'!AF54</f>
        <v>1573.7299999999996</v>
      </c>
      <c r="L41" s="3"/>
      <c r="M41" s="3"/>
    </row>
    <row r="42" spans="1:13" x14ac:dyDescent="0.2">
      <c r="A42" s="43">
        <f t="shared" si="0"/>
        <v>36</v>
      </c>
      <c r="C42" s="18" t="s">
        <v>7</v>
      </c>
      <c r="D42" s="63" t="s">
        <v>106</v>
      </c>
      <c r="E42" s="353">
        <v>1620311</v>
      </c>
      <c r="F42" s="138">
        <f t="shared" si="2"/>
        <v>1620311</v>
      </c>
      <c r="G42" s="138"/>
      <c r="H42" s="343"/>
      <c r="I42" s="138"/>
      <c r="J42" s="3"/>
      <c r="K42" s="471"/>
      <c r="L42" s="3"/>
      <c r="M42" s="3"/>
    </row>
    <row r="43" spans="1:13" x14ac:dyDescent="0.2">
      <c r="A43" s="43">
        <f t="shared" si="0"/>
        <v>37</v>
      </c>
      <c r="C43" s="18" t="s">
        <v>8</v>
      </c>
      <c r="D43" s="63" t="s">
        <v>107</v>
      </c>
      <c r="E43" s="353">
        <v>1147357</v>
      </c>
      <c r="F43" s="138">
        <f t="shared" si="2"/>
        <v>1147357</v>
      </c>
      <c r="G43" s="138"/>
      <c r="H43" s="343"/>
      <c r="I43" s="138"/>
      <c r="J43" s="3"/>
      <c r="K43" s="471"/>
      <c r="L43" s="3"/>
      <c r="M43" s="3"/>
    </row>
    <row r="44" spans="1:13" x14ac:dyDescent="0.2">
      <c r="A44" s="43">
        <f t="shared" si="0"/>
        <v>38</v>
      </c>
      <c r="C44" s="18" t="s">
        <v>9</v>
      </c>
      <c r="D44" s="63" t="s">
        <v>108</v>
      </c>
      <c r="E44" s="353">
        <v>1663800</v>
      </c>
      <c r="F44" s="138">
        <f t="shared" si="2"/>
        <v>1663800</v>
      </c>
      <c r="G44" s="138"/>
      <c r="H44" s="343"/>
      <c r="I44" s="138"/>
      <c r="K44" s="471"/>
    </row>
    <row r="45" spans="1:13" x14ac:dyDescent="0.2">
      <c r="A45" s="43">
        <f t="shared" si="0"/>
        <v>39</v>
      </c>
      <c r="C45" s="18" t="s">
        <v>10</v>
      </c>
      <c r="D45" s="63" t="s">
        <v>109</v>
      </c>
      <c r="E45" s="353">
        <v>355242</v>
      </c>
      <c r="F45" s="138">
        <f t="shared" si="2"/>
        <v>355242</v>
      </c>
      <c r="G45" s="138"/>
      <c r="H45" s="343"/>
      <c r="I45" s="138"/>
      <c r="K45" s="471"/>
    </row>
    <row r="46" spans="1:13" x14ac:dyDescent="0.2">
      <c r="A46" s="43">
        <f t="shared" si="0"/>
        <v>40</v>
      </c>
      <c r="B46" s="68"/>
      <c r="C46" s="22" t="s">
        <v>11</v>
      </c>
      <c r="D46" s="68" t="s">
        <v>110</v>
      </c>
      <c r="E46" s="352">
        <v>0</v>
      </c>
      <c r="F46" s="142">
        <f t="shared" si="2"/>
        <v>0</v>
      </c>
      <c r="G46" s="138"/>
      <c r="H46" s="344"/>
      <c r="I46" s="142"/>
      <c r="K46" s="471"/>
    </row>
    <row r="47" spans="1:13" x14ac:dyDescent="0.2">
      <c r="A47" s="43">
        <f t="shared" si="0"/>
        <v>41</v>
      </c>
      <c r="B47" s="63" t="s">
        <v>246</v>
      </c>
      <c r="C47" s="18" t="s">
        <v>6</v>
      </c>
      <c r="E47" s="353">
        <v>240014.56328353498</v>
      </c>
      <c r="F47" s="138">
        <f t="shared" si="2"/>
        <v>240014.56328353498</v>
      </c>
      <c r="G47" s="138"/>
      <c r="H47" s="343">
        <v>3</v>
      </c>
      <c r="I47" s="458">
        <f>IF(H47&lt;&gt;0,ROUND(SUM(E47:F52)/H47/12,5),0)</f>
        <v>56179.215530000001</v>
      </c>
      <c r="K47" s="482">
        <f>'Avg Bill by RS'!AF61</f>
        <v>1139.8400000000001</v>
      </c>
    </row>
    <row r="48" spans="1:13" x14ac:dyDescent="0.2">
      <c r="A48" s="43">
        <f t="shared" si="0"/>
        <v>42</v>
      </c>
      <c r="C48" s="18" t="s">
        <v>7</v>
      </c>
      <c r="E48" s="353">
        <v>472188.31633306126</v>
      </c>
      <c r="F48" s="138">
        <f t="shared" si="2"/>
        <v>472188.31633306126</v>
      </c>
      <c r="G48" s="138"/>
      <c r="H48" s="343"/>
      <c r="I48" s="138"/>
      <c r="K48" s="471"/>
    </row>
    <row r="49" spans="1:11" x14ac:dyDescent="0.2">
      <c r="A49" s="43">
        <f t="shared" si="0"/>
        <v>43</v>
      </c>
      <c r="C49" s="18" t="s">
        <v>8</v>
      </c>
      <c r="E49" s="353">
        <v>247080</v>
      </c>
      <c r="F49" s="138">
        <f t="shared" si="2"/>
        <v>247080</v>
      </c>
      <c r="G49" s="138"/>
      <c r="H49" s="343"/>
      <c r="I49" s="138"/>
      <c r="K49" s="471"/>
    </row>
    <row r="50" spans="1:11" x14ac:dyDescent="0.2">
      <c r="A50" s="43">
        <f t="shared" si="0"/>
        <v>44</v>
      </c>
      <c r="C50" s="18" t="s">
        <v>9</v>
      </c>
      <c r="E50" s="353">
        <v>51943</v>
      </c>
      <c r="F50" s="138">
        <f t="shared" si="2"/>
        <v>51943</v>
      </c>
      <c r="G50" s="138"/>
      <c r="H50" s="343"/>
      <c r="I50" s="138"/>
      <c r="K50" s="471"/>
    </row>
    <row r="51" spans="1:11" x14ac:dyDescent="0.2">
      <c r="A51" s="43">
        <f t="shared" si="0"/>
        <v>45</v>
      </c>
      <c r="C51" s="18" t="s">
        <v>10</v>
      </c>
      <c r="E51" s="353">
        <v>0</v>
      </c>
      <c r="F51" s="138">
        <f t="shared" si="2"/>
        <v>0</v>
      </c>
      <c r="G51" s="138"/>
      <c r="H51" s="343"/>
      <c r="I51" s="138"/>
      <c r="K51" s="471"/>
    </row>
    <row r="52" spans="1:11" x14ac:dyDescent="0.2">
      <c r="A52" s="43">
        <f t="shared" si="0"/>
        <v>46</v>
      </c>
      <c r="B52" s="68"/>
      <c r="C52" s="22" t="s">
        <v>11</v>
      </c>
      <c r="E52" s="352">
        <v>0</v>
      </c>
      <c r="F52" s="142">
        <f t="shared" si="2"/>
        <v>0</v>
      </c>
      <c r="G52" s="138"/>
      <c r="H52" s="344"/>
      <c r="I52" s="142"/>
      <c r="K52" s="483"/>
    </row>
    <row r="53" spans="1:11" x14ac:dyDescent="0.2">
      <c r="A53" s="43">
        <f t="shared" si="0"/>
        <v>47</v>
      </c>
      <c r="B53" s="63" t="s">
        <v>247</v>
      </c>
      <c r="C53" s="18" t="s">
        <v>6</v>
      </c>
      <c r="D53" s="63" t="s">
        <v>111</v>
      </c>
      <c r="E53" s="353">
        <v>172005.43671646502</v>
      </c>
      <c r="F53" s="138">
        <f t="shared" si="2"/>
        <v>172005.43671646502</v>
      </c>
      <c r="G53" s="138"/>
      <c r="H53" s="343">
        <v>2</v>
      </c>
      <c r="I53" s="458">
        <f>IF(H53&lt;&gt;0,ROUND(SUM(E53:F58)/H53/12,5),0)</f>
        <v>25664.343369999999</v>
      </c>
      <c r="K53" s="482">
        <f>'Avg Bill by RS'!AF68</f>
        <v>606.44000000000051</v>
      </c>
    </row>
    <row r="54" spans="1:11" x14ac:dyDescent="0.2">
      <c r="A54" s="43">
        <f t="shared" si="0"/>
        <v>48</v>
      </c>
      <c r="C54" s="18" t="s">
        <v>7</v>
      </c>
      <c r="D54" s="63" t="s">
        <v>112</v>
      </c>
      <c r="E54" s="353">
        <v>135966.68366693874</v>
      </c>
      <c r="F54" s="138">
        <f t="shared" si="2"/>
        <v>135966.68366693874</v>
      </c>
      <c r="G54" s="138"/>
      <c r="H54" s="343"/>
      <c r="I54" s="138"/>
      <c r="K54" s="471"/>
    </row>
    <row r="55" spans="1:11" x14ac:dyDescent="0.2">
      <c r="A55" s="43">
        <f t="shared" si="0"/>
        <v>49</v>
      </c>
      <c r="C55" s="18" t="s">
        <v>8</v>
      </c>
      <c r="D55" s="63" t="s">
        <v>113</v>
      </c>
      <c r="E55" s="353">
        <v>0</v>
      </c>
      <c r="F55" s="138">
        <f t="shared" si="2"/>
        <v>0</v>
      </c>
      <c r="G55" s="138"/>
      <c r="H55" s="343"/>
      <c r="I55" s="138"/>
      <c r="K55" s="471"/>
    </row>
    <row r="56" spans="1:11" x14ac:dyDescent="0.2">
      <c r="A56" s="43">
        <f t="shared" si="0"/>
        <v>50</v>
      </c>
      <c r="C56" s="18" t="s">
        <v>9</v>
      </c>
      <c r="D56" s="63" t="s">
        <v>114</v>
      </c>
      <c r="E56" s="353">
        <v>0</v>
      </c>
      <c r="F56" s="138">
        <f t="shared" si="2"/>
        <v>0</v>
      </c>
      <c r="G56" s="138"/>
      <c r="H56" s="343"/>
      <c r="I56" s="138"/>
      <c r="K56" s="471"/>
    </row>
    <row r="57" spans="1:11" x14ac:dyDescent="0.2">
      <c r="A57" s="43">
        <f t="shared" si="0"/>
        <v>51</v>
      </c>
      <c r="C57" s="18" t="s">
        <v>10</v>
      </c>
      <c r="D57" s="63" t="s">
        <v>115</v>
      </c>
      <c r="E57" s="353">
        <v>0</v>
      </c>
      <c r="F57" s="138">
        <f t="shared" si="2"/>
        <v>0</v>
      </c>
      <c r="G57" s="138"/>
      <c r="H57" s="343"/>
      <c r="I57" s="138"/>
      <c r="K57" s="471"/>
    </row>
    <row r="58" spans="1:11" x14ac:dyDescent="0.2">
      <c r="A58" s="43">
        <f t="shared" si="0"/>
        <v>52</v>
      </c>
      <c r="B58" s="68"/>
      <c r="C58" s="22" t="s">
        <v>11</v>
      </c>
      <c r="D58" s="68" t="s">
        <v>116</v>
      </c>
      <c r="E58" s="352">
        <v>0</v>
      </c>
      <c r="F58" s="142">
        <f t="shared" si="2"/>
        <v>0</v>
      </c>
      <c r="G58" s="138"/>
      <c r="H58" s="344"/>
      <c r="I58" s="142"/>
      <c r="K58" s="471"/>
    </row>
    <row r="59" spans="1:11" x14ac:dyDescent="0.2">
      <c r="A59" s="43">
        <f t="shared" si="0"/>
        <v>53</v>
      </c>
      <c r="B59" s="63" t="s">
        <v>130</v>
      </c>
      <c r="C59" s="18" t="s">
        <v>6</v>
      </c>
      <c r="D59" s="63" t="s">
        <v>117</v>
      </c>
      <c r="E59" s="353">
        <v>924358</v>
      </c>
      <c r="F59" s="138">
        <f t="shared" si="2"/>
        <v>924358</v>
      </c>
      <c r="G59" s="138"/>
      <c r="H59" s="343">
        <v>10.916666666666666</v>
      </c>
      <c r="I59" s="458">
        <f>IF(H59&lt;&gt;0,ROUND(SUM(E59:F64)/H59/12,5),0)</f>
        <v>166540.18320999999</v>
      </c>
      <c r="K59" s="482">
        <f>'Avg Bill by RS'!AF75</f>
        <v>2625.59</v>
      </c>
    </row>
    <row r="60" spans="1:11" x14ac:dyDescent="0.2">
      <c r="A60" s="43">
        <f t="shared" si="0"/>
        <v>54</v>
      </c>
      <c r="C60" s="18" t="s">
        <v>7</v>
      </c>
      <c r="D60" s="63" t="s">
        <v>118</v>
      </c>
      <c r="E60" s="353">
        <v>1661182</v>
      </c>
      <c r="F60" s="138">
        <f t="shared" si="2"/>
        <v>1661182</v>
      </c>
      <c r="G60" s="138"/>
      <c r="H60" s="343"/>
      <c r="I60" s="138"/>
      <c r="K60" s="471"/>
    </row>
    <row r="61" spans="1:11" x14ac:dyDescent="0.2">
      <c r="A61" s="43">
        <f t="shared" si="0"/>
        <v>55</v>
      </c>
      <c r="C61" s="18" t="s">
        <v>8</v>
      </c>
      <c r="D61" s="63" t="s">
        <v>119</v>
      </c>
      <c r="E61" s="353">
        <v>1395939</v>
      </c>
      <c r="F61" s="138">
        <f t="shared" si="2"/>
        <v>1395939</v>
      </c>
      <c r="G61" s="138"/>
      <c r="H61" s="343"/>
      <c r="I61" s="138"/>
      <c r="K61" s="471"/>
    </row>
    <row r="62" spans="1:11" x14ac:dyDescent="0.2">
      <c r="A62" s="43">
        <f t="shared" si="0"/>
        <v>56</v>
      </c>
      <c r="C62" s="18" t="s">
        <v>9</v>
      </c>
      <c r="D62" s="63" t="s">
        <v>120</v>
      </c>
      <c r="E62" s="353">
        <v>4342579</v>
      </c>
      <c r="F62" s="138">
        <f t="shared" si="2"/>
        <v>4342579</v>
      </c>
      <c r="G62" s="138"/>
      <c r="H62" s="343"/>
      <c r="I62" s="138"/>
      <c r="K62" s="471"/>
    </row>
    <row r="63" spans="1:11" x14ac:dyDescent="0.2">
      <c r="A63" s="43">
        <f t="shared" si="0"/>
        <v>57</v>
      </c>
      <c r="C63" s="18" t="s">
        <v>10</v>
      </c>
      <c r="D63" s="63" t="s">
        <v>121</v>
      </c>
      <c r="E63" s="353">
        <v>2584324</v>
      </c>
      <c r="F63" s="138">
        <f t="shared" si="2"/>
        <v>2584324</v>
      </c>
      <c r="G63" s="138"/>
      <c r="H63" s="343"/>
      <c r="I63" s="138"/>
      <c r="K63" s="471"/>
    </row>
    <row r="64" spans="1:11" x14ac:dyDescent="0.2">
      <c r="A64" s="43">
        <f t="shared" si="0"/>
        <v>58</v>
      </c>
      <c r="B64" s="68"/>
      <c r="C64" s="22" t="s">
        <v>11</v>
      </c>
      <c r="D64" s="68" t="s">
        <v>122</v>
      </c>
      <c r="E64" s="352">
        <v>0</v>
      </c>
      <c r="F64" s="142">
        <f t="shared" si="2"/>
        <v>0</v>
      </c>
      <c r="G64" s="138"/>
      <c r="H64" s="344"/>
      <c r="I64" s="142"/>
      <c r="K64" s="471"/>
    </row>
    <row r="65" spans="1:11" x14ac:dyDescent="0.2">
      <c r="A65" s="43">
        <f t="shared" si="0"/>
        <v>59</v>
      </c>
      <c r="B65" s="68" t="s">
        <v>131</v>
      </c>
      <c r="C65" s="21"/>
      <c r="D65" s="68" t="s">
        <v>123</v>
      </c>
      <c r="E65" s="352">
        <v>0</v>
      </c>
      <c r="F65" s="142">
        <f t="shared" si="2"/>
        <v>0</v>
      </c>
      <c r="G65" s="138"/>
      <c r="H65" s="344"/>
      <c r="I65" s="142">
        <f>IF(H65&lt;&gt;0,ROUND(+E65/H65/12,5),0)</f>
        <v>0</v>
      </c>
      <c r="K65" s="471"/>
    </row>
    <row r="66" spans="1:11" x14ac:dyDescent="0.2">
      <c r="A66" s="43">
        <f t="shared" si="0"/>
        <v>60</v>
      </c>
      <c r="B66" s="16" t="s">
        <v>132</v>
      </c>
      <c r="C66" s="13"/>
      <c r="D66" s="16" t="s">
        <v>124</v>
      </c>
      <c r="E66" s="351">
        <v>0</v>
      </c>
      <c r="F66" s="137">
        <f t="shared" si="2"/>
        <v>0</v>
      </c>
      <c r="G66" s="138"/>
      <c r="H66" s="345"/>
      <c r="I66" s="137">
        <f>IF(H66&lt;&gt;0,ROUND(+E66/H66/12,5),0)</f>
        <v>0</v>
      </c>
      <c r="K66" s="471"/>
    </row>
    <row r="67" spans="1:11" x14ac:dyDescent="0.2">
      <c r="A67" s="43">
        <f t="shared" si="0"/>
        <v>61</v>
      </c>
      <c r="B67" s="15" t="s">
        <v>166</v>
      </c>
      <c r="C67" s="13"/>
      <c r="D67" s="16"/>
      <c r="E67" s="351"/>
      <c r="F67" s="137"/>
      <c r="G67" s="138"/>
      <c r="H67" s="345"/>
      <c r="I67" s="137"/>
      <c r="K67" s="471"/>
    </row>
    <row r="68" spans="1:11" x14ac:dyDescent="0.2">
      <c r="A68" s="43">
        <f t="shared" si="0"/>
        <v>62</v>
      </c>
      <c r="E68" s="130">
        <f t="shared" ref="E68:H68" si="3">SUM(E13:E67)</f>
        <v>94596548.939172342</v>
      </c>
      <c r="F68" s="148">
        <f t="shared" si="3"/>
        <v>94596548.939172342</v>
      </c>
      <c r="G68" s="149"/>
      <c r="H68" s="130">
        <f t="shared" si="3"/>
        <v>82527.416666666642</v>
      </c>
      <c r="I68" s="150"/>
      <c r="J68" s="150"/>
      <c r="K68" s="160"/>
    </row>
    <row r="69" spans="1:11" x14ac:dyDescent="0.2">
      <c r="A69" s="43">
        <f t="shared" si="0"/>
        <v>63</v>
      </c>
      <c r="E69" s="130"/>
      <c r="F69" s="130"/>
      <c r="G69" s="104"/>
      <c r="H69" s="165"/>
    </row>
    <row r="70" spans="1:11" ht="13.5" thickBot="1" x14ac:dyDescent="0.25">
      <c r="A70" s="43">
        <f t="shared" si="0"/>
        <v>64</v>
      </c>
      <c r="E70" s="151"/>
      <c r="F70" s="152"/>
      <c r="G70" s="153"/>
      <c r="H70" s="166"/>
    </row>
    <row r="71" spans="1:11" ht="13.5" thickBot="1" x14ac:dyDescent="0.25">
      <c r="A71" s="43">
        <f t="shared" si="0"/>
        <v>65</v>
      </c>
      <c r="B71" s="154" t="s">
        <v>273</v>
      </c>
      <c r="C71" s="155"/>
      <c r="D71" s="155"/>
      <c r="E71" s="156"/>
      <c r="F71" s="404"/>
      <c r="G71" s="153"/>
      <c r="H71" s="277"/>
    </row>
    <row r="72" spans="1:11" x14ac:dyDescent="0.2">
      <c r="E72" s="151"/>
      <c r="F72" s="152"/>
      <c r="G72" s="153"/>
      <c r="H72" s="165"/>
    </row>
    <row r="73" spans="1:11" x14ac:dyDescent="0.2">
      <c r="E73" s="130"/>
      <c r="F73" s="130"/>
      <c r="G73" s="153"/>
      <c r="H73" s="165"/>
    </row>
    <row r="74" spans="1:11" x14ac:dyDescent="0.2">
      <c r="E74" s="130"/>
      <c r="F74" s="130"/>
      <c r="G74" s="153"/>
      <c r="H74" s="165"/>
    </row>
    <row r="75" spans="1:11" x14ac:dyDescent="0.2">
      <c r="C75" s="63" t="s">
        <v>185</v>
      </c>
      <c r="E75" s="130">
        <f t="shared" ref="E75:F75" si="4">+SUM(E23:E24)+SUM(E41:E46)+SUM(E59:E64)+E65+E66</f>
        <v>17974102</v>
      </c>
      <c r="F75" s="130">
        <f t="shared" si="4"/>
        <v>17974102</v>
      </c>
      <c r="G75" s="153"/>
      <c r="H75" s="130">
        <f>+SUM(H23:H24)+SUM(H41:H46)+SUM(H59:H64)+H65+H66</f>
        <v>39.583333333333329</v>
      </c>
    </row>
    <row r="76" spans="1:11" x14ac:dyDescent="0.2">
      <c r="C76" s="63" t="s">
        <v>186</v>
      </c>
      <c r="E76" s="130">
        <f t="shared" ref="E76:F76" si="5">+SUM(E13:E20)+SUM(E27:E40)+SUM(E53:E58)+E67+SUM(E21:E22)+SUM(E25:E26)+SUM(E47:E52)</f>
        <v>76622446.939172342</v>
      </c>
      <c r="F76" s="130">
        <f t="shared" si="5"/>
        <v>76622446.939172342</v>
      </c>
      <c r="G76" s="153"/>
      <c r="H76" s="130">
        <f>+SUM(H13:H20)+SUM(H27:H40)+SUM(H53:H58)+H67+SUM(H21:H22)+SUM(H25:H26)+SUM(H47:H52)</f>
        <v>82487.833333333314</v>
      </c>
    </row>
    <row r="77" spans="1:11" x14ac:dyDescent="0.2">
      <c r="E77" s="174">
        <f t="shared" ref="E77:F77" si="6">+E76+E75-E68</f>
        <v>0</v>
      </c>
      <c r="F77" s="174">
        <f t="shared" si="6"/>
        <v>0</v>
      </c>
      <c r="G77" s="153"/>
      <c r="H77" s="174">
        <f>+H76+H75-H68</f>
        <v>0</v>
      </c>
    </row>
    <row r="78" spans="1:11" x14ac:dyDescent="0.2">
      <c r="C78" s="63" t="s">
        <v>187</v>
      </c>
      <c r="E78" s="130">
        <f t="shared" ref="E78:F78" si="7">+E13+E15</f>
        <v>50368669</v>
      </c>
      <c r="F78" s="130">
        <f t="shared" si="7"/>
        <v>50368669</v>
      </c>
      <c r="G78" s="153"/>
      <c r="H78" s="130">
        <f>+H13+H15</f>
        <v>75504.166666666657</v>
      </c>
      <c r="I78" s="130">
        <f>+H68-H78</f>
        <v>7023.2499999999854</v>
      </c>
    </row>
    <row r="79" spans="1:11" x14ac:dyDescent="0.2">
      <c r="C79" s="63" t="s">
        <v>188</v>
      </c>
      <c r="E79" s="130">
        <f t="shared" ref="E79:F79" si="8">+E14+E16+SUM(E29:E34)+SUM(E19:E20)+SUM(E21:E22)+SUM(E47:E52)</f>
        <v>22363792.918788943</v>
      </c>
      <c r="F79" s="130">
        <f t="shared" si="8"/>
        <v>22363792.918788943</v>
      </c>
      <c r="H79" s="130">
        <f>+H14+H16+SUM(H29:H34)+SUM(H19:H20)+SUM(H21:H22)+SUM(H47:H52)</f>
        <v>6141.083333333333</v>
      </c>
    </row>
    <row r="80" spans="1:11" x14ac:dyDescent="0.2">
      <c r="C80" s="63" t="s">
        <v>189</v>
      </c>
      <c r="E80" s="104">
        <f t="shared" ref="E80:F80" si="9">+E17++SUM(E27:E28)+SUM(E35:E40)+SUM(E53:E58)+SUM(E25:E26)</f>
        <v>3372874.0203834036</v>
      </c>
      <c r="F80" s="104">
        <f t="shared" si="9"/>
        <v>3372874.0203834036</v>
      </c>
      <c r="G80" s="153"/>
      <c r="H80" s="104">
        <f>+H17++SUM(H27:H28)+SUM(H35:H40)+SUM(H53:H58)+SUM(H25:H26)</f>
        <v>56.083333333333329</v>
      </c>
      <c r="I80" s="3"/>
      <c r="J80" s="3"/>
    </row>
    <row r="81" spans="2:10" x14ac:dyDescent="0.2">
      <c r="C81" s="63">
        <v>27</v>
      </c>
      <c r="E81" s="104">
        <f t="shared" ref="E81:F81" si="10">+E18</f>
        <v>517111</v>
      </c>
      <c r="F81" s="104">
        <f t="shared" si="10"/>
        <v>517111</v>
      </c>
      <c r="G81" s="153"/>
      <c r="H81" s="104">
        <f>+H18</f>
        <v>786.5</v>
      </c>
      <c r="I81" s="3"/>
      <c r="J81" s="3"/>
    </row>
    <row r="82" spans="2:10" x14ac:dyDescent="0.2">
      <c r="E82" s="174">
        <f t="shared" ref="E82:F82" si="11">+SUM(E78:E81)-E76</f>
        <v>0</v>
      </c>
      <c r="F82" s="174">
        <f t="shared" si="11"/>
        <v>0</v>
      </c>
      <c r="G82" s="157"/>
      <c r="H82" s="174">
        <f>+SUM(H78:H81)-H76</f>
        <v>0</v>
      </c>
      <c r="I82" s="3"/>
      <c r="J82" s="3"/>
    </row>
    <row r="83" spans="2:10" x14ac:dyDescent="0.2">
      <c r="B83" s="158"/>
      <c r="C83" s="63" t="s">
        <v>190</v>
      </c>
      <c r="D83" s="159"/>
      <c r="E83" s="174">
        <f t="shared" ref="E83:F83" si="12">+SUM(E13:E20)+SUM(E29:E40)+SUM(E25:E26)</f>
        <v>75303248.939172342</v>
      </c>
      <c r="F83" s="174">
        <f t="shared" si="12"/>
        <v>75303248.939172342</v>
      </c>
      <c r="G83" s="160"/>
      <c r="H83" s="174">
        <f>+SUM(H13:H20)+SUM(H29:H40)+SUM(H25:H26)</f>
        <v>82482.833333333314</v>
      </c>
      <c r="I83" s="3"/>
      <c r="J83" s="3"/>
    </row>
    <row r="84" spans="2:10" x14ac:dyDescent="0.2">
      <c r="C84" s="63" t="s">
        <v>191</v>
      </c>
      <c r="D84" s="158"/>
      <c r="E84" s="174">
        <f t="shared" ref="E84:F84" si="13">+SUM(E27:E28)+SUM(E53:E58)+SUM(E21:E22)+SUM(E47:E52)</f>
        <v>1319198</v>
      </c>
      <c r="F84" s="174">
        <f t="shared" si="13"/>
        <v>1319198</v>
      </c>
      <c r="G84" s="161"/>
      <c r="H84" s="174">
        <f>+SUM(H27:H28)+SUM(H53:H58)+SUM(H21:H22)+SUM(H47:H52)</f>
        <v>5</v>
      </c>
      <c r="I84" s="3"/>
      <c r="J84" s="3"/>
    </row>
    <row r="85" spans="2:10" x14ac:dyDescent="0.2">
      <c r="E85" s="174">
        <f t="shared" ref="E85:F85" si="14">+E84+E83-E76</f>
        <v>0</v>
      </c>
      <c r="F85" s="174">
        <f t="shared" si="14"/>
        <v>0</v>
      </c>
      <c r="G85" s="157"/>
      <c r="H85" s="174">
        <f>+H84+H83-H76</f>
        <v>0</v>
      </c>
      <c r="I85" s="3"/>
      <c r="J85" s="3"/>
    </row>
    <row r="86" spans="2:10" x14ac:dyDescent="0.2">
      <c r="C86" s="3"/>
      <c r="D86" s="3"/>
      <c r="E86" s="157"/>
      <c r="F86" s="157"/>
      <c r="G86" s="157"/>
      <c r="H86" s="87"/>
      <c r="I86" s="3"/>
      <c r="J86" s="3"/>
    </row>
    <row r="87" spans="2:10" x14ac:dyDescent="0.2">
      <c r="E87" s="157"/>
      <c r="F87" s="157"/>
      <c r="G87" s="157"/>
      <c r="H87" s="87"/>
      <c r="I87" s="3"/>
      <c r="J87" s="3"/>
    </row>
    <row r="88" spans="2:10" x14ac:dyDescent="0.2">
      <c r="E88" s="157"/>
      <c r="F88" s="157"/>
      <c r="G88" s="157"/>
      <c r="H88" s="87"/>
      <c r="I88" s="3"/>
      <c r="J88" s="3"/>
    </row>
    <row r="89" spans="2:10" x14ac:dyDescent="0.2">
      <c r="C89" s="158"/>
      <c r="D89" s="158"/>
      <c r="E89" s="157"/>
      <c r="F89" s="157"/>
      <c r="G89" s="157"/>
      <c r="H89" s="87"/>
      <c r="I89" s="3"/>
      <c r="J89" s="3"/>
    </row>
    <row r="90" spans="2:10" x14ac:dyDescent="0.2">
      <c r="C90" s="158"/>
      <c r="D90" s="158"/>
      <c r="E90" s="157"/>
      <c r="F90" s="157"/>
      <c r="G90" s="157"/>
      <c r="H90" s="87"/>
      <c r="I90" s="3"/>
      <c r="J90" s="3"/>
    </row>
    <row r="91" spans="2:10" x14ac:dyDescent="0.2">
      <c r="C91" s="158"/>
      <c r="D91" s="158"/>
      <c r="E91" s="157"/>
      <c r="F91" s="157"/>
      <c r="G91" s="157"/>
      <c r="H91" s="87"/>
      <c r="I91" s="3"/>
      <c r="J91" s="3"/>
    </row>
    <row r="92" spans="2:10" x14ac:dyDescent="0.2">
      <c r="E92" s="157"/>
      <c r="F92" s="3"/>
      <c r="H92" s="87"/>
      <c r="I92" s="3"/>
      <c r="J92" s="3"/>
    </row>
    <row r="93" spans="2:10" x14ac:dyDescent="0.2">
      <c r="E93" s="157"/>
      <c r="F93" s="3"/>
      <c r="H93" s="87"/>
      <c r="I93" s="3"/>
      <c r="J93" s="3"/>
    </row>
    <row r="94" spans="2:10" x14ac:dyDescent="0.2">
      <c r="E94" s="157"/>
      <c r="F94" s="3"/>
      <c r="H94" s="87"/>
      <c r="I94" s="3"/>
      <c r="J94" s="3"/>
    </row>
    <row r="95" spans="2:10" x14ac:dyDescent="0.2">
      <c r="E95" s="162"/>
      <c r="F95" s="162"/>
      <c r="G95" s="162"/>
      <c r="H95" s="87"/>
      <c r="I95" s="3"/>
      <c r="J95" s="3"/>
    </row>
    <row r="96" spans="2:10" x14ac:dyDescent="0.2">
      <c r="C96" s="3"/>
      <c r="D96" s="3"/>
      <c r="E96" s="153"/>
      <c r="F96" s="153"/>
      <c r="G96" s="153"/>
      <c r="H96" s="87"/>
      <c r="I96" s="3"/>
      <c r="J96" s="3"/>
    </row>
    <row r="97" spans="3:10" x14ac:dyDescent="0.2">
      <c r="C97" s="3"/>
      <c r="D97" s="3"/>
      <c r="E97" s="153"/>
      <c r="F97" s="153"/>
      <c r="G97" s="153"/>
      <c r="H97" s="87"/>
      <c r="I97" s="3"/>
      <c r="J97" s="3"/>
    </row>
    <row r="98" spans="3:10" x14ac:dyDescent="0.2">
      <c r="C98" s="3"/>
      <c r="D98" s="3"/>
      <c r="E98" s="153"/>
      <c r="F98" s="153"/>
      <c r="G98" s="153"/>
      <c r="H98" s="87"/>
      <c r="I98" s="3"/>
      <c r="J98" s="3"/>
    </row>
    <row r="99" spans="3:10" x14ac:dyDescent="0.2">
      <c r="C99" s="3"/>
      <c r="D99" s="3"/>
      <c r="E99" s="153"/>
      <c r="F99" s="153"/>
      <c r="G99" s="153"/>
      <c r="H99" s="87"/>
      <c r="I99" s="3"/>
      <c r="J99" s="3"/>
    </row>
    <row r="100" spans="3:10" x14ac:dyDescent="0.2">
      <c r="C100" s="3"/>
      <c r="D100" s="3"/>
      <c r="E100" s="153"/>
      <c r="F100" s="153"/>
      <c r="G100" s="153"/>
      <c r="H100" s="87"/>
      <c r="I100" s="3"/>
      <c r="J100" s="3"/>
    </row>
    <row r="101" spans="3:10" x14ac:dyDescent="0.2">
      <c r="E101" s="153"/>
      <c r="F101" s="153"/>
      <c r="G101" s="153"/>
      <c r="H101" s="87"/>
      <c r="I101" s="3"/>
      <c r="J101" s="3"/>
    </row>
    <row r="102" spans="3:10" x14ac:dyDescent="0.2">
      <c r="E102" s="157"/>
      <c r="F102" s="3"/>
      <c r="H102" s="87"/>
      <c r="I102" s="3"/>
      <c r="J102" s="3"/>
    </row>
    <row r="103" spans="3:10" x14ac:dyDescent="0.2">
      <c r="E103" s="157"/>
      <c r="F103" s="157"/>
      <c r="G103" s="157"/>
      <c r="H103" s="87"/>
      <c r="I103" s="3"/>
      <c r="J103" s="3"/>
    </row>
    <row r="104" spans="3:10" x14ac:dyDescent="0.2">
      <c r="E104" s="3"/>
      <c r="F104" s="153"/>
      <c r="G104" s="153"/>
      <c r="H104" s="87"/>
      <c r="I104" s="3"/>
      <c r="J104" s="3"/>
    </row>
    <row r="105" spans="3:10" x14ac:dyDescent="0.2">
      <c r="E105" s="3"/>
      <c r="F105" s="153"/>
      <c r="G105" s="153"/>
      <c r="H105" s="87"/>
      <c r="I105" s="3"/>
      <c r="J105" s="3"/>
    </row>
  </sheetData>
  <phoneticPr fontId="3" type="noConversion"/>
  <printOptions horizontalCentered="1"/>
  <pageMargins left="0.5" right="0.5" top="0.5" bottom="0.5" header="0.25" footer="0.25"/>
  <pageSetup scale="58" orientation="landscape" r:id="rId1"/>
  <headerFooter alignWithMargins="0">
    <oddFooter xml:space="preserve">&amp;C&amp;F &amp;D &amp;T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I94"/>
  <sheetViews>
    <sheetView showGridLines="0" view="pageBreakPreview" zoomScaleNormal="100" zoomScaleSheetLayoutView="100" workbookViewId="0">
      <pane xSplit="3" ySplit="12" topLeftCell="D13" activePane="bottomRight" state="frozen"/>
      <selection activeCell="Q32" sqref="Q32"/>
      <selection pane="topRight" activeCell="Q32" sqref="Q32"/>
      <selection pane="bottomLeft" activeCell="Q32" sqref="Q32"/>
      <selection pane="bottomRight" activeCell="AB75" sqref="AB75"/>
    </sheetView>
  </sheetViews>
  <sheetFormatPr defaultColWidth="9.33203125" defaultRowHeight="12.75" outlineLevelCol="1" x14ac:dyDescent="0.2"/>
  <cols>
    <col min="1" max="1" width="6.83203125" style="3" customWidth="1"/>
    <col min="2" max="2" width="17.83203125" style="2" customWidth="1"/>
    <col min="3" max="3" width="9.33203125" style="2"/>
    <col min="4" max="4" width="16.5" style="2" bestFit="1" customWidth="1"/>
    <col min="5" max="5" width="13.33203125" style="2" customWidth="1"/>
    <col min="6" max="6" width="13.6640625" style="2" customWidth="1"/>
    <col min="7" max="8" width="12.83203125" style="163" customWidth="1"/>
    <col min="9" max="9" width="11.83203125" style="163" customWidth="1"/>
    <col min="10" max="10" width="14.83203125" style="2" customWidth="1"/>
    <col min="11" max="12" width="16" style="2" hidden="1" customWidth="1" outlineLevel="1"/>
    <col min="13" max="13" width="17.6640625" style="2" hidden="1" customWidth="1" outlineLevel="1"/>
    <col min="14" max="15" width="14.83203125" style="2" hidden="1" customWidth="1" outlineLevel="1"/>
    <col min="16" max="16" width="15.5" style="2" hidden="1" customWidth="1" outlineLevel="1"/>
    <col min="17" max="17" width="15.5" style="163" hidden="1" customWidth="1" outlineLevel="1"/>
    <col min="18" max="19" width="15.5" style="2" hidden="1" customWidth="1" outlineLevel="1"/>
    <col min="20" max="20" width="12.5" style="2" hidden="1" customWidth="1" outlineLevel="1" collapsed="1"/>
    <col min="21" max="21" width="14.5" style="2" hidden="1" customWidth="1" outlineLevel="1"/>
    <col min="22" max="22" width="16.6640625" style="2" hidden="1" customWidth="1" outlineLevel="1"/>
    <col min="23" max="23" width="16.6640625" style="163" customWidth="1" collapsed="1"/>
    <col min="24" max="28" width="16.6640625" style="163" customWidth="1"/>
    <col min="29" max="29" width="11.83203125" style="2" customWidth="1"/>
    <col min="30" max="30" width="14.83203125" style="2" customWidth="1"/>
    <col min="31" max="31" width="15.83203125" style="2" customWidth="1"/>
    <col min="32" max="32" width="21.6640625" style="346" customWidth="1"/>
    <col min="33" max="33" width="10.33203125" style="3" bestFit="1" customWidth="1"/>
    <col min="34" max="16384" width="9.33203125" style="3"/>
  </cols>
  <sheetData>
    <row r="1" spans="1:35" ht="14.25" x14ac:dyDescent="0.2">
      <c r="A1" s="1" t="str">
        <f>+'Washington volumes'!A1</f>
        <v>NW Natural</v>
      </c>
    </row>
    <row r="2" spans="1:35" ht="14.25" x14ac:dyDescent="0.2">
      <c r="A2" s="1" t="str">
        <f>+'Washington volumes'!A2</f>
        <v>Rates &amp; Regulatory Affairs</v>
      </c>
      <c r="L2" s="79"/>
      <c r="V2" s="73"/>
      <c r="W2" s="369"/>
      <c r="X2" s="369"/>
      <c r="Y2" s="369"/>
      <c r="Z2" s="369"/>
      <c r="AA2" s="369"/>
      <c r="AB2" s="369"/>
    </row>
    <row r="3" spans="1:35" ht="14.25" x14ac:dyDescent="0.2">
      <c r="A3" s="1" t="str">
        <f>+'Washington volumes'!A3</f>
        <v>2019 WA GRC</v>
      </c>
      <c r="I3" s="460"/>
      <c r="J3" s="73"/>
      <c r="K3" s="369"/>
      <c r="L3" s="370"/>
      <c r="M3" s="370"/>
      <c r="N3" s="370"/>
      <c r="O3" s="370"/>
      <c r="P3" s="370"/>
      <c r="Q3" s="370"/>
      <c r="R3" s="370"/>
      <c r="S3" s="370"/>
      <c r="T3" s="370"/>
      <c r="U3" s="370"/>
      <c r="V3" s="370"/>
      <c r="W3" s="370"/>
      <c r="X3" s="370"/>
      <c r="Y3" s="370"/>
      <c r="Z3" s="370"/>
      <c r="AA3" s="370"/>
      <c r="AB3" s="370"/>
      <c r="AC3" s="370"/>
      <c r="AD3" s="370"/>
      <c r="AE3" s="370"/>
    </row>
    <row r="4" spans="1:35" ht="14.25" x14ac:dyDescent="0.2">
      <c r="A4" s="1" t="s">
        <v>182</v>
      </c>
      <c r="K4" s="369"/>
      <c r="L4" s="370"/>
      <c r="M4" s="370"/>
      <c r="N4" s="163"/>
      <c r="O4" s="370"/>
      <c r="P4" s="163"/>
      <c r="R4" s="163"/>
      <c r="S4" s="163"/>
      <c r="T4" s="163"/>
      <c r="U4" s="370"/>
      <c r="V4" s="163"/>
      <c r="AA4" s="370"/>
      <c r="AC4" s="163"/>
      <c r="AD4" s="370"/>
      <c r="AE4" s="370"/>
    </row>
    <row r="5" spans="1:35" ht="14.25" x14ac:dyDescent="0.2">
      <c r="A5" s="342" t="s">
        <v>165</v>
      </c>
      <c r="G5" s="417"/>
      <c r="H5" s="417"/>
      <c r="I5" s="417"/>
      <c r="J5" s="341"/>
      <c r="K5" s="372"/>
      <c r="L5" s="348"/>
      <c r="M5" s="348"/>
      <c r="N5" s="348"/>
      <c r="O5" s="348"/>
      <c r="P5" s="348"/>
      <c r="Q5" s="401"/>
      <c r="R5" s="348"/>
      <c r="S5" s="348"/>
      <c r="T5" s="348"/>
      <c r="U5" s="406"/>
      <c r="V5" s="348"/>
      <c r="W5" s="401"/>
      <c r="X5" s="401"/>
      <c r="Y5" s="401"/>
      <c r="Z5" s="401"/>
      <c r="AA5" s="401"/>
      <c r="AB5" s="401"/>
      <c r="AC5" s="348"/>
      <c r="AD5" s="370"/>
      <c r="AE5" s="372"/>
      <c r="AF5" s="473"/>
    </row>
    <row r="6" spans="1:35" s="93" customFormat="1" ht="15" thickBot="1" x14ac:dyDescent="0.25">
      <c r="B6" s="94"/>
      <c r="C6" s="94"/>
      <c r="D6" s="94"/>
      <c r="E6" s="94"/>
      <c r="F6" s="94"/>
      <c r="G6" s="418"/>
      <c r="H6" s="418"/>
      <c r="I6" s="418"/>
      <c r="L6" s="348"/>
      <c r="M6" s="348"/>
      <c r="N6" s="348"/>
      <c r="O6" s="348"/>
      <c r="P6" s="348"/>
      <c r="Q6" s="401"/>
      <c r="R6" s="348"/>
      <c r="S6" s="348"/>
      <c r="T6" s="348"/>
      <c r="U6" s="406"/>
      <c r="V6" s="348"/>
      <c r="W6" s="401"/>
      <c r="X6" s="401"/>
      <c r="Y6" s="401"/>
      <c r="Z6" s="401"/>
      <c r="AA6" s="401"/>
      <c r="AB6" s="401"/>
      <c r="AC6" s="348"/>
      <c r="AD6" s="348"/>
      <c r="AF6" s="473"/>
    </row>
    <row r="7" spans="1:35" x14ac:dyDescent="0.2">
      <c r="A7" s="43">
        <v>1</v>
      </c>
      <c r="D7" s="33" t="s">
        <v>140</v>
      </c>
      <c r="F7" s="95" t="s">
        <v>164</v>
      </c>
      <c r="G7" s="403" t="s">
        <v>32</v>
      </c>
      <c r="H7" s="403" t="s">
        <v>26</v>
      </c>
      <c r="I7" s="403" t="s">
        <v>26</v>
      </c>
      <c r="J7" s="95"/>
      <c r="K7" s="95" t="s">
        <v>32</v>
      </c>
      <c r="L7" s="95" t="s">
        <v>32</v>
      </c>
      <c r="M7" s="296" t="s">
        <v>32</v>
      </c>
      <c r="N7" s="95" t="s">
        <v>32</v>
      </c>
      <c r="O7" s="95" t="s">
        <v>32</v>
      </c>
      <c r="P7" s="296" t="s">
        <v>32</v>
      </c>
      <c r="Q7" s="402" t="s">
        <v>32</v>
      </c>
      <c r="R7" s="95" t="s">
        <v>32</v>
      </c>
      <c r="S7" s="296" t="s">
        <v>32</v>
      </c>
      <c r="T7" s="95" t="s">
        <v>32</v>
      </c>
      <c r="U7" s="95" t="s">
        <v>32</v>
      </c>
      <c r="V7" s="296" t="s">
        <v>32</v>
      </c>
      <c r="W7" s="95" t="s">
        <v>32</v>
      </c>
      <c r="X7" s="95" t="s">
        <v>32</v>
      </c>
      <c r="Y7" s="296" t="s">
        <v>32</v>
      </c>
      <c r="Z7" s="95" t="s">
        <v>32</v>
      </c>
      <c r="AA7" s="95" t="s">
        <v>32</v>
      </c>
      <c r="AB7" s="296" t="s">
        <v>32</v>
      </c>
      <c r="AC7" s="33" t="s">
        <v>32</v>
      </c>
      <c r="AD7" s="33" t="s">
        <v>32</v>
      </c>
      <c r="AE7" s="96" t="s">
        <v>32</v>
      </c>
      <c r="AF7" s="479"/>
    </row>
    <row r="8" spans="1:35" x14ac:dyDescent="0.2">
      <c r="A8" s="43">
        <f t="shared" ref="A8:A73" si="0">+A7+1</f>
        <v>2</v>
      </c>
      <c r="D8" s="33" t="s">
        <v>163</v>
      </c>
      <c r="E8" s="95"/>
      <c r="F8" s="95" t="s">
        <v>148</v>
      </c>
      <c r="G8" s="403" t="s">
        <v>150</v>
      </c>
      <c r="H8" s="403" t="s">
        <v>150</v>
      </c>
      <c r="I8" s="362">
        <v>43405</v>
      </c>
      <c r="J8" s="95">
        <f>+I8</f>
        <v>43405</v>
      </c>
      <c r="K8" s="95">
        <f t="shared" ref="K8:V8" si="1">$AC$8</f>
        <v>43800</v>
      </c>
      <c r="L8" s="95">
        <f t="shared" si="1"/>
        <v>43800</v>
      </c>
      <c r="M8" s="97">
        <f t="shared" si="1"/>
        <v>43800</v>
      </c>
      <c r="N8" s="95">
        <f t="shared" si="1"/>
        <v>43800</v>
      </c>
      <c r="O8" s="95">
        <f t="shared" si="1"/>
        <v>43800</v>
      </c>
      <c r="P8" s="97">
        <f t="shared" si="1"/>
        <v>43800</v>
      </c>
      <c r="Q8" s="402">
        <f t="shared" si="1"/>
        <v>43800</v>
      </c>
      <c r="R8" s="95">
        <f t="shared" si="1"/>
        <v>43800</v>
      </c>
      <c r="S8" s="97">
        <f t="shared" si="1"/>
        <v>43800</v>
      </c>
      <c r="T8" s="95">
        <f t="shared" si="1"/>
        <v>43800</v>
      </c>
      <c r="U8" s="95">
        <f t="shared" si="1"/>
        <v>43800</v>
      </c>
      <c r="V8" s="97">
        <f t="shared" si="1"/>
        <v>43800</v>
      </c>
      <c r="W8" s="95">
        <v>43800</v>
      </c>
      <c r="X8" s="95">
        <v>43800</v>
      </c>
      <c r="Y8" s="97">
        <v>43800</v>
      </c>
      <c r="Z8" s="95">
        <v>43800</v>
      </c>
      <c r="AA8" s="95">
        <v>43800</v>
      </c>
      <c r="AB8" s="97">
        <v>43800</v>
      </c>
      <c r="AC8" s="95">
        <v>43800</v>
      </c>
      <c r="AD8" s="95">
        <v>43800</v>
      </c>
      <c r="AE8" s="97">
        <v>43800</v>
      </c>
      <c r="AF8" s="480"/>
    </row>
    <row r="9" spans="1:35" x14ac:dyDescent="0.2">
      <c r="A9" s="43">
        <f t="shared" si="0"/>
        <v>3</v>
      </c>
      <c r="D9" s="33" t="s">
        <v>62</v>
      </c>
      <c r="E9" s="33" t="s">
        <v>147</v>
      </c>
      <c r="F9" s="33" t="s">
        <v>151</v>
      </c>
      <c r="G9" s="403" t="s">
        <v>151</v>
      </c>
      <c r="H9" s="403" t="s">
        <v>151</v>
      </c>
      <c r="I9" s="403" t="s">
        <v>23</v>
      </c>
      <c r="J9" s="33" t="s">
        <v>26</v>
      </c>
      <c r="K9" s="33" t="s">
        <v>298</v>
      </c>
      <c r="L9" s="33" t="s">
        <v>298</v>
      </c>
      <c r="M9" s="98" t="s">
        <v>298</v>
      </c>
      <c r="N9" s="33" t="s">
        <v>303</v>
      </c>
      <c r="O9" s="33" t="s">
        <v>303</v>
      </c>
      <c r="P9" s="98" t="s">
        <v>303</v>
      </c>
      <c r="Q9" s="403" t="s">
        <v>320</v>
      </c>
      <c r="R9" s="33" t="s">
        <v>320</v>
      </c>
      <c r="S9" s="98" t="s">
        <v>320</v>
      </c>
      <c r="T9" s="33" t="s">
        <v>146</v>
      </c>
      <c r="U9" s="33" t="s">
        <v>146</v>
      </c>
      <c r="V9" s="98" t="s">
        <v>146</v>
      </c>
      <c r="W9" s="33" t="s">
        <v>336</v>
      </c>
      <c r="X9" s="33" t="s">
        <v>336</v>
      </c>
      <c r="Y9" s="98" t="s">
        <v>336</v>
      </c>
      <c r="Z9" s="33" t="s">
        <v>338</v>
      </c>
      <c r="AA9" s="33" t="s">
        <v>338</v>
      </c>
      <c r="AB9" s="98" t="s">
        <v>338</v>
      </c>
      <c r="AC9" s="33" t="s">
        <v>51</v>
      </c>
      <c r="AD9" s="33" t="s">
        <v>51</v>
      </c>
      <c r="AE9" s="98" t="s">
        <v>51</v>
      </c>
      <c r="AF9" s="481" t="s">
        <v>373</v>
      </c>
    </row>
    <row r="10" spans="1:35" s="8" customFormat="1" ht="13.5" thickBot="1" x14ac:dyDescent="0.25">
      <c r="A10" s="43">
        <f t="shared" si="0"/>
        <v>4</v>
      </c>
      <c r="B10" s="2"/>
      <c r="C10" s="2"/>
      <c r="D10" s="49" t="s">
        <v>59</v>
      </c>
      <c r="E10" s="49" t="s">
        <v>3</v>
      </c>
      <c r="F10" s="49" t="s">
        <v>149</v>
      </c>
      <c r="G10" s="419" t="s">
        <v>152</v>
      </c>
      <c r="H10" s="419" t="s">
        <v>152</v>
      </c>
      <c r="I10" s="419" t="s">
        <v>24</v>
      </c>
      <c r="J10" s="49" t="s">
        <v>153</v>
      </c>
      <c r="K10" s="85" t="s">
        <v>294</v>
      </c>
      <c r="L10" s="49" t="s">
        <v>153</v>
      </c>
      <c r="M10" s="99" t="s">
        <v>154</v>
      </c>
      <c r="N10" s="85" t="s">
        <v>24</v>
      </c>
      <c r="O10" s="49" t="s">
        <v>153</v>
      </c>
      <c r="P10" s="99" t="s">
        <v>154</v>
      </c>
      <c r="Q10" s="136" t="s">
        <v>24</v>
      </c>
      <c r="R10" s="49" t="s">
        <v>153</v>
      </c>
      <c r="S10" s="99" t="s">
        <v>154</v>
      </c>
      <c r="T10" s="85" t="s">
        <v>24</v>
      </c>
      <c r="U10" s="49" t="s">
        <v>153</v>
      </c>
      <c r="V10" s="99" t="s">
        <v>154</v>
      </c>
      <c r="W10" s="85" t="s">
        <v>24</v>
      </c>
      <c r="X10" s="49" t="s">
        <v>153</v>
      </c>
      <c r="Y10" s="99" t="s">
        <v>154</v>
      </c>
      <c r="Z10" s="85" t="s">
        <v>24</v>
      </c>
      <c r="AA10" s="49" t="s">
        <v>153</v>
      </c>
      <c r="AB10" s="99" t="s">
        <v>154</v>
      </c>
      <c r="AC10" s="85" t="s">
        <v>24</v>
      </c>
      <c r="AD10" s="49" t="s">
        <v>153</v>
      </c>
      <c r="AE10" s="99" t="s">
        <v>154</v>
      </c>
      <c r="AF10" s="99" t="s">
        <v>374</v>
      </c>
    </row>
    <row r="11" spans="1:35" s="8" customFormat="1" x14ac:dyDescent="0.2">
      <c r="A11" s="43">
        <f t="shared" si="0"/>
        <v>5</v>
      </c>
      <c r="B11" s="2"/>
      <c r="C11" s="2"/>
      <c r="D11" s="9"/>
      <c r="E11" s="9"/>
      <c r="F11" s="9"/>
      <c r="G11" s="307"/>
      <c r="H11" s="307"/>
      <c r="I11" s="307"/>
      <c r="J11" s="5" t="s">
        <v>160</v>
      </c>
      <c r="K11" s="295"/>
      <c r="L11" s="164" t="s">
        <v>295</v>
      </c>
      <c r="M11" s="297"/>
      <c r="N11" s="164"/>
      <c r="O11" s="164" t="s">
        <v>304</v>
      </c>
      <c r="P11" s="399"/>
      <c r="Q11" s="134"/>
      <c r="R11" s="164" t="s">
        <v>323</v>
      </c>
      <c r="S11" s="397"/>
      <c r="T11" s="164"/>
      <c r="U11" s="396" t="s">
        <v>324</v>
      </c>
      <c r="W11" s="164"/>
      <c r="X11" s="396"/>
      <c r="Y11" s="397"/>
      <c r="Z11" s="164"/>
      <c r="AA11" s="396"/>
      <c r="AC11" s="164"/>
      <c r="AD11" s="164" t="s">
        <v>347</v>
      </c>
      <c r="AE11" s="297" t="s">
        <v>348</v>
      </c>
      <c r="AF11" s="475"/>
    </row>
    <row r="12" spans="1:35" s="8" customFormat="1" x14ac:dyDescent="0.2">
      <c r="A12" s="43">
        <f t="shared" si="0"/>
        <v>6</v>
      </c>
      <c r="B12" s="55" t="s">
        <v>2</v>
      </c>
      <c r="C12" s="11" t="s">
        <v>3</v>
      </c>
      <c r="D12" s="12" t="s">
        <v>68</v>
      </c>
      <c r="E12" s="12" t="s">
        <v>69</v>
      </c>
      <c r="F12" s="12" t="s">
        <v>16</v>
      </c>
      <c r="G12" s="223" t="s">
        <v>70</v>
      </c>
      <c r="H12" s="223"/>
      <c r="I12" s="223" t="s">
        <v>71</v>
      </c>
      <c r="J12" s="12" t="s">
        <v>72</v>
      </c>
      <c r="K12" s="223" t="s">
        <v>73</v>
      </c>
      <c r="L12" s="223" t="s">
        <v>74</v>
      </c>
      <c r="M12" s="298" t="s">
        <v>75</v>
      </c>
      <c r="N12" s="223" t="s">
        <v>76</v>
      </c>
      <c r="O12" s="223" t="s">
        <v>77</v>
      </c>
      <c r="P12" s="298" t="s">
        <v>78</v>
      </c>
      <c r="Q12" s="223" t="s">
        <v>79</v>
      </c>
      <c r="R12" s="223" t="s">
        <v>80</v>
      </c>
      <c r="S12" s="298" t="s">
        <v>81</v>
      </c>
      <c r="T12" s="223" t="s">
        <v>141</v>
      </c>
      <c r="U12" s="223" t="s">
        <v>213</v>
      </c>
      <c r="V12" s="298" t="s">
        <v>198</v>
      </c>
      <c r="W12" s="223" t="s">
        <v>255</v>
      </c>
      <c r="X12" s="223" t="s">
        <v>256</v>
      </c>
      <c r="Y12" s="298" t="s">
        <v>257</v>
      </c>
      <c r="Z12" s="223" t="s">
        <v>255</v>
      </c>
      <c r="AA12" s="223" t="s">
        <v>256</v>
      </c>
      <c r="AB12" s="298" t="s">
        <v>257</v>
      </c>
      <c r="AC12" s="223" t="s">
        <v>297</v>
      </c>
      <c r="AD12" s="223" t="s">
        <v>345</v>
      </c>
      <c r="AE12" s="298" t="s">
        <v>346</v>
      </c>
      <c r="AF12" s="474" t="s">
        <v>375</v>
      </c>
    </row>
    <row r="13" spans="1:35" x14ac:dyDescent="0.2">
      <c r="A13" s="43">
        <f t="shared" si="0"/>
        <v>7</v>
      </c>
      <c r="B13" s="16" t="s">
        <v>4</v>
      </c>
      <c r="C13" s="13"/>
      <c r="D13" s="58">
        <f>+'Washington volumes'!F13</f>
        <v>195500</v>
      </c>
      <c r="E13" s="100" t="s">
        <v>61</v>
      </c>
      <c r="F13" s="101">
        <f>+'Washington volumes'!I13</f>
        <v>18.93646</v>
      </c>
      <c r="G13" s="439">
        <v>7</v>
      </c>
      <c r="H13" s="439">
        <v>3.47</v>
      </c>
      <c r="I13" s="363">
        <f>+'Rates in summary'!D13</f>
        <v>1.02918</v>
      </c>
      <c r="J13" s="217">
        <f>ROUND(+$H13+(I13*$F13),2)</f>
        <v>22.96</v>
      </c>
      <c r="K13" s="325">
        <f>'Rates in summary'!D13+Temporaries!K13-Temporaries!AZ13</f>
        <v>1.02918</v>
      </c>
      <c r="L13" s="217">
        <f t="shared" ref="L13:L18" si="2">ROUND(G13+(F13*K13), 2)</f>
        <v>26.49</v>
      </c>
      <c r="M13" s="102">
        <f t="shared" ref="M13:M18" si="3">ROUND((L13-J13)/J13,3)</f>
        <v>0.154</v>
      </c>
      <c r="N13" s="325">
        <f>'Rates in summary'!D13+Temporaries!L13+Temporaries!V13-Temporaries!BA13</f>
        <v>1.0291800000000002</v>
      </c>
      <c r="O13" s="217">
        <f t="shared" ref="O13:O18" si="4">ROUND(G13+(F13*N13),2)</f>
        <v>26.49</v>
      </c>
      <c r="P13" s="102">
        <f t="shared" ref="P13:P18" si="5">ROUND((O13-J13)/J13,3)</f>
        <v>0.154</v>
      </c>
      <c r="Q13" s="363">
        <f>'Rates in summary'!D13+Temporaries!W13-Temporaries!BC13</f>
        <v>1.02918</v>
      </c>
      <c r="R13" s="217">
        <f>G13+(F13*Q13)</f>
        <v>26.489025902800002</v>
      </c>
      <c r="S13" s="102">
        <f>(R13-J13)/J13</f>
        <v>0.15370321876306622</v>
      </c>
      <c r="T13" s="363">
        <f>'Rates in summary'!H13+'Rates in summary'!Q13+Temporaries!J13</f>
        <v>1.2034800000000001</v>
      </c>
      <c r="U13" s="217">
        <f t="shared" ref="U13:U18" si="6">ROUND(G13+(F13*T13),2)</f>
        <v>29.79</v>
      </c>
      <c r="V13" s="102">
        <f>ROUND((U13-J13)/J13,3)</f>
        <v>0.29699999999999999</v>
      </c>
      <c r="W13" s="363">
        <f>'Rates in summary'!D13+'Rates in summary'!Q13-Temporaries!BD13</f>
        <v>0.98888999999999994</v>
      </c>
      <c r="X13" s="217">
        <f>ROUND(H13+(F13*W13),2)</f>
        <v>22.2</v>
      </c>
      <c r="Y13" s="102">
        <f>ROUND((X13-J13)/J13,3)</f>
        <v>-3.3000000000000002E-2</v>
      </c>
      <c r="Z13" s="363">
        <f>'Rates in detail'!D13+'Rates in detail'!E13</f>
        <v>1.25691</v>
      </c>
      <c r="AA13" s="217">
        <f>ROUND(G13+(F13*Z13),2)</f>
        <v>30.8</v>
      </c>
      <c r="AB13" s="102">
        <f>ROUND((AA13-J13)/J13,3)</f>
        <v>0.34100000000000003</v>
      </c>
      <c r="AC13" s="325">
        <f>+'Rates in summary'!R13</f>
        <v>1.21662</v>
      </c>
      <c r="AD13" s="217">
        <f t="shared" ref="AD13:AD18" si="7">ROUND(+$G13+(AC13*$F13),2)</f>
        <v>30.04</v>
      </c>
      <c r="AE13" s="102">
        <f t="shared" ref="AE13:AE18" si="8">ROUND((AD13-J13)/J13,3)</f>
        <v>0.308</v>
      </c>
      <c r="AF13" s="217">
        <f>AA13-J13</f>
        <v>7.84</v>
      </c>
      <c r="AH13" s="283"/>
      <c r="AI13" s="283"/>
    </row>
    <row r="14" spans="1:35" x14ac:dyDescent="0.2">
      <c r="A14" s="43">
        <f t="shared" si="0"/>
        <v>8</v>
      </c>
      <c r="B14" s="16" t="s">
        <v>5</v>
      </c>
      <c r="C14" s="13"/>
      <c r="D14" s="58">
        <f>+'Washington volumes'!F14</f>
        <v>45533</v>
      </c>
      <c r="E14" s="100" t="s">
        <v>61</v>
      </c>
      <c r="F14" s="101">
        <f>+'Washington volumes'!I14</f>
        <v>102.7833</v>
      </c>
      <c r="G14" s="439">
        <v>7</v>
      </c>
      <c r="H14" s="439">
        <v>3.47</v>
      </c>
      <c r="I14" s="363">
        <f>+'Rates in summary'!D14</f>
        <v>1.0187299999999997</v>
      </c>
      <c r="J14" s="217">
        <f t="shared" ref="J14:J18" si="9">ROUND(+$H14+(I14*$F14),2)</f>
        <v>108.18</v>
      </c>
      <c r="K14" s="325">
        <f>'Rates in summary'!D14+Temporaries!K14-Temporaries!AZ14</f>
        <v>1.0187299999999997</v>
      </c>
      <c r="L14" s="217">
        <f t="shared" si="2"/>
        <v>111.71</v>
      </c>
      <c r="M14" s="102">
        <f t="shared" si="3"/>
        <v>3.3000000000000002E-2</v>
      </c>
      <c r="N14" s="325">
        <f>'Rates in summary'!D14+Temporaries!L14+Temporaries!V14-Temporaries!BA14</f>
        <v>1.0187299999999999</v>
      </c>
      <c r="O14" s="217">
        <f t="shared" si="4"/>
        <v>111.71</v>
      </c>
      <c r="P14" s="102">
        <f t="shared" si="5"/>
        <v>3.3000000000000002E-2</v>
      </c>
      <c r="Q14" s="363">
        <f>'Rates in summary'!D14+Temporaries!W14-Temporaries!BC14</f>
        <v>1.0187299999999997</v>
      </c>
      <c r="R14" s="217">
        <f t="shared" ref="R14:R18" si="10">G14+(F14*Q14)</f>
        <v>111.70843120899997</v>
      </c>
      <c r="S14" s="102">
        <f t="shared" ref="S14:S77" si="11">(R14-J14)/J14</f>
        <v>3.2616298844518041E-2</v>
      </c>
      <c r="T14" s="363">
        <f>'Rates in summary'!H14+'Rates in summary'!Q14+Temporaries!J14</f>
        <v>1.2050099999999997</v>
      </c>
      <c r="U14" s="217">
        <f t="shared" si="6"/>
        <v>130.85</v>
      </c>
      <c r="V14" s="102">
        <f t="shared" ref="V14:V77" si="12">ROUND((U14-J14)/J14,3)</f>
        <v>0.21</v>
      </c>
      <c r="W14" s="363">
        <f>'Rates in summary'!D14+'Rates in summary'!Q14-Temporaries!BD14</f>
        <v>0.99000999999999972</v>
      </c>
      <c r="X14" s="217">
        <f t="shared" ref="X14:X18" si="13">ROUND(H14+(F14*W14),2)</f>
        <v>105.23</v>
      </c>
      <c r="Y14" s="102">
        <f t="shared" ref="Y14:Y18" si="14">ROUND((X14-J14)/J14,3)</f>
        <v>-2.7E-2</v>
      </c>
      <c r="Z14" s="363">
        <f>'Rates in detail'!D14+'Rates in detail'!E14</f>
        <v>1.2468699999999997</v>
      </c>
      <c r="AA14" s="217">
        <f t="shared" ref="AA14:AA18" si="15">ROUND(G14+(F14*Z14),2)</f>
        <v>135.16</v>
      </c>
      <c r="AB14" s="102">
        <f t="shared" ref="AB14:AB18" si="16">ROUND((AA14-J14)/J14,3)</f>
        <v>0.249</v>
      </c>
      <c r="AC14" s="325">
        <f>+'Rates in summary'!R14</f>
        <v>1.2181499999999996</v>
      </c>
      <c r="AD14" s="217">
        <f>ROUND(+$G14+(AC14*$F14),2)</f>
        <v>132.21</v>
      </c>
      <c r="AE14" s="102">
        <f t="shared" si="8"/>
        <v>0.222</v>
      </c>
      <c r="AF14" s="217">
        <f t="shared" ref="AF14:AF18" si="17">AA14-J14</f>
        <v>26.97999999999999</v>
      </c>
      <c r="AH14" s="283"/>
      <c r="AI14" s="283"/>
    </row>
    <row r="15" spans="1:35" x14ac:dyDescent="0.2">
      <c r="A15" s="43">
        <f t="shared" si="0"/>
        <v>9</v>
      </c>
      <c r="B15" s="16" t="s">
        <v>14</v>
      </c>
      <c r="C15" s="13"/>
      <c r="D15" s="58">
        <f>+'Washington volumes'!F15</f>
        <v>50173169</v>
      </c>
      <c r="E15" s="100" t="s">
        <v>61</v>
      </c>
      <c r="F15" s="101">
        <f>+'Washington volumes'!I15</f>
        <v>56.01397</v>
      </c>
      <c r="G15" s="439">
        <v>9</v>
      </c>
      <c r="H15" s="439">
        <v>7</v>
      </c>
      <c r="I15" s="363">
        <f>+'Rates in summary'!D15</f>
        <v>0.73545999999999978</v>
      </c>
      <c r="J15" s="217">
        <f t="shared" si="9"/>
        <v>48.2</v>
      </c>
      <c r="K15" s="325">
        <f>'Rates in summary'!D15+Temporaries!K15-Temporaries!AZ15</f>
        <v>0.73545999999999978</v>
      </c>
      <c r="L15" s="217">
        <f t="shared" si="2"/>
        <v>50.2</v>
      </c>
      <c r="M15" s="102">
        <f t="shared" si="3"/>
        <v>4.1000000000000002E-2</v>
      </c>
      <c r="N15" s="325">
        <f>'Rates in summary'!D15+Temporaries!L15+Temporaries!V15-Temporaries!BA15</f>
        <v>0.73545999999999978</v>
      </c>
      <c r="O15" s="217">
        <f t="shared" si="4"/>
        <v>50.2</v>
      </c>
      <c r="P15" s="102">
        <f t="shared" si="5"/>
        <v>4.1000000000000002E-2</v>
      </c>
      <c r="Q15" s="363">
        <f>'Rates in summary'!D15+Temporaries!W15-Temporaries!BC15</f>
        <v>0.73545999999999978</v>
      </c>
      <c r="R15" s="217">
        <f t="shared" si="10"/>
        <v>50.196034376199989</v>
      </c>
      <c r="S15" s="102">
        <f t="shared" si="11"/>
        <v>4.1411501580912585E-2</v>
      </c>
      <c r="T15" s="363">
        <f>'Rates in summary'!H15+'Rates in summary'!Q15+Temporaries!J15</f>
        <v>0.77937999999999974</v>
      </c>
      <c r="U15" s="217">
        <f t="shared" si="6"/>
        <v>52.66</v>
      </c>
      <c r="V15" s="102">
        <f t="shared" si="12"/>
        <v>9.2999999999999999E-2</v>
      </c>
      <c r="W15" s="363">
        <f>'Rates in summary'!D15+'Rates in summary'!Q15-Temporaries!BD15</f>
        <v>0.71347999999999978</v>
      </c>
      <c r="X15" s="217">
        <f t="shared" si="13"/>
        <v>46.96</v>
      </c>
      <c r="Y15" s="102">
        <f t="shared" si="14"/>
        <v>-2.5999999999999999E-2</v>
      </c>
      <c r="Z15" s="363">
        <f>'Rates in detail'!D15+'Rates in detail'!E15</f>
        <v>0.81449999999999978</v>
      </c>
      <c r="AA15" s="217">
        <f t="shared" si="15"/>
        <v>54.62</v>
      </c>
      <c r="AB15" s="102">
        <f t="shared" si="16"/>
        <v>0.13300000000000001</v>
      </c>
      <c r="AC15" s="325">
        <f>+'Rates in summary'!R15</f>
        <v>0.79251999999999978</v>
      </c>
      <c r="AD15" s="217">
        <f t="shared" si="7"/>
        <v>53.39</v>
      </c>
      <c r="AE15" s="102">
        <f t="shared" si="8"/>
        <v>0.108</v>
      </c>
      <c r="AF15" s="217">
        <f t="shared" si="17"/>
        <v>6.4199999999999946</v>
      </c>
      <c r="AH15" s="292"/>
      <c r="AI15" s="283"/>
    </row>
    <row r="16" spans="1:35" x14ac:dyDescent="0.2">
      <c r="A16" s="43">
        <f t="shared" si="0"/>
        <v>10</v>
      </c>
      <c r="B16" s="16" t="s">
        <v>12</v>
      </c>
      <c r="C16" s="13"/>
      <c r="D16" s="58">
        <f>+'Washington volumes'!F16</f>
        <v>16892375</v>
      </c>
      <c r="E16" s="100" t="s">
        <v>61</v>
      </c>
      <c r="F16" s="101">
        <f>+'Washington volumes'!I16</f>
        <v>234.33967000000001</v>
      </c>
      <c r="G16" s="439">
        <v>22</v>
      </c>
      <c r="H16" s="439">
        <v>15</v>
      </c>
      <c r="I16" s="363">
        <f>+'Rates in summary'!D16</f>
        <v>0.7353400000000001</v>
      </c>
      <c r="J16" s="217">
        <f t="shared" si="9"/>
        <v>187.32</v>
      </c>
      <c r="K16" s="325">
        <f>'Rates in summary'!D16+Temporaries!K16-Temporaries!AZ16</f>
        <v>0.7353400000000001</v>
      </c>
      <c r="L16" s="217">
        <f t="shared" si="2"/>
        <v>194.32</v>
      </c>
      <c r="M16" s="102">
        <f t="shared" si="3"/>
        <v>3.6999999999999998E-2</v>
      </c>
      <c r="N16" s="325">
        <f>'Rates in summary'!D16+Temporaries!L16+Temporaries!V16-Temporaries!BA16</f>
        <v>0.7353400000000001</v>
      </c>
      <c r="O16" s="217">
        <f t="shared" si="4"/>
        <v>194.32</v>
      </c>
      <c r="P16" s="102">
        <f t="shared" si="5"/>
        <v>3.6999999999999998E-2</v>
      </c>
      <c r="Q16" s="363">
        <f>'Rates in summary'!D16+Temporaries!W16-Temporaries!BC16</f>
        <v>0.7353400000000001</v>
      </c>
      <c r="R16" s="217">
        <f t="shared" si="10"/>
        <v>194.31933293780003</v>
      </c>
      <c r="S16" s="102">
        <f t="shared" si="11"/>
        <v>3.7365646689088372E-2</v>
      </c>
      <c r="T16" s="363">
        <f>'Rates in summary'!H16+'Rates in summary'!Q16+Temporaries!J16</f>
        <v>0.76288000000000011</v>
      </c>
      <c r="U16" s="217">
        <f t="shared" si="6"/>
        <v>200.77</v>
      </c>
      <c r="V16" s="102">
        <f t="shared" si="12"/>
        <v>7.1999999999999995E-2</v>
      </c>
      <c r="W16" s="363">
        <f>'Rates in summary'!D16+'Rates in summary'!Q16-Temporaries!BD16</f>
        <v>0.71575000000000011</v>
      </c>
      <c r="X16" s="217">
        <f t="shared" si="13"/>
        <v>182.73</v>
      </c>
      <c r="Y16" s="102">
        <f t="shared" si="14"/>
        <v>-2.5000000000000001E-2</v>
      </c>
      <c r="Z16" s="363">
        <f>'Rates in detail'!D16+'Rates in detail'!E16</f>
        <v>0.79561000000000015</v>
      </c>
      <c r="AA16" s="217">
        <f t="shared" si="15"/>
        <v>208.44</v>
      </c>
      <c r="AB16" s="102">
        <f t="shared" si="16"/>
        <v>0.113</v>
      </c>
      <c r="AC16" s="325">
        <f>+'Rates in summary'!R16</f>
        <v>0.77602000000000015</v>
      </c>
      <c r="AD16" s="217">
        <f t="shared" si="7"/>
        <v>203.85</v>
      </c>
      <c r="AE16" s="102">
        <f t="shared" si="8"/>
        <v>8.7999999999999995E-2</v>
      </c>
      <c r="AF16" s="217">
        <f t="shared" si="17"/>
        <v>21.120000000000005</v>
      </c>
      <c r="AH16" s="292"/>
      <c r="AI16" s="283"/>
    </row>
    <row r="17" spans="1:35" x14ac:dyDescent="0.2">
      <c r="A17" s="43">
        <f t="shared" si="0"/>
        <v>11</v>
      </c>
      <c r="B17" s="16" t="s">
        <v>13</v>
      </c>
      <c r="C17" s="13"/>
      <c r="D17" s="58">
        <f>+'Washington volumes'!F17</f>
        <v>478558</v>
      </c>
      <c r="E17" s="100" t="s">
        <v>61</v>
      </c>
      <c r="F17" s="101">
        <f>+'Washington volumes'!I17</f>
        <v>1459.01829</v>
      </c>
      <c r="G17" s="439">
        <v>22</v>
      </c>
      <c r="H17" s="439">
        <v>15</v>
      </c>
      <c r="I17" s="363">
        <f>+'Rates in summary'!D17</f>
        <v>0.70457999999999954</v>
      </c>
      <c r="J17" s="217">
        <f t="shared" si="9"/>
        <v>1043</v>
      </c>
      <c r="K17" s="325">
        <f>'Rates in summary'!D17+Temporaries!K17-Temporaries!AZ17</f>
        <v>0.70457999999999954</v>
      </c>
      <c r="L17" s="217">
        <f t="shared" si="2"/>
        <v>1050</v>
      </c>
      <c r="M17" s="102">
        <f t="shared" si="3"/>
        <v>7.0000000000000001E-3</v>
      </c>
      <c r="N17" s="325">
        <f>'Rates in summary'!D17+Temporaries!L17+Temporaries!V17-Temporaries!BA17</f>
        <v>0.70457999999999954</v>
      </c>
      <c r="O17" s="217">
        <f t="shared" si="4"/>
        <v>1050</v>
      </c>
      <c r="P17" s="102">
        <f t="shared" si="5"/>
        <v>7.0000000000000001E-3</v>
      </c>
      <c r="Q17" s="363">
        <f>'Rates in summary'!D17+Temporaries!W17-Temporaries!BC17</f>
        <v>0.70457999999999954</v>
      </c>
      <c r="R17" s="217">
        <f t="shared" si="10"/>
        <v>1049.9951067681993</v>
      </c>
      <c r="S17" s="102">
        <f t="shared" si="11"/>
        <v>6.7067178985611899E-3</v>
      </c>
      <c r="T17" s="363">
        <f>'Rates in summary'!H17+'Rates in summary'!Q17+Temporaries!J17</f>
        <v>0.73526999999999954</v>
      </c>
      <c r="U17" s="217">
        <f t="shared" si="6"/>
        <v>1094.77</v>
      </c>
      <c r="V17" s="102">
        <f t="shared" si="12"/>
        <v>0.05</v>
      </c>
      <c r="W17" s="363">
        <f>'Rates in summary'!D17+'Rates in summary'!Q17-Temporaries!BD17</f>
        <v>0.68800999999999957</v>
      </c>
      <c r="X17" s="217">
        <f t="shared" si="13"/>
        <v>1018.82</v>
      </c>
      <c r="Y17" s="102">
        <f t="shared" si="14"/>
        <v>-2.3E-2</v>
      </c>
      <c r="Z17" s="363">
        <f>'Rates in detail'!D17+'Rates in detail'!E17</f>
        <v>0.76497999999999955</v>
      </c>
      <c r="AA17" s="217">
        <f t="shared" si="15"/>
        <v>1138.1199999999999</v>
      </c>
      <c r="AB17" s="102">
        <f t="shared" si="16"/>
        <v>9.0999999999999998E-2</v>
      </c>
      <c r="AC17" s="325">
        <f>+'Rates in summary'!R17</f>
        <v>0.74840999999999958</v>
      </c>
      <c r="AD17" s="217">
        <f t="shared" si="7"/>
        <v>1113.94</v>
      </c>
      <c r="AE17" s="102">
        <f t="shared" si="8"/>
        <v>6.8000000000000005E-2</v>
      </c>
      <c r="AF17" s="217">
        <f t="shared" si="17"/>
        <v>95.119999999999891</v>
      </c>
      <c r="AH17" s="283"/>
      <c r="AI17" s="283"/>
    </row>
    <row r="18" spans="1:35" x14ac:dyDescent="0.2">
      <c r="A18" s="43">
        <f t="shared" si="0"/>
        <v>12</v>
      </c>
      <c r="B18" s="68">
        <v>27</v>
      </c>
      <c r="C18" s="21"/>
      <c r="D18" s="58">
        <f>+'Washington volumes'!F18</f>
        <v>517111</v>
      </c>
      <c r="E18" s="100" t="s">
        <v>61</v>
      </c>
      <c r="F18" s="101">
        <f>+'Washington volumes'!I18</f>
        <v>54.790320000000001</v>
      </c>
      <c r="G18" s="439">
        <v>9</v>
      </c>
      <c r="H18" s="439">
        <v>6</v>
      </c>
      <c r="I18" s="363">
        <f>+'Rates in summary'!D18</f>
        <v>0.56221999999999983</v>
      </c>
      <c r="J18" s="217">
        <f t="shared" si="9"/>
        <v>36.799999999999997</v>
      </c>
      <c r="K18" s="325">
        <f>'Rates in summary'!D18+Temporaries!K18-Temporaries!AZ18</f>
        <v>0.56221999999999983</v>
      </c>
      <c r="L18" s="217">
        <f t="shared" si="2"/>
        <v>39.799999999999997</v>
      </c>
      <c r="M18" s="102">
        <f t="shared" si="3"/>
        <v>8.2000000000000003E-2</v>
      </c>
      <c r="N18" s="325">
        <f>'Rates in summary'!D18+Temporaries!L18+Temporaries!V18-Temporaries!BA18</f>
        <v>0.56221999999999983</v>
      </c>
      <c r="O18" s="217">
        <f t="shared" si="4"/>
        <v>39.799999999999997</v>
      </c>
      <c r="P18" s="102">
        <f t="shared" si="5"/>
        <v>8.2000000000000003E-2</v>
      </c>
      <c r="Q18" s="363">
        <f>'Rates in summary'!D18+Temporaries!W18-Temporaries!BC18</f>
        <v>0.56221999999999983</v>
      </c>
      <c r="R18" s="217">
        <f t="shared" si="10"/>
        <v>39.804213710399992</v>
      </c>
      <c r="S18" s="102">
        <f t="shared" si="11"/>
        <v>8.1636242130434647E-2</v>
      </c>
      <c r="T18" s="363">
        <f>'Rates in summary'!H18+'Rates in summary'!Q18+Temporaries!J18</f>
        <v>0.66787999999999981</v>
      </c>
      <c r="U18" s="217">
        <f t="shared" si="6"/>
        <v>45.59</v>
      </c>
      <c r="V18" s="102">
        <f t="shared" si="12"/>
        <v>0.23899999999999999</v>
      </c>
      <c r="W18" s="363">
        <f>'Rates in summary'!D18+'Rates in summary'!Q18-Temporaries!BD18</f>
        <v>0.54622999999999988</v>
      </c>
      <c r="X18" s="217">
        <f t="shared" si="13"/>
        <v>35.93</v>
      </c>
      <c r="Y18" s="102">
        <f t="shared" si="14"/>
        <v>-2.4E-2</v>
      </c>
      <c r="Z18" s="363">
        <f>'Rates in detail'!D18+'Rates in detail'!E18</f>
        <v>0.6970099999999998</v>
      </c>
      <c r="AA18" s="217">
        <f t="shared" si="15"/>
        <v>47.19</v>
      </c>
      <c r="AB18" s="102">
        <f t="shared" si="16"/>
        <v>0.28199999999999997</v>
      </c>
      <c r="AC18" s="325">
        <f>+'Rates in summary'!R18</f>
        <v>0.68101999999999985</v>
      </c>
      <c r="AD18" s="217">
        <f t="shared" si="7"/>
        <v>46.31</v>
      </c>
      <c r="AE18" s="102">
        <f t="shared" si="8"/>
        <v>0.25800000000000001</v>
      </c>
      <c r="AF18" s="217">
        <f t="shared" si="17"/>
        <v>10.39</v>
      </c>
      <c r="AH18" s="283"/>
      <c r="AI18" s="283"/>
    </row>
    <row r="19" spans="1:35" x14ac:dyDescent="0.2">
      <c r="A19" s="43">
        <f t="shared" si="0"/>
        <v>13</v>
      </c>
      <c r="B19" s="63" t="s">
        <v>242</v>
      </c>
      <c r="C19" s="18" t="s">
        <v>6</v>
      </c>
      <c r="D19" s="64">
        <f>+'Washington volumes'!F19</f>
        <v>1845370.0521046275</v>
      </c>
      <c r="E19" s="103">
        <v>2000</v>
      </c>
      <c r="F19" s="104">
        <f>+'Washington volumes'!I19</f>
        <v>6920.0764499999996</v>
      </c>
      <c r="G19" s="440">
        <v>250</v>
      </c>
      <c r="H19" s="440">
        <v>250</v>
      </c>
      <c r="I19" s="364">
        <f>+'Rates in summary'!D19</f>
        <v>0.4992600000000002</v>
      </c>
      <c r="J19" s="199"/>
      <c r="K19" s="198">
        <f>'Rates in summary'!D19+Temporaries!K19-Temporaries!AZ19</f>
        <v>0.49926000000000015</v>
      </c>
      <c r="L19" s="199"/>
      <c r="M19" s="299"/>
      <c r="N19" s="198">
        <f>'Rates in summary'!D19+Temporaries!L19+Temporaries!V19-Temporaries!BA19</f>
        <v>0.49926000000000026</v>
      </c>
      <c r="O19" s="199"/>
      <c r="P19" s="299"/>
      <c r="Q19" s="364">
        <f>'Rates in summary'!D19+Temporaries!W19-Temporaries!BC19</f>
        <v>0.4992600000000002</v>
      </c>
      <c r="R19" s="199"/>
      <c r="S19" s="299"/>
      <c r="T19" s="364">
        <f>'Rates in summary'!H19+'Rates in summary'!Q19+Temporaries!J19</f>
        <v>0.54313000000000022</v>
      </c>
      <c r="U19" s="199"/>
      <c r="V19" s="299"/>
      <c r="W19" s="364">
        <f>'Rates in summary'!D19+'Rates in summary'!Q19-Temporaries!BD19</f>
        <v>0.48479000000000022</v>
      </c>
      <c r="X19" s="199"/>
      <c r="Y19" s="299"/>
      <c r="Z19" s="364">
        <f>'Rates in detail'!D19+'Rates in detail'!E19</f>
        <v>0.57074000000000025</v>
      </c>
      <c r="AA19" s="199"/>
      <c r="AB19" s="299"/>
      <c r="AC19" s="198">
        <f>+'Rates in summary'!R19</f>
        <v>0.55627000000000026</v>
      </c>
      <c r="AD19" s="199"/>
      <c r="AE19" s="105"/>
      <c r="AF19" s="199"/>
    </row>
    <row r="20" spans="1:35" x14ac:dyDescent="0.2">
      <c r="A20" s="43">
        <f t="shared" si="0"/>
        <v>14</v>
      </c>
      <c r="B20" s="63"/>
      <c r="C20" s="18" t="s">
        <v>7</v>
      </c>
      <c r="D20" s="64">
        <f>+'Washington volumes'!F20</f>
        <v>1822270.4689744238</v>
      </c>
      <c r="E20" s="103" t="s">
        <v>155</v>
      </c>
      <c r="F20" s="104"/>
      <c r="G20" s="440"/>
      <c r="H20" s="440"/>
      <c r="I20" s="364">
        <f>+'Rates in summary'!D20</f>
        <v>0.46018000000000003</v>
      </c>
      <c r="J20" s="199"/>
      <c r="K20" s="198">
        <f>'Rates in summary'!D20+Temporaries!K20-Temporaries!AZ20</f>
        <v>0.46018000000000003</v>
      </c>
      <c r="L20" s="199"/>
      <c r="M20" s="299"/>
      <c r="N20" s="198">
        <f>'Rates in summary'!D20+Temporaries!L20+Temporaries!V20-Temporaries!BA20</f>
        <v>0.46018000000000003</v>
      </c>
      <c r="O20" s="199"/>
      <c r="P20" s="299"/>
      <c r="Q20" s="364">
        <f>'Rates in summary'!D20+Temporaries!W20-Temporaries!BC20</f>
        <v>0.46018000000000003</v>
      </c>
      <c r="R20" s="199"/>
      <c r="S20" s="299"/>
      <c r="T20" s="364">
        <f>'Rates in summary'!H20+'Rates in summary'!Q20+Temporaries!J20</f>
        <v>0.49722000000000005</v>
      </c>
      <c r="U20" s="199"/>
      <c r="V20" s="299"/>
      <c r="W20" s="364">
        <f>'Rates in summary'!D20+'Rates in summary'!Q20-Temporaries!BD20</f>
        <v>0.44744000000000006</v>
      </c>
      <c r="X20" s="199"/>
      <c r="Y20" s="299"/>
      <c r="Z20" s="364">
        <f>'Rates in detail'!D20+'Rates in detail'!E20</f>
        <v>0.52310000000000001</v>
      </c>
      <c r="AA20" s="199"/>
      <c r="AB20" s="299"/>
      <c r="AC20" s="198">
        <f>+'Rates in summary'!R20</f>
        <v>0.51036000000000004</v>
      </c>
      <c r="AD20" s="199"/>
      <c r="AE20" s="105"/>
      <c r="AF20" s="199"/>
    </row>
    <row r="21" spans="1:35" x14ac:dyDescent="0.2">
      <c r="A21" s="43">
        <f t="shared" si="0"/>
        <v>15</v>
      </c>
      <c r="B21" s="68"/>
      <c r="C21" s="106" t="s">
        <v>159</v>
      </c>
      <c r="D21" s="107"/>
      <c r="E21" s="108"/>
      <c r="F21" s="109"/>
      <c r="G21" s="441"/>
      <c r="H21" s="441"/>
      <c r="I21" s="365"/>
      <c r="J21" s="336">
        <f>$H19+ROUND(IF($F19&lt;$E19,($F19*I19),IF($F19&gt;SUM($E19:$E20),(($E19*I19)+(($F19-$E19)*I20)),0)),2)</f>
        <v>3512.64</v>
      </c>
      <c r="K21" s="333"/>
      <c r="L21" s="336">
        <f>$G19+ROUND(IF($F19&lt;$E19,($F19*K19),IF($F19&gt;SUM($E19:$E20),(($E19*K19)+(($F19-$E19)*K20)),0)),2)</f>
        <v>3512.64</v>
      </c>
      <c r="M21" s="110">
        <f>ROUND((L21-J21)/J21,3)</f>
        <v>0</v>
      </c>
      <c r="N21" s="333"/>
      <c r="O21" s="336">
        <f>$G19+ROUND(IF($F19&lt;$E19,($F19*N19),IF($F19&gt;SUM($E19:$E20),(($E19*N19)+(($F19-$E19)*N20)),0)),2)</f>
        <v>3512.64</v>
      </c>
      <c r="P21" s="110">
        <f>ROUND((O21-J21)/J21,3)</f>
        <v>0</v>
      </c>
      <c r="Q21" s="365"/>
      <c r="R21" s="336">
        <f>$G19+ROUND(IF($F19&lt;$E19,($F19*Q19),IF($F19&gt;SUM($E19:$E20),(($E19*Q19)+(($F19-$E19)*Q20)),0)),2)</f>
        <v>3512.64</v>
      </c>
      <c r="S21" s="110">
        <f t="shared" si="11"/>
        <v>0</v>
      </c>
      <c r="T21" s="365"/>
      <c r="U21" s="336">
        <f>$G19+ROUND(IF($F19&lt;$E19,($F19*T19),IF($F19&gt;SUM($E19:$E20),(($E19*T19)+(($F19-$E19)*T20)),0)),2)</f>
        <v>3782.62</v>
      </c>
      <c r="V21" s="110">
        <f t="shared" si="12"/>
        <v>7.6999999999999999E-2</v>
      </c>
      <c r="W21" s="365"/>
      <c r="X21" s="336">
        <f>$G19+ROUND(IF($F19&lt;$E19,($F19*W19),IF($F19&gt;SUM($E19:$E20),(($E19*W19)+(($F19-$E19)*W20)),0)),2)</f>
        <v>3421.02</v>
      </c>
      <c r="Y21" s="110">
        <f t="shared" ref="Y21" si="18">ROUND((X21-J21)/J21,3)</f>
        <v>-2.5999999999999999E-2</v>
      </c>
      <c r="Z21" s="365"/>
      <c r="AA21" s="336">
        <f>$G19+ROUND(IF($F19&lt;$E19,($F19*Z19),IF($F19&gt;SUM($E19:$E20),(($E19*Z19)+(($F19-$E19)*Z20)),0)),2)</f>
        <v>3965.17</v>
      </c>
      <c r="AB21" s="110">
        <f>ROUND((AA21-J21)/J21,3)</f>
        <v>0.129</v>
      </c>
      <c r="AC21" s="333"/>
      <c r="AD21" s="336">
        <f>$G19+ROUND(IF($F19&lt;$E19,($F19*AC19),IF($F19&gt;SUM($E19:$E20),(($E19*AC19)+(($F19-$E19)*AC20)),0)),2)</f>
        <v>3873.55</v>
      </c>
      <c r="AE21" s="110">
        <f>ROUND((AD21-J21)/J21,3)</f>
        <v>0.10299999999999999</v>
      </c>
      <c r="AF21" s="217">
        <f t="shared" ref="AF21" si="19">AA21-J21</f>
        <v>452.5300000000002</v>
      </c>
      <c r="AG21" s="19"/>
      <c r="AH21" s="283"/>
      <c r="AI21" s="283"/>
    </row>
    <row r="22" spans="1:35" x14ac:dyDescent="0.2">
      <c r="A22" s="43">
        <f t="shared" si="0"/>
        <v>16</v>
      </c>
      <c r="B22" s="63" t="s">
        <v>243</v>
      </c>
      <c r="C22" s="18" t="s">
        <v>6</v>
      </c>
      <c r="D22" s="64">
        <f>+'Washington volumes'!F21</f>
        <v>0</v>
      </c>
      <c r="E22" s="103">
        <v>2000</v>
      </c>
      <c r="F22" s="104">
        <f>+'Washington volumes'!I21</f>
        <v>0</v>
      </c>
      <c r="G22" s="440">
        <v>250</v>
      </c>
      <c r="H22" s="440">
        <v>250</v>
      </c>
      <c r="I22" s="364">
        <f>+'Rates in summary'!D21</f>
        <v>0.51518999999999993</v>
      </c>
      <c r="J22" s="199"/>
      <c r="K22" s="198">
        <f>'Rates in summary'!D21+Temporaries!K21-Temporaries!AZ21</f>
        <v>0.51518999999999993</v>
      </c>
      <c r="L22" s="199"/>
      <c r="M22" s="299"/>
      <c r="N22" s="198">
        <f>'Rates in summary'!D21+Temporaries!L21+Temporaries!V21-Temporaries!BA21</f>
        <v>0.51518999999999993</v>
      </c>
      <c r="O22" s="199"/>
      <c r="P22" s="299"/>
      <c r="Q22" s="364">
        <f>'Rates in summary'!D21+Temporaries!W21-Temporaries!BC21</f>
        <v>0.51518999999999993</v>
      </c>
      <c r="R22" s="199"/>
      <c r="S22" s="299"/>
      <c r="T22" s="364">
        <f>'Rates in summary'!H21+'Rates in summary'!Q21+Temporaries!J21</f>
        <v>0.55227999999999999</v>
      </c>
      <c r="U22" s="199"/>
      <c r="V22" s="299"/>
      <c r="W22" s="364">
        <f>'Rates in summary'!D21+'Rates in summary'!Q21-Temporaries!BD21</f>
        <v>0.49966999999999995</v>
      </c>
      <c r="X22" s="199"/>
      <c r="Y22" s="299"/>
      <c r="Z22" s="364">
        <f>'Rates in detail'!D21+'Rates in detail'!E21</f>
        <v>0.58689999999999998</v>
      </c>
      <c r="AA22" s="199"/>
      <c r="AB22" s="299"/>
      <c r="AC22" s="198">
        <f>+'Rates in summary'!R21</f>
        <v>0.57138</v>
      </c>
      <c r="AD22" s="199"/>
      <c r="AE22" s="264"/>
      <c r="AF22" s="199"/>
    </row>
    <row r="23" spans="1:35" x14ac:dyDescent="0.2">
      <c r="A23" s="43">
        <f t="shared" si="0"/>
        <v>17</v>
      </c>
      <c r="B23" s="63"/>
      <c r="C23" s="18" t="s">
        <v>7</v>
      </c>
      <c r="D23" s="64">
        <f>+'Washington volumes'!F22</f>
        <v>0</v>
      </c>
      <c r="E23" s="103" t="s">
        <v>155</v>
      </c>
      <c r="F23" s="149"/>
      <c r="G23" s="442"/>
      <c r="H23" s="442"/>
      <c r="I23" s="364">
        <f>+'Rates in summary'!D22</f>
        <v>0.47625999999999991</v>
      </c>
      <c r="J23" s="199"/>
      <c r="K23" s="198">
        <f>'Rates in summary'!D22+Temporaries!K22-Temporaries!AZ22</f>
        <v>0.47625999999999991</v>
      </c>
      <c r="L23" s="199"/>
      <c r="M23" s="299"/>
      <c r="N23" s="198">
        <f>'Rates in summary'!D22+Temporaries!L22+Temporaries!V22-Temporaries!BA22</f>
        <v>0.47625999999999991</v>
      </c>
      <c r="O23" s="199"/>
      <c r="P23" s="299"/>
      <c r="Q23" s="364">
        <f>'Rates in summary'!D22+Temporaries!W22-Temporaries!BC22</f>
        <v>0.47625999999999991</v>
      </c>
      <c r="R23" s="199"/>
      <c r="S23" s="299"/>
      <c r="T23" s="364">
        <f>'Rates in summary'!H22+'Rates in summary'!Q22+Temporaries!J22</f>
        <v>0.50662999999999991</v>
      </c>
      <c r="U23" s="199"/>
      <c r="V23" s="299"/>
      <c r="W23" s="364">
        <f>'Rates in summary'!D22+'Rates in summary'!Q22-Temporaries!BD22</f>
        <v>0.46257999999999988</v>
      </c>
      <c r="X23" s="199"/>
      <c r="Y23" s="299"/>
      <c r="Z23" s="364">
        <f>'Rates in detail'!D22+'Rates in detail'!E22</f>
        <v>0.53940999999999995</v>
      </c>
      <c r="AA23" s="199"/>
      <c r="AB23" s="299"/>
      <c r="AC23" s="198">
        <f>+'Rates in summary'!R22</f>
        <v>0.52572999999999992</v>
      </c>
      <c r="AD23" s="199"/>
      <c r="AE23" s="264"/>
      <c r="AF23" s="199"/>
    </row>
    <row r="24" spans="1:35" x14ac:dyDescent="0.2">
      <c r="A24" s="43">
        <f t="shared" si="0"/>
        <v>18</v>
      </c>
      <c r="B24" s="68"/>
      <c r="C24" s="106" t="s">
        <v>159</v>
      </c>
      <c r="D24" s="107"/>
      <c r="E24" s="108"/>
      <c r="F24" s="109"/>
      <c r="G24" s="441"/>
      <c r="H24" s="441"/>
      <c r="I24" s="365"/>
      <c r="J24" s="336">
        <f>$H22+ROUND(IF($F22&lt;$E22,($F22*I22),IF($F22&gt;SUM($E22:$E23),(($E22*I22)+(($F22-$E22)*I23)),0)),2)</f>
        <v>250</v>
      </c>
      <c r="K24" s="333"/>
      <c r="L24" s="336">
        <f>$G22+ROUND(IF($F22&lt;$E22,($F22*K22),IF($F22&gt;SUM($E22:$E23),(($E22*K22)+(($F22-$E22)*K23)),0)),2)</f>
        <v>250</v>
      </c>
      <c r="M24" s="110">
        <f>ROUND((L24-J24)/J24,3)</f>
        <v>0</v>
      </c>
      <c r="N24" s="333"/>
      <c r="O24" s="336">
        <f>$G22+ROUND(IF($F22&lt;$E22,($F22*N22),IF($F22&gt;SUM($E22:$E23),(($E22*N22)+(($F22-$E22)*N23)),0)),2)</f>
        <v>250</v>
      </c>
      <c r="P24" s="110">
        <f>ROUND((O24-J24)/J24,3)</f>
        <v>0</v>
      </c>
      <c r="Q24" s="365"/>
      <c r="R24" s="336">
        <f>$G22+ROUND(IF($F22&lt;$E22,($F22*Q22),IF($F22&gt;SUM($E22:$E23),(($E22*Q22)+(($F22-$E22)*Q23)),0)),2)</f>
        <v>250</v>
      </c>
      <c r="S24" s="110">
        <f t="shared" si="11"/>
        <v>0</v>
      </c>
      <c r="T24" s="365"/>
      <c r="U24" s="336">
        <f>$G22+ROUND(IF($F22&lt;$E22,($F22*T22),IF($F22&gt;SUM($E22:$E23),(($E22*T22)+(($F22-$E22)*T23)),0)),2)</f>
        <v>250</v>
      </c>
      <c r="V24" s="110">
        <f t="shared" si="12"/>
        <v>0</v>
      </c>
      <c r="W24" s="365"/>
      <c r="X24" s="336">
        <f>$G22+ROUND(IF($F22&lt;$E22,($F22*W22),IF($F22&gt;SUM($E22:$E23),(($E22*W22)+(($F22-$E22)*W23)),0)),2)</f>
        <v>250</v>
      </c>
      <c r="Y24" s="110">
        <f t="shared" ref="Y24" si="20">ROUND((X24-J24)/J24,3)</f>
        <v>0</v>
      </c>
      <c r="Z24" s="365"/>
      <c r="AA24" s="336">
        <f>$G22+ROUND(IF($F22&lt;$E22,($F22*Z22),IF($F22&gt;SUM($E22:$E23),(($E22*Z22)+(($F22-$E22)*Z23)),0)),2)</f>
        <v>250</v>
      </c>
      <c r="AB24" s="110">
        <f>ROUND((AA24-J24)/J24,3)</f>
        <v>0</v>
      </c>
      <c r="AC24" s="333"/>
      <c r="AD24" s="336">
        <f>$G22+ROUND(IF($F22&lt;$E22,($F22*AC22),IF($F22&gt;SUM($E22:$E23),(($E22*AC22)+(($F22-$E22)*AC23)),0)),2)</f>
        <v>250</v>
      </c>
      <c r="AE24" s="110">
        <f>ROUND((AD24-J24)/J24,3)</f>
        <v>0</v>
      </c>
      <c r="AF24" s="336"/>
      <c r="AH24" s="283"/>
      <c r="AI24" s="283"/>
    </row>
    <row r="25" spans="1:35" x14ac:dyDescent="0.2">
      <c r="A25" s="43">
        <f t="shared" si="0"/>
        <v>19</v>
      </c>
      <c r="B25" s="63" t="s">
        <v>126</v>
      </c>
      <c r="C25" s="18" t="s">
        <v>6</v>
      </c>
      <c r="D25" s="64">
        <f>+'Washington volumes'!F23</f>
        <v>373284</v>
      </c>
      <c r="E25" s="103">
        <v>2000</v>
      </c>
      <c r="F25" s="104">
        <f>+'Washington volumes'!I23</f>
        <v>9538.9603999999999</v>
      </c>
      <c r="G25" s="440">
        <f>250+250</f>
        <v>500</v>
      </c>
      <c r="H25" s="440">
        <f>250+250</f>
        <v>500</v>
      </c>
      <c r="I25" s="364">
        <f>+'Rates in summary'!D23</f>
        <v>0.30018999999999996</v>
      </c>
      <c r="J25" s="199"/>
      <c r="K25" s="198">
        <f>'Rates in summary'!D23+Temporaries!K23-Temporaries!AZ23</f>
        <v>0.30018999999999996</v>
      </c>
      <c r="L25" s="199"/>
      <c r="M25" s="299"/>
      <c r="N25" s="198">
        <f>'Rates in summary'!D23+Temporaries!L23+Temporaries!V23-Temporaries!BA23</f>
        <v>0.30018999999999996</v>
      </c>
      <c r="O25" s="199"/>
      <c r="P25" s="299"/>
      <c r="Q25" s="364">
        <f>'Rates in summary'!D23+Temporaries!W23-Temporaries!BC23</f>
        <v>0.30018999999999996</v>
      </c>
      <c r="R25" s="199"/>
      <c r="S25" s="299"/>
      <c r="T25" s="364">
        <f>'Rates in summary'!H23+'Rates in summary'!Q23+Temporaries!J23</f>
        <v>0.35672999999999999</v>
      </c>
      <c r="U25" s="199"/>
      <c r="V25" s="299"/>
      <c r="W25" s="364">
        <f>'Rates in summary'!D23+'Rates in summary'!Q23-Temporaries!BD23</f>
        <v>0.28437999999999997</v>
      </c>
      <c r="X25" s="199"/>
      <c r="Y25" s="299"/>
      <c r="Z25" s="364">
        <f>'Rates in detail'!D23+'Rates in detail'!E23</f>
        <v>0.37253999999999998</v>
      </c>
      <c r="AA25" s="199"/>
      <c r="AB25" s="299"/>
      <c r="AC25" s="198">
        <f>+'Rates in summary'!R23</f>
        <v>0.35672999999999999</v>
      </c>
      <c r="AD25" s="199"/>
      <c r="AE25" s="105"/>
      <c r="AF25" s="199"/>
    </row>
    <row r="26" spans="1:35" x14ac:dyDescent="0.2">
      <c r="A26" s="43">
        <f t="shared" si="0"/>
        <v>20</v>
      </c>
      <c r="B26" s="63"/>
      <c r="C26" s="18" t="s">
        <v>7</v>
      </c>
      <c r="D26" s="64">
        <f>+'Washington volumes'!F24</f>
        <v>590151</v>
      </c>
      <c r="E26" s="103" t="s">
        <v>155</v>
      </c>
      <c r="F26" s="104"/>
      <c r="G26" s="440"/>
      <c r="H26" s="440"/>
      <c r="I26" s="364">
        <f>+'Rates in summary'!D24</f>
        <v>0.26449</v>
      </c>
      <c r="J26" s="199"/>
      <c r="K26" s="198">
        <f>'Rates in summary'!D24+Temporaries!K24-Temporaries!AZ24</f>
        <v>0.26449</v>
      </c>
      <c r="L26" s="199"/>
      <c r="M26" s="299"/>
      <c r="N26" s="198">
        <f>'Rates in summary'!D24+Temporaries!L24+Temporaries!V24-Temporaries!BA24</f>
        <v>0.26449</v>
      </c>
      <c r="O26" s="199"/>
      <c r="P26" s="299"/>
      <c r="Q26" s="364">
        <f>'Rates in summary'!D24+Temporaries!W24-Temporaries!BC24</f>
        <v>0.26449</v>
      </c>
      <c r="R26" s="199"/>
      <c r="S26" s="299"/>
      <c r="T26" s="364">
        <f>'Rates in summary'!H24+'Rates in summary'!Q24+Temporaries!J24</f>
        <v>0.31426999999999999</v>
      </c>
      <c r="U26" s="199"/>
      <c r="V26" s="299"/>
      <c r="W26" s="364">
        <f>'Rates in summary'!D24+'Rates in summary'!Q24-Temporaries!BD24</f>
        <v>0.25056</v>
      </c>
      <c r="X26" s="199"/>
      <c r="Y26" s="299"/>
      <c r="Z26" s="364">
        <f>'Rates in detail'!D24+'Rates in detail'!E24</f>
        <v>0.32819999999999999</v>
      </c>
      <c r="AA26" s="199"/>
      <c r="AB26" s="299"/>
      <c r="AC26" s="198">
        <f>+'Rates in summary'!R24</f>
        <v>0.31426999999999999</v>
      </c>
      <c r="AD26" s="199"/>
      <c r="AE26" s="105"/>
      <c r="AF26" s="199"/>
    </row>
    <row r="27" spans="1:35" x14ac:dyDescent="0.2">
      <c r="A27" s="43">
        <f t="shared" si="0"/>
        <v>21</v>
      </c>
      <c r="B27" s="68"/>
      <c r="C27" s="106" t="s">
        <v>159</v>
      </c>
      <c r="D27" s="107"/>
      <c r="E27" s="108"/>
      <c r="F27" s="109"/>
      <c r="G27" s="441"/>
      <c r="H27" s="441"/>
      <c r="I27" s="365"/>
      <c r="J27" s="336">
        <f>$H25+ROUND(IF($F25&lt;$E25,($F25*I25),IF($F25&gt;SUM($E25:$E26),(($E25*I25)+(($F25-$E25)*I26)),0)),2)</f>
        <v>3094.36</v>
      </c>
      <c r="K27" s="333"/>
      <c r="L27" s="336">
        <f>$G25+ROUND(IF($F25&lt;$E25,($F25*K25),IF($F25&gt;SUM($E25:$E26),(($E25*K25)+(($F25-$E25)*K26)),0)),2)</f>
        <v>3094.36</v>
      </c>
      <c r="M27" s="110">
        <f>ROUND((L27-J27)/J27,3)</f>
        <v>0</v>
      </c>
      <c r="N27" s="333"/>
      <c r="O27" s="336">
        <f>$G25+ROUND(IF($F25&lt;$E25,($F25*N25),IF($F25&gt;SUM($E25:$E26),(($E25*N25)+(($F25-$E25)*N26)),0)),2)</f>
        <v>3094.36</v>
      </c>
      <c r="P27" s="110">
        <f>ROUND((O27-J27)/J27,3)</f>
        <v>0</v>
      </c>
      <c r="Q27" s="365"/>
      <c r="R27" s="336">
        <f>$G25+ROUND(IF($F25&lt;$E25,($F25*Q25),IF($F25&gt;SUM($E25:$E26),(($E25*Q25)+(($F25-$E25)*Q26)),0)),2)</f>
        <v>3094.36</v>
      </c>
      <c r="S27" s="110">
        <f t="shared" si="11"/>
        <v>0</v>
      </c>
      <c r="T27" s="365"/>
      <c r="U27" s="336">
        <f>$G25+ROUND(IF($F25&lt;$E25,($F25*T25),IF($F25&gt;SUM($E25:$E26),(($E25*T25)+(($F25-$E25)*T26)),0)),2)</f>
        <v>3582.73</v>
      </c>
      <c r="V27" s="110">
        <f t="shared" si="12"/>
        <v>0.158</v>
      </c>
      <c r="W27" s="365"/>
      <c r="X27" s="336">
        <f>$G25+ROUND(IF($F25&lt;$E25,($F25*W25),IF($F25&gt;SUM($E25:$E26),(($E25*W25)+(($F25-$E25)*W26)),0)),2)</f>
        <v>2957.72</v>
      </c>
      <c r="Y27" s="110">
        <f t="shared" ref="Y27" si="21">ROUND((X27-J27)/J27,3)</f>
        <v>-4.3999999999999997E-2</v>
      </c>
      <c r="Z27" s="365"/>
      <c r="AA27" s="336">
        <f>$G25+ROUND(IF($F25&lt;$E25,($F25*Z25),IF($F25&gt;SUM($E25:$E26),(($E25*Z25)+(($F25-$E25)*Z26)),0)),2)</f>
        <v>3719.37</v>
      </c>
      <c r="AB27" s="110">
        <f>ROUND((AA27-J27)/J27,3)</f>
        <v>0.20200000000000001</v>
      </c>
      <c r="AC27" s="333"/>
      <c r="AD27" s="336">
        <f>$G25+ROUND(IF($F25&lt;$E25,($F25*AC25),IF($F25&gt;SUM($E25:$E26),(($E25*AC25)+(($F25-$E25)*AC26)),0)),2)</f>
        <v>3582.73</v>
      </c>
      <c r="AE27" s="110">
        <f>ROUND((AD27-J27)/J27,3)</f>
        <v>0.158</v>
      </c>
      <c r="AF27" s="217">
        <f t="shared" ref="AF27" si="22">AA27-J27</f>
        <v>625.00999999999976</v>
      </c>
      <c r="AG27" s="19"/>
      <c r="AH27" s="283"/>
      <c r="AI27" s="283"/>
    </row>
    <row r="28" spans="1:35" x14ac:dyDescent="0.2">
      <c r="A28" s="43">
        <f t="shared" si="0"/>
        <v>22</v>
      </c>
      <c r="B28" s="63" t="s">
        <v>244</v>
      </c>
      <c r="C28" s="18" t="s">
        <v>6</v>
      </c>
      <c r="D28" s="64">
        <f>+'Washington volumes'!F25</f>
        <v>322107.7</v>
      </c>
      <c r="E28" s="103">
        <v>2000</v>
      </c>
      <c r="F28" s="104">
        <f>+'Washington volumes'!I25</f>
        <v>7471.22235</v>
      </c>
      <c r="G28" s="440">
        <v>250</v>
      </c>
      <c r="H28" s="440">
        <v>250</v>
      </c>
      <c r="I28" s="364">
        <f>+'Rates in summary'!D25</f>
        <v>0.47592000000000029</v>
      </c>
      <c r="J28" s="199"/>
      <c r="K28" s="198">
        <f>'Rates in summary'!D25+Temporaries!K25-Temporaries!AZ25</f>
        <v>0.47592000000000029</v>
      </c>
      <c r="L28" s="199"/>
      <c r="M28" s="299"/>
      <c r="N28" s="198">
        <f>'Rates in summary'!D25+Temporaries!L25+Temporaries!V25-Temporaries!BA25</f>
        <v>0.47592000000000029</v>
      </c>
      <c r="O28" s="199"/>
      <c r="P28" s="299"/>
      <c r="Q28" s="364">
        <f>'Rates in summary'!D25+Temporaries!W25-Temporaries!BC25</f>
        <v>0.47592000000000029</v>
      </c>
      <c r="R28" s="199"/>
      <c r="S28" s="299"/>
      <c r="T28" s="364">
        <f>'Rates in summary'!H25+'Rates in summary'!Q25+Temporaries!J25</f>
        <v>0.5199600000000002</v>
      </c>
      <c r="U28" s="199"/>
      <c r="V28" s="299"/>
      <c r="W28" s="364">
        <f>'Rates in summary'!D25+'Rates in summary'!Q25-Temporaries!BD25</f>
        <v>0.46166000000000029</v>
      </c>
      <c r="X28" s="199"/>
      <c r="Y28" s="299"/>
      <c r="Z28" s="364">
        <f>'Rates in detail'!D25+'Rates in detail'!E25</f>
        <v>0.54736000000000029</v>
      </c>
      <c r="AA28" s="199"/>
      <c r="AB28" s="299"/>
      <c r="AC28" s="198">
        <f>+'Rates in summary'!R25</f>
        <v>0.53310000000000024</v>
      </c>
      <c r="AD28" s="199"/>
      <c r="AE28" s="264"/>
      <c r="AF28" s="199"/>
    </row>
    <row r="29" spans="1:35" x14ac:dyDescent="0.2">
      <c r="A29" s="43">
        <f t="shared" si="0"/>
        <v>23</v>
      </c>
      <c r="B29" s="63"/>
      <c r="C29" s="18" t="s">
        <v>7</v>
      </c>
      <c r="D29" s="64">
        <f>+'Washington volumes'!F26</f>
        <v>346566.6999999999</v>
      </c>
      <c r="E29" s="103" t="s">
        <v>155</v>
      </c>
      <c r="F29" s="149"/>
      <c r="G29" s="442"/>
      <c r="H29" s="442"/>
      <c r="I29" s="364">
        <f>+'Rates in summary'!D26</f>
        <v>0.43959999999999988</v>
      </c>
      <c r="J29" s="199"/>
      <c r="K29" s="198">
        <f>'Rates in summary'!D26+Temporaries!K26-Temporaries!AZ26</f>
        <v>0.43959999999999988</v>
      </c>
      <c r="L29" s="199"/>
      <c r="M29" s="299"/>
      <c r="N29" s="198">
        <f>'Rates in summary'!D26+Temporaries!L26+Temporaries!V26-Temporaries!BA26</f>
        <v>0.43959999999999988</v>
      </c>
      <c r="O29" s="199"/>
      <c r="P29" s="299"/>
      <c r="Q29" s="364">
        <f>'Rates in summary'!D26+Temporaries!W26-Temporaries!BC26</f>
        <v>0.43959999999999988</v>
      </c>
      <c r="R29" s="199"/>
      <c r="S29" s="299"/>
      <c r="T29" s="364">
        <f>'Rates in summary'!H26+'Rates in summary'!Q26+Temporaries!J26</f>
        <v>0.47678999999999988</v>
      </c>
      <c r="U29" s="199"/>
      <c r="V29" s="299"/>
      <c r="W29" s="364">
        <f>'Rates in summary'!D26+'Rates in summary'!Q26-Temporaries!BD26</f>
        <v>0.42703999999999986</v>
      </c>
      <c r="X29" s="199"/>
      <c r="Y29" s="299"/>
      <c r="Z29" s="364">
        <f>'Rates in detail'!D26+'Rates in detail'!E26</f>
        <v>0.50248999999999988</v>
      </c>
      <c r="AA29" s="199"/>
      <c r="AB29" s="299"/>
      <c r="AC29" s="198">
        <f>+'Rates in summary'!R26</f>
        <v>0.48992999999999987</v>
      </c>
      <c r="AD29" s="199"/>
      <c r="AE29" s="264"/>
      <c r="AF29" s="199"/>
    </row>
    <row r="30" spans="1:35" x14ac:dyDescent="0.2">
      <c r="A30" s="43">
        <f t="shared" si="0"/>
        <v>24</v>
      </c>
      <c r="B30" s="68"/>
      <c r="C30" s="106" t="s">
        <v>159</v>
      </c>
      <c r="D30" s="107"/>
      <c r="E30" s="108"/>
      <c r="F30" s="109"/>
      <c r="G30" s="441"/>
      <c r="H30" s="441"/>
      <c r="I30" s="365"/>
      <c r="J30" s="336">
        <f>$H28+ROUND(IF($F28&lt;$E28,($F28*I28),IF($F28&gt;SUM($E28:$E29),(($E28*I28)+(($F28-$E28)*I29)),0)),2)</f>
        <v>3606.99</v>
      </c>
      <c r="K30" s="333"/>
      <c r="L30" s="336">
        <f>$G28+ROUND(IF($F28&lt;$E28,($F28*K28),IF($F28&gt;SUM($E28:$E29),(($E28*K28)+(($F28-$E28)*K29)),0)),2)</f>
        <v>3606.99</v>
      </c>
      <c r="M30" s="110">
        <f>ROUND((L30-J30)/J30,3)</f>
        <v>0</v>
      </c>
      <c r="N30" s="333"/>
      <c r="O30" s="336">
        <f>$G28+ROUND(IF($F28&lt;$E28,($F28*N28),IF($F28&gt;SUM($E28:$E29),(($E28*N28)+(($F28-$E28)*N29)),0)),2)</f>
        <v>3606.99</v>
      </c>
      <c r="P30" s="110">
        <f>ROUND((O30-J30)/J30,3)</f>
        <v>0</v>
      </c>
      <c r="Q30" s="365"/>
      <c r="R30" s="336">
        <f>$G28+ROUND(IF($F28&lt;$E28,($F28*Q28),IF($F28&gt;SUM($E28:$E29),(($E28*Q28)+(($F28-$E28)*Q29)),0)),2)</f>
        <v>3606.99</v>
      </c>
      <c r="S30" s="110">
        <f t="shared" si="11"/>
        <v>0</v>
      </c>
      <c r="T30" s="365"/>
      <c r="U30" s="336">
        <f>$G28+ROUND(IF($F28&lt;$E28,($F28*T28),IF($F28&gt;SUM($E28:$E29),(($E28*T28)+(($F28-$E28)*T29)),0)),2)</f>
        <v>3898.54</v>
      </c>
      <c r="V30" s="110">
        <f t="shared" si="12"/>
        <v>8.1000000000000003E-2</v>
      </c>
      <c r="W30" s="365"/>
      <c r="X30" s="336">
        <f>$G28+ROUND(IF($F28&lt;$E28,($F28*W28),IF($F28&gt;SUM($E28:$E29),(($E28*W28)+(($F28-$E28)*W29)),0)),2)</f>
        <v>3509.75</v>
      </c>
      <c r="Y30" s="110">
        <f t="shared" ref="Y30" si="23">ROUND((X30-J30)/J30,3)</f>
        <v>-2.7E-2</v>
      </c>
      <c r="Z30" s="365"/>
      <c r="AA30" s="336">
        <f>$G28+ROUND(IF($F28&lt;$E28,($F28*Z28),IF($F28&gt;SUM($E28:$E29),(($E28*Z28)+(($F28-$E28)*Z29)),0)),2)</f>
        <v>4093.95</v>
      </c>
      <c r="AB30" s="110">
        <f>ROUND((AA30-J30)/J30,3)</f>
        <v>0.13500000000000001</v>
      </c>
      <c r="AC30" s="333"/>
      <c r="AD30" s="336">
        <f>$G28+ROUND(IF($F28&lt;$E28,($F28*AC28),IF($F28&gt;SUM($E28:$E29),(($E28*AC28)+(($F28-$E28)*AC29)),0)),2)</f>
        <v>3996.72</v>
      </c>
      <c r="AE30" s="110">
        <f>ROUND((AD30-J30)/J30,3)</f>
        <v>0.108</v>
      </c>
      <c r="AF30" s="217">
        <f t="shared" ref="AF30" si="24">AA30-J30</f>
        <v>486.96000000000004</v>
      </c>
      <c r="AG30" s="19"/>
      <c r="AH30" s="283"/>
      <c r="AI30" s="283"/>
    </row>
    <row r="31" spans="1:35" x14ac:dyDescent="0.2">
      <c r="A31" s="43">
        <f t="shared" si="0"/>
        <v>25</v>
      </c>
      <c r="B31" s="63" t="s">
        <v>245</v>
      </c>
      <c r="C31" s="18" t="s">
        <v>6</v>
      </c>
      <c r="D31" s="64">
        <f>+'Washington volumes'!F27</f>
        <v>0</v>
      </c>
      <c r="E31" s="103">
        <v>2000</v>
      </c>
      <c r="F31" s="104">
        <f>+'Washington volumes'!I27</f>
        <v>0</v>
      </c>
      <c r="G31" s="440">
        <v>250</v>
      </c>
      <c r="H31" s="440">
        <v>250</v>
      </c>
      <c r="I31" s="364">
        <f>+'Rates in summary'!D27</f>
        <v>0.49300000000000005</v>
      </c>
      <c r="J31" s="199"/>
      <c r="K31" s="198">
        <f>'Rates in summary'!D27+Temporaries!K27-Temporaries!AZ27</f>
        <v>0.49300000000000005</v>
      </c>
      <c r="L31" s="199"/>
      <c r="M31" s="299"/>
      <c r="N31" s="198">
        <f>'Rates in summary'!D27+Temporaries!L27+Temporaries!V27-Temporaries!BA27</f>
        <v>0.49300000000000005</v>
      </c>
      <c r="O31" s="199"/>
      <c r="P31" s="299"/>
      <c r="Q31" s="364">
        <f>'Rates in summary'!D27+Temporaries!W27-Temporaries!BC27</f>
        <v>0.49300000000000005</v>
      </c>
      <c r="R31" s="199"/>
      <c r="S31" s="299"/>
      <c r="T31" s="364">
        <f>'Rates in summary'!H27+'Rates in summary'!Q27+Temporaries!J27</f>
        <v>0.53009000000000006</v>
      </c>
      <c r="U31" s="199"/>
      <c r="V31" s="299"/>
      <c r="W31" s="364">
        <f>'Rates in summary'!D27+'Rates in summary'!Q27-Temporaries!BD27</f>
        <v>0.47748000000000007</v>
      </c>
      <c r="X31" s="199"/>
      <c r="Y31" s="299"/>
      <c r="Z31" s="364">
        <f>'Rates in detail'!D27+'Rates in detail'!E27</f>
        <v>0.56471000000000005</v>
      </c>
      <c r="AA31" s="199"/>
      <c r="AB31" s="299"/>
      <c r="AC31" s="198">
        <f>+'Rates in summary'!R27</f>
        <v>0.54919000000000007</v>
      </c>
      <c r="AD31" s="199"/>
      <c r="AE31" s="105"/>
      <c r="AF31" s="199"/>
    </row>
    <row r="32" spans="1:35" x14ac:dyDescent="0.2">
      <c r="A32" s="43">
        <f t="shared" si="0"/>
        <v>26</v>
      </c>
      <c r="B32" s="63"/>
      <c r="C32" s="18" t="s">
        <v>7</v>
      </c>
      <c r="D32" s="64">
        <f>+'Washington volumes'!F28</f>
        <v>0</v>
      </c>
      <c r="E32" s="103" t="s">
        <v>155</v>
      </c>
      <c r="F32" s="104"/>
      <c r="G32" s="440"/>
      <c r="H32" s="440"/>
      <c r="I32" s="364">
        <f>+'Rates in summary'!D28</f>
        <v>0.45670999999999995</v>
      </c>
      <c r="J32" s="199"/>
      <c r="K32" s="198">
        <f>'Rates in summary'!D28+Temporaries!K28-Temporaries!AZ28</f>
        <v>0.45670999999999995</v>
      </c>
      <c r="L32" s="199"/>
      <c r="M32" s="299"/>
      <c r="N32" s="198">
        <f>'Rates in summary'!D28+Temporaries!L28+Temporaries!V28-Temporaries!BA28</f>
        <v>0.45670999999999995</v>
      </c>
      <c r="O32" s="199"/>
      <c r="P32" s="299"/>
      <c r="Q32" s="364">
        <f>'Rates in summary'!D28+Temporaries!W28-Temporaries!BC28</f>
        <v>0.45670999999999995</v>
      </c>
      <c r="R32" s="199"/>
      <c r="S32" s="299"/>
      <c r="T32" s="364">
        <f>'Rates in summary'!H28+'Rates in summary'!Q28+Temporaries!J28</f>
        <v>0.48707999999999996</v>
      </c>
      <c r="U32" s="199"/>
      <c r="V32" s="299"/>
      <c r="W32" s="364">
        <f>'Rates in summary'!D28+'Rates in summary'!Q28-Temporaries!BD28</f>
        <v>0.44302999999999992</v>
      </c>
      <c r="X32" s="199"/>
      <c r="Y32" s="299"/>
      <c r="Z32" s="364">
        <f>'Rates in detail'!D28+'Rates in detail'!E28</f>
        <v>0.51985999999999999</v>
      </c>
      <c r="AA32" s="199"/>
      <c r="AB32" s="299"/>
      <c r="AC32" s="198">
        <f>+'Rates in summary'!R28</f>
        <v>0.50617999999999996</v>
      </c>
      <c r="AD32" s="199"/>
      <c r="AE32" s="105"/>
      <c r="AF32" s="199"/>
    </row>
    <row r="33" spans="1:35" x14ac:dyDescent="0.2">
      <c r="A33" s="43">
        <f t="shared" si="0"/>
        <v>27</v>
      </c>
      <c r="B33" s="68"/>
      <c r="C33" s="106" t="s">
        <v>159</v>
      </c>
      <c r="D33" s="107"/>
      <c r="E33" s="108"/>
      <c r="F33" s="109"/>
      <c r="G33" s="441"/>
      <c r="H33" s="441"/>
      <c r="I33" s="365"/>
      <c r="J33" s="336">
        <f>$H31+ROUND(IF($F31&lt;$E31,($F31*I31),IF($F31&gt;SUM($E31:$E32),(($E31*I31)+(($F31-$E31)*I32)),0)),2)</f>
        <v>250</v>
      </c>
      <c r="K33" s="333"/>
      <c r="L33" s="336">
        <f>$G31+ROUND(IF($F31&lt;$E31,($F31*K31),IF($F31&gt;SUM($E31:$E32),(($E31*K31)+(($F31-$E31)*K32)),0)),2)</f>
        <v>250</v>
      </c>
      <c r="M33" s="110">
        <f>ROUND((L33-J33)/J33,3)</f>
        <v>0</v>
      </c>
      <c r="N33" s="333"/>
      <c r="O33" s="336">
        <f>$G31+ROUND(IF($F31&lt;$E31,($F31*N31),IF($F31&gt;SUM($E31:$E32),(($E31*N31)+(($F31-$E31)*N32)),0)),2)</f>
        <v>250</v>
      </c>
      <c r="P33" s="110">
        <f>ROUND((O33-J33)/J33,3)</f>
        <v>0</v>
      </c>
      <c r="Q33" s="365"/>
      <c r="R33" s="336">
        <f>$G31+ROUND(IF($F31&lt;$E31,($F31*Q31),IF($F31&gt;SUM($E31:$E32),(($E31*Q31)+(($F31-$E31)*Q32)),0)),2)</f>
        <v>250</v>
      </c>
      <c r="S33" s="110">
        <f t="shared" si="11"/>
        <v>0</v>
      </c>
      <c r="T33" s="365"/>
      <c r="U33" s="336">
        <f>$G31+ROUND(IF($F31&lt;$E31,($F31*T31),IF($F31&gt;SUM($E31:$E32),(($E31*T31)+(($F31-$E31)*T32)),0)),2)</f>
        <v>250</v>
      </c>
      <c r="V33" s="110">
        <f t="shared" si="12"/>
        <v>0</v>
      </c>
      <c r="W33" s="365"/>
      <c r="X33" s="336">
        <f>$G31+ROUND(IF($F31&lt;$E31,($F31*W31),IF($F31&gt;SUM($E31:$E32),(($E31*W31)+(($F31-$E31)*W32)),0)),2)</f>
        <v>250</v>
      </c>
      <c r="Y33" s="110">
        <f t="shared" ref="Y33" si="25">ROUND((X33-J33)/J33,3)</f>
        <v>0</v>
      </c>
      <c r="Z33" s="365"/>
      <c r="AA33" s="336">
        <f>$G31+ROUND(IF($F31&lt;$E31,($F31*Z31),IF($F31&gt;SUM($E31:$E32),(($E31*Z31)+(($F31-$E31)*Z32)),0)),2)</f>
        <v>250</v>
      </c>
      <c r="AB33" s="110">
        <f>ROUND((AA33-J33)/J33,3)</f>
        <v>0</v>
      </c>
      <c r="AC33" s="333"/>
      <c r="AD33" s="336">
        <f>$G31+ROUND(IF($F31&lt;$E31,($F31*AC31),IF($F31&gt;SUM($E31:$E32),(($E31*AC31)+(($F31-$E31)*AC32)),0)),2)</f>
        <v>250</v>
      </c>
      <c r="AE33" s="110">
        <f>ROUND((AD33-J33)/J33,3)</f>
        <v>0</v>
      </c>
      <c r="AF33" s="217">
        <f t="shared" ref="AF33" si="26">AA33-J33</f>
        <v>0</v>
      </c>
      <c r="AH33" s="283"/>
      <c r="AI33" s="283"/>
    </row>
    <row r="34" spans="1:35" x14ac:dyDescent="0.2">
      <c r="A34" s="43">
        <f t="shared" si="0"/>
        <v>28</v>
      </c>
      <c r="B34" s="63" t="s">
        <v>127</v>
      </c>
      <c r="C34" s="18" t="s">
        <v>6</v>
      </c>
      <c r="D34" s="64">
        <f>+'Washington volumes'!F29</f>
        <v>375026.16770230286</v>
      </c>
      <c r="E34" s="64">
        <v>10000</v>
      </c>
      <c r="F34" s="104">
        <f>+'Washington volumes'!I29</f>
        <v>21652.71067</v>
      </c>
      <c r="G34" s="440">
        <v>1300</v>
      </c>
      <c r="H34" s="440">
        <v>1300</v>
      </c>
      <c r="I34" s="364">
        <f>+'Rates in summary'!D29</f>
        <v>0.30433999999999994</v>
      </c>
      <c r="J34" s="199"/>
      <c r="K34" s="198">
        <f>'Rates in summary'!D29+Temporaries!K29-Temporaries!AZ29</f>
        <v>0.30433999999999994</v>
      </c>
      <c r="L34" s="199"/>
      <c r="M34" s="299"/>
      <c r="N34" s="198">
        <f>'Rates in summary'!D29+Temporaries!L29+Temporaries!V29-Temporaries!BA29</f>
        <v>0.30434</v>
      </c>
      <c r="O34" s="199"/>
      <c r="P34" s="299"/>
      <c r="Q34" s="364">
        <f>'Rates in summary'!D29+Temporaries!W29-Temporaries!BC29</f>
        <v>0.30433999999999994</v>
      </c>
      <c r="R34" s="199"/>
      <c r="S34" s="299"/>
      <c r="T34" s="364">
        <f>'Rates in summary'!H29+'Rates in summary'!Q29+Temporaries!J29</f>
        <v>0.30691999999999997</v>
      </c>
      <c r="U34" s="199"/>
      <c r="V34" s="299"/>
      <c r="W34" s="364">
        <f>'Rates in summary'!D29+'Rates in summary'!Q29-Temporaries!BD29</f>
        <v>0.29483999999999994</v>
      </c>
      <c r="X34" s="199"/>
      <c r="Y34" s="299"/>
      <c r="Z34" s="364">
        <f>'Rates in detail'!D29+'Rates in detail'!E29</f>
        <v>0.32955999999999996</v>
      </c>
      <c r="AA34" s="199"/>
      <c r="AB34" s="299"/>
      <c r="AC34" s="198">
        <f>+'Rates in summary'!R29</f>
        <v>0.32005999999999996</v>
      </c>
      <c r="AD34" s="199"/>
      <c r="AE34" s="105"/>
      <c r="AF34" s="199"/>
    </row>
    <row r="35" spans="1:35" x14ac:dyDescent="0.2">
      <c r="A35" s="43">
        <f t="shared" si="0"/>
        <v>29</v>
      </c>
      <c r="B35" s="63"/>
      <c r="C35" s="18" t="s">
        <v>7</v>
      </c>
      <c r="D35" s="64">
        <f>+'Washington volumes'!F30</f>
        <v>296468.52767807955</v>
      </c>
      <c r="E35" s="64">
        <v>20000</v>
      </c>
      <c r="F35" s="104"/>
      <c r="G35" s="440"/>
      <c r="H35" s="440"/>
      <c r="I35" s="364">
        <f>+'Rates in summary'!D30</f>
        <v>0.29029999999999978</v>
      </c>
      <c r="J35" s="199"/>
      <c r="K35" s="198">
        <f>'Rates in summary'!D30+Temporaries!K30-Temporaries!AZ30</f>
        <v>0.29029999999999978</v>
      </c>
      <c r="L35" s="199"/>
      <c r="M35" s="299"/>
      <c r="N35" s="198">
        <f>'Rates in summary'!D30+Temporaries!L30+Temporaries!V30-Temporaries!BA30</f>
        <v>0.29029999999999978</v>
      </c>
      <c r="O35" s="199"/>
      <c r="P35" s="299"/>
      <c r="Q35" s="364">
        <f>'Rates in summary'!D30+Temporaries!W30-Temporaries!BC30</f>
        <v>0.29029999999999978</v>
      </c>
      <c r="R35" s="199"/>
      <c r="S35" s="299"/>
      <c r="T35" s="364">
        <f>'Rates in summary'!H30+'Rates in summary'!Q30+Temporaries!J30</f>
        <v>0.29116999999999982</v>
      </c>
      <c r="U35" s="199"/>
      <c r="V35" s="299"/>
      <c r="W35" s="364">
        <f>'Rates in summary'!D30+'Rates in summary'!Q30-Temporaries!BD30</f>
        <v>0.28180999999999978</v>
      </c>
      <c r="X35" s="199"/>
      <c r="Y35" s="299"/>
      <c r="Z35" s="364">
        <f>'Rates in detail'!D30+'Rates in detail'!E30</f>
        <v>0.3127999999999998</v>
      </c>
      <c r="AA35" s="199"/>
      <c r="AB35" s="299"/>
      <c r="AC35" s="198">
        <f>+'Rates in summary'!R30</f>
        <v>0.3043099999999998</v>
      </c>
      <c r="AD35" s="199"/>
      <c r="AE35" s="105"/>
      <c r="AF35" s="199"/>
    </row>
    <row r="36" spans="1:35" x14ac:dyDescent="0.2">
      <c r="A36" s="43">
        <f t="shared" si="0"/>
        <v>30</v>
      </c>
      <c r="B36" s="63"/>
      <c r="C36" s="18" t="s">
        <v>8</v>
      </c>
      <c r="D36" s="64">
        <f>+'Washington volumes'!F31</f>
        <v>74327.252382580977</v>
      </c>
      <c r="E36" s="64">
        <v>20000</v>
      </c>
      <c r="F36" s="104"/>
      <c r="G36" s="440"/>
      <c r="H36" s="440"/>
      <c r="I36" s="364">
        <f>+'Rates in summary'!D31</f>
        <v>0.26236999999999994</v>
      </c>
      <c r="J36" s="199"/>
      <c r="K36" s="198">
        <f>'Rates in summary'!D31+Temporaries!K31-Temporaries!AZ31</f>
        <v>0.26236999999999994</v>
      </c>
      <c r="L36" s="199"/>
      <c r="M36" s="299"/>
      <c r="N36" s="198">
        <f>'Rates in summary'!D31+Temporaries!L31+Temporaries!V31-Temporaries!BA31</f>
        <v>0.26236999999999994</v>
      </c>
      <c r="O36" s="199"/>
      <c r="P36" s="299"/>
      <c r="Q36" s="364">
        <f>'Rates in summary'!D31+Temporaries!W31-Temporaries!BC31</f>
        <v>0.26236999999999994</v>
      </c>
      <c r="R36" s="199"/>
      <c r="S36" s="299"/>
      <c r="T36" s="364">
        <f>'Rates in summary'!H31+'Rates in summary'!Q31+Temporaries!J31</f>
        <v>0.25986999999999993</v>
      </c>
      <c r="U36" s="199"/>
      <c r="V36" s="299"/>
      <c r="W36" s="364">
        <f>'Rates in summary'!D31+'Rates in summary'!Q31-Temporaries!BD31</f>
        <v>0.25585999999999992</v>
      </c>
      <c r="X36" s="199"/>
      <c r="Y36" s="299"/>
      <c r="Z36" s="364">
        <f>'Rates in detail'!D31+'Rates in detail'!E31</f>
        <v>0.27951999999999994</v>
      </c>
      <c r="AA36" s="199"/>
      <c r="AB36" s="299"/>
      <c r="AC36" s="198">
        <f>+'Rates in summary'!R31</f>
        <v>0.27300999999999992</v>
      </c>
      <c r="AD36" s="199"/>
      <c r="AE36" s="105"/>
      <c r="AF36" s="199"/>
      <c r="AG36" s="19"/>
    </row>
    <row r="37" spans="1:35" x14ac:dyDescent="0.2">
      <c r="A37" s="43">
        <f t="shared" si="0"/>
        <v>31</v>
      </c>
      <c r="B37" s="63"/>
      <c r="C37" s="18" t="s">
        <v>9</v>
      </c>
      <c r="D37" s="64">
        <f>+'Washington volumes'!F32</f>
        <v>1196.5703303302539</v>
      </c>
      <c r="E37" s="64">
        <v>100000</v>
      </c>
      <c r="F37" s="104"/>
      <c r="G37" s="440"/>
      <c r="H37" s="440"/>
      <c r="I37" s="364">
        <f>+'Rates in summary'!D32</f>
        <v>0.24398000000000022</v>
      </c>
      <c r="J37" s="199"/>
      <c r="K37" s="198">
        <f>'Rates in summary'!D32+Temporaries!K32-Temporaries!AZ32</f>
        <v>0.24398000000000025</v>
      </c>
      <c r="L37" s="199"/>
      <c r="M37" s="299"/>
      <c r="N37" s="198">
        <f>'Rates in summary'!D32+Temporaries!L32+Temporaries!V32-Temporaries!BA32</f>
        <v>0.24398000000000022</v>
      </c>
      <c r="O37" s="199"/>
      <c r="P37" s="299"/>
      <c r="Q37" s="364">
        <f>'Rates in summary'!D32+Temporaries!W32-Temporaries!BC32</f>
        <v>0.24398000000000022</v>
      </c>
      <c r="R37" s="199"/>
      <c r="S37" s="299"/>
      <c r="T37" s="364">
        <f>'Rates in summary'!H32+'Rates in summary'!Q32+Temporaries!J32</f>
        <v>0.23930000000000023</v>
      </c>
      <c r="U37" s="199"/>
      <c r="V37" s="299"/>
      <c r="W37" s="364">
        <f>'Rates in summary'!D32+'Rates in summary'!Q32-Temporaries!BD32</f>
        <v>0.23876000000000022</v>
      </c>
      <c r="X37" s="199"/>
      <c r="Y37" s="299"/>
      <c r="Z37" s="364">
        <f>'Rates in detail'!D32+'Rates in detail'!E32</f>
        <v>0.25766000000000022</v>
      </c>
      <c r="AA37" s="199"/>
      <c r="AB37" s="299"/>
      <c r="AC37" s="198">
        <f>+'Rates in summary'!R32</f>
        <v>0.25244000000000022</v>
      </c>
      <c r="AD37" s="199"/>
      <c r="AE37" s="105"/>
      <c r="AF37" s="199"/>
    </row>
    <row r="38" spans="1:35" x14ac:dyDescent="0.2">
      <c r="A38" s="43">
        <f t="shared" si="0"/>
        <v>32</v>
      </c>
      <c r="B38" s="63"/>
      <c r="C38" s="18" t="s">
        <v>10</v>
      </c>
      <c r="D38" s="64">
        <f>+'Washington volumes'!F33</f>
        <v>0</v>
      </c>
      <c r="E38" s="64">
        <v>600000</v>
      </c>
      <c r="F38" s="104"/>
      <c r="G38" s="440"/>
      <c r="H38" s="440"/>
      <c r="I38" s="364">
        <f>+'Rates in summary'!D33</f>
        <v>0.21944999999999995</v>
      </c>
      <c r="J38" s="199"/>
      <c r="K38" s="198">
        <f>'Rates in summary'!D33+Temporaries!K33-Temporaries!AZ33</f>
        <v>0.21944999999999998</v>
      </c>
      <c r="L38" s="199"/>
      <c r="M38" s="299"/>
      <c r="N38" s="198">
        <f>'Rates in summary'!D33+Temporaries!L33+Temporaries!V33-Temporaries!BA33</f>
        <v>0.21944999999999995</v>
      </c>
      <c r="O38" s="199"/>
      <c r="P38" s="299"/>
      <c r="Q38" s="364">
        <f>'Rates in summary'!D33+Temporaries!W33-Temporaries!BC33</f>
        <v>0.21944999999999995</v>
      </c>
      <c r="R38" s="199"/>
      <c r="S38" s="299"/>
      <c r="T38" s="364">
        <f>'Rates in summary'!H33+'Rates in summary'!Q33+Temporaries!J33</f>
        <v>0.21195999999999995</v>
      </c>
      <c r="U38" s="199"/>
      <c r="V38" s="299"/>
      <c r="W38" s="364">
        <f>'Rates in summary'!D33+'Rates in summary'!Q33-Temporaries!BD33</f>
        <v>0.21596999999999994</v>
      </c>
      <c r="X38" s="199"/>
      <c r="Y38" s="299"/>
      <c r="Z38" s="364">
        <f>'Rates in detail'!D33+'Rates in detail'!E33</f>
        <v>0.22857999999999995</v>
      </c>
      <c r="AA38" s="199"/>
      <c r="AB38" s="299"/>
      <c r="AC38" s="198">
        <f>+'Rates in summary'!R33</f>
        <v>0.22509999999999994</v>
      </c>
      <c r="AD38" s="199"/>
      <c r="AE38" s="105"/>
      <c r="AF38" s="199"/>
    </row>
    <row r="39" spans="1:35" x14ac:dyDescent="0.2">
      <c r="A39" s="43">
        <f t="shared" si="0"/>
        <v>33</v>
      </c>
      <c r="B39" s="63"/>
      <c r="C39" s="18" t="s">
        <v>11</v>
      </c>
      <c r="D39" s="64">
        <f>+'Washington volumes'!F34</f>
        <v>0</v>
      </c>
      <c r="E39" s="103" t="s">
        <v>155</v>
      </c>
      <c r="F39" s="104"/>
      <c r="G39" s="440"/>
      <c r="H39" s="440"/>
      <c r="I39" s="364">
        <f>+'Rates in summary'!D34</f>
        <v>0.18881000000000009</v>
      </c>
      <c r="J39" s="199"/>
      <c r="K39" s="198">
        <f>'Rates in summary'!D34+Temporaries!K34-Temporaries!AZ34</f>
        <v>0.18881000000000009</v>
      </c>
      <c r="L39" s="199"/>
      <c r="M39" s="299"/>
      <c r="N39" s="198">
        <f>'Rates in summary'!D34+Temporaries!L34+Temporaries!V34-Temporaries!BA34</f>
        <v>0.18881000000000009</v>
      </c>
      <c r="O39" s="199"/>
      <c r="P39" s="299"/>
      <c r="Q39" s="364">
        <f>'Rates in summary'!D34+Temporaries!W34-Temporaries!BC34</f>
        <v>0.18881000000000009</v>
      </c>
      <c r="R39" s="199"/>
      <c r="S39" s="299"/>
      <c r="T39" s="364">
        <f>'Rates in summary'!H34+'Rates in summary'!Q34+Temporaries!J34</f>
        <v>0.17437000000000011</v>
      </c>
      <c r="U39" s="199"/>
      <c r="V39" s="299"/>
      <c r="W39" s="364">
        <f>'Rates in summary'!D34+'Rates in summary'!Q34-Temporaries!BD34</f>
        <v>0.18751000000000009</v>
      </c>
      <c r="X39" s="199"/>
      <c r="Y39" s="299"/>
      <c r="Z39" s="364">
        <f>'Rates in detail'!D34+'Rates in detail'!E34</f>
        <v>0.18881000000000009</v>
      </c>
      <c r="AA39" s="199"/>
      <c r="AB39" s="299"/>
      <c r="AC39" s="198">
        <f>+'Rates in summary'!R34</f>
        <v>0.18751000000000009</v>
      </c>
      <c r="AD39" s="199"/>
      <c r="AE39" s="105"/>
      <c r="AF39" s="199"/>
    </row>
    <row r="40" spans="1:35" x14ac:dyDescent="0.2">
      <c r="A40" s="43">
        <f t="shared" si="0"/>
        <v>34</v>
      </c>
      <c r="B40" s="68"/>
      <c r="C40" s="106" t="s">
        <v>159</v>
      </c>
      <c r="D40" s="107"/>
      <c r="E40" s="108"/>
      <c r="F40" s="109"/>
      <c r="G40" s="441"/>
      <c r="H40" s="441"/>
      <c r="I40" s="365"/>
      <c r="J40" s="336">
        <f>$H34+ROUND(IF($F34&lt;$E34,($F34*I34),IF($F34&lt;SUM($E34:$E35),(($E34*I34)+(($F34-$E34)*I35)),IF($F34&lt;SUM($E34:$E36),(($E34*I34)+($E35*I35)+(($F34-$E34-$E35)*I36)),IF($F34&lt;SUM($E34:$E37),(($E34*I34)+($E35*I35)+($E36*I36)+(($F34-SUM($E34:$E36))*I37)),IF($F34&lt;SUM($E34:$E38),(($E34*I34)+($E35*I35)+($E36*I36)+($E37*I37)+(($F34-SUM($E34:$E37))*I38)),(($E34*I34)+($E35*I35)+($E36*I36)+($E37*I36)+($E38*I38)+(($F34-SUM($E34:$E38))*I39))))))),2)</f>
        <v>7726.18</v>
      </c>
      <c r="K40" s="333"/>
      <c r="L40" s="336">
        <f>$G34+ROUND(IF($F34&lt;$E34,($F34*K34),IF($F34&lt;SUM($E34:$E35),(($E34*K34)+(($F34-$E34)*K35)),IF($F34&lt;SUM($E34:$E36),(($E34*K34)+($E35*K35)+(($F34-$E34-$E35)*K36)),IF($F34&lt;SUM($E34:$E37),(($E34*K34)+($E35*K35)+($E36*K36)+(($F34-SUM($E34:$E36))*K37)),IF($F34&lt;SUM($E34:$E38),(($E34*K34)+($E35*K35)+($E36*K36)+($E37*K37)+(($F34-SUM($E34:$E37))*K38)),(($E34*K34)+($E35*K35)+($E36*K36)+($E37*K36)+($E38*K38)+(($F34-SUM($E34:$E38))*K39))))))),2)</f>
        <v>7726.18</v>
      </c>
      <c r="M40" s="110">
        <f>ROUND((L40-J40)/J40,3)</f>
        <v>0</v>
      </c>
      <c r="N40" s="333"/>
      <c r="O40" s="336">
        <f>$G34+ROUND(IF($F34&lt;$E34,($F34*N34),IF($F34&lt;SUM($E34:$E35),(($E34*N34)+(($F34-$E34)*N35)),IF($F34&lt;SUM($E34:$E36),(($E34*N34)+($E35*N35)+(($F34-$E34-$E35)*N36)),IF($F34&lt;SUM($E34:$E37),(($E34*N34)+($E35*N35)+($E36*N36)+(($F34-SUM($E34:$E36))*N37)),IF($F34&lt;SUM($E34:$E38),(($E34*N34)+($E35*N35)+($E36*N36)+($E37*N37)+(($F34-SUM($E34:$E37))*N38)),(($E34*N34)+($E35*N35)+($E36*N36)+($E37*N36)+($E38*N38)+(($F34-SUM($E34:$E38))*N39))))))),2)</f>
        <v>7726.18</v>
      </c>
      <c r="P40" s="110">
        <f>ROUND((O40-J40)/J40,3)</f>
        <v>0</v>
      </c>
      <c r="Q40" s="365"/>
      <c r="R40" s="336">
        <f>$G34+ROUND(IF($F34&lt;$E34,($F34*Q34),IF($F34&lt;SUM($E34:$E35),(($E34*Q34)+(($F34-$E34)*Q35)),IF($F34&lt;SUM($E34:$E36),(($E34*Q34)+($E35*Q35)+(($F34-$E34-$E35)*Q36)),IF($F34&lt;SUM($E34:$E37),(($E34*Q34)+($E35*Q35)+($E36*Q36)+(($F34-SUM($E34:$E36))*Q37)),IF($F34&lt;SUM($E34:$E38),(($E34*Q34)+($E35*Q35)+($E36*Q36)+($E37*Q37)+(($F34-SUM($E34:$E37))*Q38)),(($E34*Q34)+($E35*Q35)+($E36*Q36)+($E37*Q36)+($E38*Q38)+(($F34-SUM($E34:$E38))*Q39))))))),2)</f>
        <v>7726.18</v>
      </c>
      <c r="S40" s="110">
        <f t="shared" si="11"/>
        <v>0</v>
      </c>
      <c r="T40" s="365"/>
      <c r="U40" s="336">
        <f>$G34+ROUND(IF($F34&lt;$E34,($F34*T34),IF($F34&lt;SUM($E34:$E35),(($E34*T34)+(($F34-$E34)*T35)),IF($F34&lt;SUM($E34:$E36),(($E34*T34)+($E35*T35)+(($F34-$E34-$E35)*T36)),IF($F34&lt;SUM($E34:$E37),(($E34*T34)+($E35*T35)+($E36*T36)+(($F34-SUM($E34:$E36))*T37)),IF($F34&lt;SUM($E34:$E38),(($E34*T34)+($E35*T35)+($E36*T36)+($E37*T37)+(($F34-SUM($E34:$E37))*T38)),(($E34*T34)+($E35*T35)+($E36*T36)+($E37*T36)+($E38*T38)+(($F34-SUM($E34:$E38))*T39))))))),2)</f>
        <v>7762.12</v>
      </c>
      <c r="V40" s="110">
        <f t="shared" si="12"/>
        <v>5.0000000000000001E-3</v>
      </c>
      <c r="W40" s="365"/>
      <c r="X40" s="336">
        <f>$G34+ROUND(IF($F34&lt;$E34,($F34*W34),IF($F34&lt;SUM($E34:$E35),(($E34*W34)+(($F34-$E34)*W35)),IF($F34&lt;SUM($E34:$E36),(($E34*W34)+($E35*W35)+(($F34-$E34-$E35)*W36)),IF($F34&lt;SUM($E34:$E37),(($E34*W34)+($E35*W35)+($E36*W36)+(($F34-SUM($E34:$E36))*W37)),IF($F34&lt;SUM($E34:$E38),(($E34*W34)+($E35*W35)+($E36*W36)+($E37*W37)+(($F34-SUM($E34:$E37))*W38)),(($E34*W34)+($E35*W35)+($E36*W36)+($E37*W36)+($E38*W38)+(($F34-SUM($E34:$E38))*W39))))))),2)</f>
        <v>7532.25</v>
      </c>
      <c r="Y40" s="110">
        <f t="shared" ref="Y40" si="27">ROUND((X40-J40)/J40,3)</f>
        <v>-2.5000000000000001E-2</v>
      </c>
      <c r="Z40" s="365"/>
      <c r="AA40" s="336">
        <f>$G34+ROUND(IF($F34&lt;$E34,($F34*Z34),IF($F34&lt;SUM($E34:$E35),(($E34*Z34)+(($F34-$E34)*Z35)),IF($F34&lt;SUM($E34:$E36),(($E34*Z34)+($E35*Z35)+(($F34-$E34-$E35)*Z36)),IF($F34&lt;SUM($E34:$E37),(($E34*Z34)+($E35*Z35)+($E36*Z36)+(($F34-SUM($E34:$E36))*Z37)),IF($F34&lt;SUM($E34:$E38),(($E34*Z34)+($E35*Z35)+($E36*Z36)+($E37*Z37)+(($F34-SUM($E34:$E37))*Z38)),(($E34*Z34)+($E35*Z35)+($E36*Z36)+($E37*Z36)+($E38*Z38)+(($F34-SUM($E34:$E38))*Z39))))))),2)</f>
        <v>8240.57</v>
      </c>
      <c r="AB40" s="110">
        <f>ROUND((AA40-J40)/J40,3)</f>
        <v>6.7000000000000004E-2</v>
      </c>
      <c r="AC40" s="333"/>
      <c r="AD40" s="336">
        <f>$G34+ROUND(IF($F34&lt;$E34,($F34*AC34),IF($F34&lt;SUM($E34:$E35),(($E34*AC34)+(($F34-$E34)*AC35)),IF($F34&lt;SUM($E34:$E36),(($E34*AC34)+($E35*AC35)+(($F34-$E34-$E35)*AC36)),IF($F34&lt;SUM($E34:$E37),(($E34*AC34)+($E35*AC35)+($E36*AC36)+(($F34-SUM($E34:$E36))*AC37)),IF($F34&lt;SUM($E34:$E38),(($E34*AC34)+($E35*AC35)+($E36*AC36)+($E37*AC37)+(($F34-SUM($E34:$E37))*AC38)),(($E34*AC34)+($E35*AC35)+($E36*AC36)+($E37*AC36)+($E38*AC38)+(($F34-SUM($E34:$E38))*AC39))))))),2)</f>
        <v>8046.64</v>
      </c>
      <c r="AE40" s="110">
        <f>ROUND((AD40-J40)/J40,3)</f>
        <v>4.1000000000000002E-2</v>
      </c>
      <c r="AF40" s="217">
        <f t="shared" ref="AF40" si="28">AA40-J40</f>
        <v>514.38999999999942</v>
      </c>
      <c r="AH40" s="283"/>
      <c r="AI40" s="283"/>
    </row>
    <row r="41" spans="1:35" x14ac:dyDescent="0.2">
      <c r="A41" s="43">
        <f t="shared" si="0"/>
        <v>35</v>
      </c>
      <c r="B41" s="63" t="s">
        <v>128</v>
      </c>
      <c r="C41" s="18" t="s">
        <v>6</v>
      </c>
      <c r="D41" s="64">
        <f>+'Washington volumes'!F35</f>
        <v>1116842.3999999999</v>
      </c>
      <c r="E41" s="64">
        <v>10000</v>
      </c>
      <c r="F41" s="104">
        <f>+'Washington volumes'!I35</f>
        <v>27009.42958</v>
      </c>
      <c r="G41" s="440">
        <v>1300</v>
      </c>
      <c r="H41" s="440">
        <v>1300</v>
      </c>
      <c r="I41" s="364">
        <f>+'Rates in summary'!D35</f>
        <v>0.29139999999999999</v>
      </c>
      <c r="J41" s="199"/>
      <c r="K41" s="198">
        <f>'Rates in summary'!D35+Temporaries!K35-Temporaries!AZ35</f>
        <v>0.29139999999999999</v>
      </c>
      <c r="L41" s="199"/>
      <c r="M41" s="299"/>
      <c r="N41" s="198">
        <f>'Rates in summary'!D35+Temporaries!L35+Temporaries!V35-Temporaries!BA35</f>
        <v>0.29139999999999999</v>
      </c>
      <c r="O41" s="199"/>
      <c r="P41" s="299"/>
      <c r="Q41" s="364">
        <f>'Rates in summary'!D35+Temporaries!W35-Temporaries!BC35</f>
        <v>0.29139999999999999</v>
      </c>
      <c r="R41" s="199"/>
      <c r="S41" s="299"/>
      <c r="T41" s="364">
        <f>'Rates in summary'!H35+'Rates in summary'!Q35+Temporaries!J35</f>
        <v>0.29512000000000005</v>
      </c>
      <c r="U41" s="199"/>
      <c r="V41" s="299"/>
      <c r="W41" s="364">
        <f>'Rates in summary'!D35+'Rates in summary'!Q35-Temporaries!BD35</f>
        <v>0.28298000000000001</v>
      </c>
      <c r="X41" s="199"/>
      <c r="Y41" s="299"/>
      <c r="Z41" s="364">
        <f>'Rates in detail'!D35+'Rates in detail'!E35</f>
        <v>0.31668000000000002</v>
      </c>
      <c r="AA41" s="199"/>
      <c r="AB41" s="299"/>
      <c r="AC41" s="198">
        <f>+'Rates in summary'!R35</f>
        <v>0.30826000000000003</v>
      </c>
      <c r="AD41" s="199"/>
      <c r="AE41" s="105"/>
      <c r="AF41" s="199"/>
    </row>
    <row r="42" spans="1:35" x14ac:dyDescent="0.2">
      <c r="A42" s="43">
        <f t="shared" si="0"/>
        <v>36</v>
      </c>
      <c r="B42" s="63"/>
      <c r="C42" s="18" t="s">
        <v>7</v>
      </c>
      <c r="D42" s="64">
        <f>+'Washington volumes'!F36</f>
        <v>718678.6</v>
      </c>
      <c r="E42" s="64">
        <v>20000</v>
      </c>
      <c r="F42" s="104"/>
      <c r="G42" s="440"/>
      <c r="H42" s="440"/>
      <c r="I42" s="364">
        <f>+'Rates in summary'!D36</f>
        <v>0.27872000000000008</v>
      </c>
      <c r="J42" s="199"/>
      <c r="K42" s="198">
        <f>'Rates in summary'!D36+Temporaries!K36-Temporaries!AZ36</f>
        <v>0.27872000000000008</v>
      </c>
      <c r="L42" s="199"/>
      <c r="M42" s="299"/>
      <c r="N42" s="198">
        <f>'Rates in summary'!D36+Temporaries!L36+Temporaries!V36-Temporaries!BA36</f>
        <v>0.27872000000000002</v>
      </c>
      <c r="O42" s="199"/>
      <c r="P42" s="299"/>
      <c r="Q42" s="364">
        <f>'Rates in summary'!D36+Temporaries!W36-Temporaries!BC36</f>
        <v>0.27872000000000008</v>
      </c>
      <c r="R42" s="199"/>
      <c r="S42" s="299"/>
      <c r="T42" s="364">
        <f>'Rates in summary'!H36+'Rates in summary'!Q36+Temporaries!J36</f>
        <v>0.28060000000000013</v>
      </c>
      <c r="U42" s="199"/>
      <c r="V42" s="299"/>
      <c r="W42" s="364">
        <f>'Rates in summary'!D36+'Rates in summary'!Q36-Temporaries!BD36</f>
        <v>0.27118000000000009</v>
      </c>
      <c r="X42" s="199"/>
      <c r="Y42" s="299"/>
      <c r="Z42" s="364">
        <f>'Rates in detail'!D36+'Rates in detail'!E36</f>
        <v>0.3012800000000001</v>
      </c>
      <c r="AA42" s="199"/>
      <c r="AB42" s="299"/>
      <c r="AC42" s="198">
        <f>+'Rates in summary'!R36</f>
        <v>0.29374000000000011</v>
      </c>
      <c r="AD42" s="199"/>
      <c r="AE42" s="105"/>
      <c r="AF42" s="199"/>
    </row>
    <row r="43" spans="1:35" x14ac:dyDescent="0.2">
      <c r="A43" s="43">
        <f t="shared" si="0"/>
        <v>37</v>
      </c>
      <c r="B43" s="63"/>
      <c r="C43" s="18" t="s">
        <v>8</v>
      </c>
      <c r="D43" s="64">
        <f>+'Washington volumes'!F37</f>
        <v>82148.5</v>
      </c>
      <c r="E43" s="64">
        <v>20000</v>
      </c>
      <c r="F43" s="104"/>
      <c r="G43" s="440"/>
      <c r="H43" s="440"/>
      <c r="I43" s="364">
        <f>+'Rates in summary'!D37</f>
        <v>0.25346999999999992</v>
      </c>
      <c r="J43" s="199"/>
      <c r="K43" s="198">
        <f>'Rates in summary'!D37+Temporaries!K37-Temporaries!AZ37</f>
        <v>0.25346999999999992</v>
      </c>
      <c r="L43" s="199"/>
      <c r="M43" s="299"/>
      <c r="N43" s="198">
        <f>'Rates in summary'!D37+Temporaries!L37+Temporaries!V37-Temporaries!BA37</f>
        <v>0.25346999999999992</v>
      </c>
      <c r="O43" s="199"/>
      <c r="P43" s="299"/>
      <c r="Q43" s="364">
        <f>'Rates in summary'!D37+Temporaries!W37-Temporaries!BC37</f>
        <v>0.25346999999999992</v>
      </c>
      <c r="R43" s="199"/>
      <c r="S43" s="299"/>
      <c r="T43" s="364">
        <f>'Rates in summary'!H37+'Rates in summary'!Q37+Temporaries!J37</f>
        <v>0.25174999999999992</v>
      </c>
      <c r="U43" s="199"/>
      <c r="V43" s="299"/>
      <c r="W43" s="364">
        <f>'Rates in summary'!D37+'Rates in summary'!Q37-Temporaries!BD37</f>
        <v>0.24768999999999991</v>
      </c>
      <c r="X43" s="199"/>
      <c r="Y43" s="299"/>
      <c r="Z43" s="364">
        <f>'Rates in detail'!D37+'Rates in detail'!E37</f>
        <v>0.27066999999999991</v>
      </c>
      <c r="AA43" s="199"/>
      <c r="AB43" s="299"/>
      <c r="AC43" s="198">
        <f>+'Rates in summary'!R37</f>
        <v>0.2648899999999999</v>
      </c>
      <c r="AD43" s="199"/>
      <c r="AE43" s="105"/>
      <c r="AF43" s="199"/>
      <c r="AG43" s="19"/>
    </row>
    <row r="44" spans="1:35" x14ac:dyDescent="0.2">
      <c r="A44" s="43">
        <f t="shared" si="0"/>
        <v>38</v>
      </c>
      <c r="B44" s="63"/>
      <c r="C44" s="18" t="s">
        <v>9</v>
      </c>
      <c r="D44" s="64">
        <f>+'Washington volumes'!F38</f>
        <v>0</v>
      </c>
      <c r="E44" s="64">
        <v>100000</v>
      </c>
      <c r="F44" s="104"/>
      <c r="G44" s="440"/>
      <c r="H44" s="440"/>
      <c r="I44" s="364">
        <f>+'Rates in summary'!D38</f>
        <v>0.23686000000000018</v>
      </c>
      <c r="J44" s="199"/>
      <c r="K44" s="198">
        <f>'Rates in summary'!D38+Temporaries!K38-Temporaries!AZ38</f>
        <v>0.23686000000000018</v>
      </c>
      <c r="L44" s="199"/>
      <c r="M44" s="299"/>
      <c r="N44" s="198">
        <f>'Rates in summary'!D38+Temporaries!L38+Temporaries!V38-Temporaries!BA38</f>
        <v>0.23686000000000018</v>
      </c>
      <c r="O44" s="199"/>
      <c r="P44" s="299"/>
      <c r="Q44" s="364">
        <f>'Rates in summary'!D38+Temporaries!W38-Temporaries!BC38</f>
        <v>0.23686000000000018</v>
      </c>
      <c r="R44" s="199"/>
      <c r="S44" s="299"/>
      <c r="T44" s="364">
        <f>'Rates in summary'!H38+'Rates in summary'!Q38+Temporaries!J38</f>
        <v>0.23282000000000019</v>
      </c>
      <c r="U44" s="199"/>
      <c r="V44" s="299"/>
      <c r="W44" s="364">
        <f>'Rates in summary'!D38+'Rates in summary'!Q38-Temporaries!BD38</f>
        <v>0.23224000000000017</v>
      </c>
      <c r="X44" s="199"/>
      <c r="Y44" s="299"/>
      <c r="Z44" s="364">
        <f>'Rates in detail'!D38+'Rates in detail'!E38</f>
        <v>0.25058000000000019</v>
      </c>
      <c r="AA44" s="199"/>
      <c r="AB44" s="299"/>
      <c r="AC44" s="198">
        <f>+'Rates in summary'!R38</f>
        <v>0.24596000000000018</v>
      </c>
      <c r="AD44" s="199"/>
      <c r="AE44" s="105"/>
      <c r="AF44" s="199"/>
    </row>
    <row r="45" spans="1:35" x14ac:dyDescent="0.2">
      <c r="A45" s="43">
        <f t="shared" si="0"/>
        <v>39</v>
      </c>
      <c r="B45" s="63"/>
      <c r="C45" s="18" t="s">
        <v>10</v>
      </c>
      <c r="D45" s="64">
        <f>+'Washington volumes'!F39</f>
        <v>0</v>
      </c>
      <c r="E45" s="64">
        <v>600000</v>
      </c>
      <c r="F45" s="104"/>
      <c r="G45" s="440"/>
      <c r="H45" s="440"/>
      <c r="I45" s="364">
        <f>+'Rates in summary'!D39</f>
        <v>0.2147300000000002</v>
      </c>
      <c r="J45" s="199"/>
      <c r="K45" s="198">
        <f>'Rates in summary'!D39+Temporaries!K39-Temporaries!AZ39</f>
        <v>0.2147300000000002</v>
      </c>
      <c r="L45" s="199"/>
      <c r="M45" s="299"/>
      <c r="N45" s="198">
        <f>'Rates in summary'!D39+Temporaries!L39+Temporaries!V39-Temporaries!BA39</f>
        <v>0.21473000000000023</v>
      </c>
      <c r="O45" s="199"/>
      <c r="P45" s="299"/>
      <c r="Q45" s="364">
        <f>'Rates in summary'!D39+Temporaries!W39-Temporaries!BC39</f>
        <v>0.2147300000000002</v>
      </c>
      <c r="R45" s="199"/>
      <c r="S45" s="299"/>
      <c r="T45" s="364">
        <f>'Rates in summary'!H39+'Rates in summary'!Q39+Temporaries!J39</f>
        <v>0.20765000000000022</v>
      </c>
      <c r="U45" s="199"/>
      <c r="V45" s="299"/>
      <c r="W45" s="364">
        <f>'Rates in summary'!D39+'Rates in summary'!Q39-Temporaries!BD39</f>
        <v>0.2116500000000002</v>
      </c>
      <c r="X45" s="199"/>
      <c r="Y45" s="299"/>
      <c r="Z45" s="364">
        <f>'Rates in detail'!D39+'Rates in detail'!E39</f>
        <v>0.22387000000000021</v>
      </c>
      <c r="AA45" s="199"/>
      <c r="AB45" s="299"/>
      <c r="AC45" s="198">
        <f>+'Rates in summary'!R39</f>
        <v>0.22079000000000021</v>
      </c>
      <c r="AD45" s="199"/>
      <c r="AE45" s="105"/>
      <c r="AF45" s="199"/>
    </row>
    <row r="46" spans="1:35" x14ac:dyDescent="0.2">
      <c r="A46" s="43">
        <f t="shared" si="0"/>
        <v>40</v>
      </c>
      <c r="B46" s="63"/>
      <c r="C46" s="18" t="s">
        <v>11</v>
      </c>
      <c r="D46" s="64">
        <f>+'Washington volumes'!F40</f>
        <v>0</v>
      </c>
      <c r="E46" s="103" t="s">
        <v>155</v>
      </c>
      <c r="F46" s="104"/>
      <c r="G46" s="440"/>
      <c r="H46" s="440"/>
      <c r="I46" s="364">
        <f>+'Rates in summary'!D40</f>
        <v>0.18703999999999993</v>
      </c>
      <c r="J46" s="199"/>
      <c r="K46" s="198">
        <f>'Rates in summary'!D40+Temporaries!K40-Temporaries!AZ40</f>
        <v>0.18703999999999993</v>
      </c>
      <c r="L46" s="199"/>
      <c r="M46" s="299"/>
      <c r="N46" s="198">
        <f>'Rates in summary'!D40+Temporaries!L40+Temporaries!V40-Temporaries!BA40</f>
        <v>0.18703999999999993</v>
      </c>
      <c r="O46" s="199"/>
      <c r="P46" s="299"/>
      <c r="Q46" s="364">
        <f>'Rates in summary'!D40+Temporaries!W40-Temporaries!BC40</f>
        <v>0.18703999999999993</v>
      </c>
      <c r="R46" s="199"/>
      <c r="S46" s="299"/>
      <c r="T46" s="364">
        <f>'Rates in summary'!H40+'Rates in summary'!Q40+Temporaries!J40</f>
        <v>0.17275999999999994</v>
      </c>
      <c r="U46" s="199"/>
      <c r="V46" s="299"/>
      <c r="W46" s="364">
        <f>'Rates in summary'!D40+'Rates in summary'!Q40-Temporaries!BD40</f>
        <v>0.18588999999999992</v>
      </c>
      <c r="X46" s="199"/>
      <c r="Y46" s="299"/>
      <c r="Z46" s="364">
        <f>'Rates in detail'!D40+'Rates in detail'!E40</f>
        <v>0.18704999999999994</v>
      </c>
      <c r="AA46" s="199"/>
      <c r="AB46" s="299"/>
      <c r="AC46" s="198">
        <f>+'Rates in summary'!R40</f>
        <v>0.18589999999999993</v>
      </c>
      <c r="AD46" s="199"/>
      <c r="AE46" s="105"/>
      <c r="AF46" s="199"/>
    </row>
    <row r="47" spans="1:35" x14ac:dyDescent="0.2">
      <c r="A47" s="43">
        <f t="shared" si="0"/>
        <v>41</v>
      </c>
      <c r="B47" s="68"/>
      <c r="C47" s="106" t="s">
        <v>159</v>
      </c>
      <c r="D47" s="107"/>
      <c r="E47" s="108"/>
      <c r="F47" s="109"/>
      <c r="G47" s="441"/>
      <c r="H47" s="441"/>
      <c r="I47" s="365"/>
      <c r="J47" s="336">
        <f>$H41+ROUND(IF($F41&lt;$E41,($F41*I41),IF($F41&lt;SUM($E41:$E42),(($E41*I41)+(($F41-$E41)*I42)),IF($F41&lt;SUM($E41:$E43),(($E41*I41)+($E42*I42)+(($F41-$E41-$E42)*I43)),IF($F41&lt;SUM($E41:$E44),(($E41*I41)+($E42*I42)+($E43*I43)+(($F41-SUM($E41:$E43))*I44)),IF($F41&lt;SUM($E41:$E45),(($E41*I41)+($E42*I42)+($E43*I43)+($E44*I44)+(($F41-SUM($E41:$E44))*I45)),(($E41*I41)+($E42*I42)+($E43*I43)+($E44*I43)+($E45*I45)+(($F41-SUM($E41:$E45))*I46))))))),2)</f>
        <v>8954.869999999999</v>
      </c>
      <c r="K47" s="333"/>
      <c r="L47" s="336">
        <f>$G41+ROUND(IF($F41&lt;$E41,($F41*K41),IF($F41&lt;SUM($E41:$E42),(($E41*K41)+(($F41-$E41)*K42)),IF($F41&lt;SUM($E41:$E43),(($E41*K41)+($E42*K42)+(($F41-$E41-$E42)*K43)),IF($F41&lt;SUM($E41:$E44),(($E41*K41)+($E42*K42)+($E43*K43)+(($F41-SUM($E41:$E43))*K44)),IF($F41&lt;SUM($E41:$E45),(($E41*K41)+($E42*K42)+($E43*K43)+($E44*K44)+(($F41-SUM($E41:$E44))*K45)),(($E41*K41)+($E42*K42)+($E43*K43)+($E44*K43)+($E45*K45)+(($F41-SUM($E41:$E45))*K46))))))),2)</f>
        <v>8954.869999999999</v>
      </c>
      <c r="M47" s="110">
        <f>ROUND((L47-J47)/J47,3)</f>
        <v>0</v>
      </c>
      <c r="N47" s="333"/>
      <c r="O47" s="336">
        <f>$G41+ROUND(IF($F41&lt;$E41,($F41*N41),IF($F41&lt;SUM($E41:$E42),(($E41*N41)+(($F41-$E41)*N42)),IF($F41&lt;SUM($E41:$E43),(($E41*N41)+($E42*N42)+(($F41-$E41-$E42)*N43)),IF($F41&lt;SUM($E41:$E44),(($E41*N41)+($E42*N42)+($E43*N43)+(($F41-SUM($E41:$E43))*N44)),IF($F41&lt;SUM($E41:$E45),(($E41*N41)+($E42*N42)+($E43*N43)+($E44*N44)+(($F41-SUM($E41:$E44))*N45)),(($E41*N41)+($E42*N42)+($E43*N43)+($E44*N43)+($E45*N45)+(($F41-SUM($E41:$E45))*N46))))))),2)</f>
        <v>8954.869999999999</v>
      </c>
      <c r="P47" s="110">
        <f>ROUND((O47-J47)/J47,3)</f>
        <v>0</v>
      </c>
      <c r="Q47" s="365"/>
      <c r="R47" s="336">
        <f>$G41+ROUND(IF($F41&lt;$E41,($F41*Q41),IF($F41&lt;SUM($E41:$E42),(($E41*Q41)+(($F41-$E41)*Q42)),IF($F41&lt;SUM($E41:$E43),(($E41*Q41)+($E42*Q42)+(($F41-$E41-$E42)*Q43)),IF($F41&lt;SUM($E41:$E44),(($E41*Q41)+($E42*Q42)+($E43*Q43)+(($F41-SUM($E41:$E43))*Q44)),IF($F41&lt;SUM($E41:$E45),(($E41*Q41)+($E42*Q42)+($E43*Q43)+($E44*Q44)+(($F41-SUM($E41:$E44))*Q45)),(($E41*Q41)+($E42*Q42)+($E43*Q43)+($E44*Q43)+($E45*Q45)+(($F41-SUM($E41:$E45))*Q46))))))),2)</f>
        <v>8954.869999999999</v>
      </c>
      <c r="S47" s="110">
        <f t="shared" si="11"/>
        <v>0</v>
      </c>
      <c r="T47" s="365"/>
      <c r="U47" s="336">
        <f>$G41+ROUND(IF($F41&lt;$E41,($F41*T41),IF($F41&lt;SUM($E41:$E42),(($E41*T41)+(($F41-$E41)*T42)),IF($F41&lt;SUM($E41:$E43),(($E41*T41)+($E42*T42)+(($F41-$E41-$E42)*T43)),IF($F41&lt;SUM($E41:$E44),(($E41*T41)+($E42*T42)+($E43*T43)+(($F41-SUM($E41:$E43))*T44)),IF($F41&lt;SUM($E41:$E45),(($E41*T41)+($E42*T42)+($E43*T43)+($E44*T44)+(($F41-SUM($E41:$E44))*T45)),(($E41*T41)+($E42*T42)+($E43*T43)+($E44*T43)+($E45*T45)+(($F41-SUM($E41:$E45))*T46))))))),2)</f>
        <v>9024.0499999999993</v>
      </c>
      <c r="V47" s="110">
        <f t="shared" si="12"/>
        <v>8.0000000000000002E-3</v>
      </c>
      <c r="W47" s="365"/>
      <c r="X47" s="336">
        <f>$G41+ROUND(IF($F41&lt;$E41,($F41*W41),IF($F41&lt;SUM($E41:$E42),(($E41*W41)+(($F41-$E41)*W42)),IF($F41&lt;SUM($E41:$E43),(($E41*W41)+($E42*W42)+(($F41-$E41-$E42)*W43)),IF($F41&lt;SUM($E41:$E44),(($E41*W41)+($E42*W42)+($E43*W43)+(($F41-SUM($E41:$E43))*W44)),IF($F41&lt;SUM($E41:$E45),(($E41*W41)+($E42*W42)+($E43*W43)+($E44*W44)+(($F41-SUM($E41:$E44))*W45)),(($E41*W41)+($E42*W42)+($E43*W43)+($E44*W43)+($E45*W45)+(($F41-SUM($E41:$E45))*W46))))))),2)</f>
        <v>8742.42</v>
      </c>
      <c r="Y47" s="110">
        <f t="shared" ref="Y47" si="29">ROUND((X47-J47)/J47,3)</f>
        <v>-2.4E-2</v>
      </c>
      <c r="Z47" s="365"/>
      <c r="AA47" s="336">
        <f>$G41+ROUND(IF($F41&lt;$E41,($F41*Z41),IF($F41&lt;SUM($E41:$E42),(($E41*Z41)+(($F41-$E41)*Z42)),IF($F41&lt;SUM($E41:$E43),(($E41*Z41)+($E42*Z42)+(($F41-$E41-$E42)*Z43)),IF($F41&lt;SUM($E41:$E44),(($E41*Z41)+($E42*Z42)+($E43*Z43)+(($F41-SUM($E41:$E43))*Z44)),IF($F41&lt;SUM($E41:$E45),(($E41*Z41)+($E42*Z42)+($E43*Z43)+($E44*Z44)+(($F41-SUM($E41:$E44))*Z45)),(($E41*Z41)+($E42*Z42)+($E43*Z43)+($E44*Z43)+($E45*Z45)+(($F41-SUM($E41:$E45))*Z46))))))),2)</f>
        <v>9591.4</v>
      </c>
      <c r="AB47" s="110">
        <f>ROUND((AA47-J47)/J47,3)</f>
        <v>7.0999999999999994E-2</v>
      </c>
      <c r="AC47" s="333"/>
      <c r="AD47" s="336">
        <f>$G41+ROUND(IF($F41&lt;$E41,($F41*AC41),IF($F41&lt;SUM($E41:$E42),(($E41*AC41)+(($F41-$E41)*AC42)),IF($F41&lt;SUM($E41:$E43),(($E41*AC41)+($E42*AC42)+(($F41-$E41-$E42)*AC43)),IF($F41&lt;SUM($E41:$E44),(($E41*AC41)+($E42*AC42)+($E43*AC43)+(($F41-SUM($E41:$E43))*AC44)),IF($F41&lt;SUM($E41:$E45),(($E41*AC41)+($E42*AC42)+($E43*AC43)+($E44*AC44)+(($F41-SUM($E41:$E44))*AC45)),(($E41*AC41)+($E42*AC42)+($E43*AC43)+($E44*AC43)+($E45*AC45)+(($F41-SUM($E41:$E45))*AC46))))))),2)</f>
        <v>9378.9500000000007</v>
      </c>
      <c r="AE47" s="110">
        <f>ROUND((AD47-J47)/J47,3)</f>
        <v>4.7E-2</v>
      </c>
      <c r="AF47" s="217">
        <f t="shared" ref="AF47" si="30">AA47-J47</f>
        <v>636.53000000000065</v>
      </c>
      <c r="AH47" s="283"/>
      <c r="AI47" s="283"/>
    </row>
    <row r="48" spans="1:35" x14ac:dyDescent="0.2">
      <c r="A48" s="43">
        <f t="shared" si="0"/>
        <v>42</v>
      </c>
      <c r="B48" s="63" t="s">
        <v>129</v>
      </c>
      <c r="C48" s="18" t="s">
        <v>6</v>
      </c>
      <c r="D48" s="64">
        <f>+'Washington volumes'!F41</f>
        <v>1315575</v>
      </c>
      <c r="E48" s="64">
        <v>10000</v>
      </c>
      <c r="F48" s="104">
        <f>+'Washington volumes'!I41</f>
        <v>85947.676059999998</v>
      </c>
      <c r="G48" s="440">
        <f>1300+250</f>
        <v>1550</v>
      </c>
      <c r="H48" s="440">
        <f>1300+250</f>
        <v>1550</v>
      </c>
      <c r="I48" s="364">
        <f>+'Rates in summary'!D41</f>
        <v>0.11795</v>
      </c>
      <c r="J48" s="199"/>
      <c r="K48" s="198">
        <f>'Rates in summary'!D41+Temporaries!K41-Temporaries!AZ41</f>
        <v>0.11795</v>
      </c>
      <c r="L48" s="199"/>
      <c r="M48" s="299"/>
      <c r="N48" s="198">
        <f>'Rates in summary'!D41+Temporaries!L41+Temporaries!V41-Temporaries!BA41</f>
        <v>0.11795</v>
      </c>
      <c r="O48" s="199"/>
      <c r="P48" s="299"/>
      <c r="Q48" s="364">
        <f>'Rates in summary'!D41+Temporaries!W41-Temporaries!BC41</f>
        <v>0.11795</v>
      </c>
      <c r="R48" s="199"/>
      <c r="S48" s="299"/>
      <c r="T48" s="364">
        <f>'Rates in summary'!H41+'Rates in summary'!Q41+Temporaries!J41</f>
        <v>0.13741</v>
      </c>
      <c r="U48" s="199"/>
      <c r="V48" s="299"/>
      <c r="W48" s="364">
        <f>'Rates in summary'!D41+'Rates in summary'!Q41-Temporaries!BD41</f>
        <v>0.1116</v>
      </c>
      <c r="X48" s="199"/>
      <c r="Y48" s="299"/>
      <c r="Z48" s="364">
        <f>'Rates in detail'!D41+'Rates in detail'!E41</f>
        <v>0.14376</v>
      </c>
      <c r="AA48" s="199"/>
      <c r="AB48" s="299"/>
      <c r="AC48" s="198">
        <f>+'Rates in summary'!R41</f>
        <v>0.13741</v>
      </c>
      <c r="AD48" s="199"/>
      <c r="AE48" s="105"/>
      <c r="AF48" s="199"/>
    </row>
    <row r="49" spans="1:35" x14ac:dyDescent="0.2">
      <c r="A49" s="43">
        <f t="shared" si="0"/>
        <v>43</v>
      </c>
      <c r="B49" s="63"/>
      <c r="C49" s="18" t="s">
        <v>7</v>
      </c>
      <c r="D49" s="64">
        <f>+'Washington volumes'!F42</f>
        <v>1620311</v>
      </c>
      <c r="E49" s="64">
        <v>20000</v>
      </c>
      <c r="F49" s="104"/>
      <c r="G49" s="440"/>
      <c r="H49" s="440"/>
      <c r="I49" s="364">
        <f>+'Rates in summary'!D42</f>
        <v>0.10557999999999999</v>
      </c>
      <c r="J49" s="199"/>
      <c r="K49" s="198">
        <f>'Rates in summary'!D42+Temporaries!K42-Temporaries!AZ42</f>
        <v>0.10557999999999999</v>
      </c>
      <c r="L49" s="199"/>
      <c r="M49" s="299"/>
      <c r="N49" s="198">
        <f>'Rates in summary'!D42+Temporaries!L42+Temporaries!V42-Temporaries!BA42</f>
        <v>0.10557999999999999</v>
      </c>
      <c r="O49" s="199"/>
      <c r="P49" s="299"/>
      <c r="Q49" s="364">
        <f>'Rates in summary'!D42+Temporaries!W42-Temporaries!BC42</f>
        <v>0.10557999999999999</v>
      </c>
      <c r="R49" s="199"/>
      <c r="S49" s="299"/>
      <c r="T49" s="364">
        <f>'Rates in summary'!H42+'Rates in summary'!Q42+Temporaries!J42</f>
        <v>0.12293</v>
      </c>
      <c r="U49" s="199"/>
      <c r="V49" s="299"/>
      <c r="W49" s="364">
        <f>'Rates in summary'!D42+'Rates in summary'!Q42-Temporaries!BD42</f>
        <v>9.9899999999999989E-2</v>
      </c>
      <c r="X49" s="199"/>
      <c r="Y49" s="299"/>
      <c r="Z49" s="364">
        <f>'Rates in detail'!D42+'Rates in detail'!E42</f>
        <v>0.12861</v>
      </c>
      <c r="AA49" s="199"/>
      <c r="AB49" s="299"/>
      <c r="AC49" s="198">
        <f>+'Rates in summary'!R42</f>
        <v>0.12293</v>
      </c>
      <c r="AD49" s="199"/>
      <c r="AE49" s="105"/>
      <c r="AF49" s="199"/>
    </row>
    <row r="50" spans="1:35" x14ac:dyDescent="0.2">
      <c r="A50" s="43">
        <f t="shared" si="0"/>
        <v>44</v>
      </c>
      <c r="B50" s="63"/>
      <c r="C50" s="18" t="s">
        <v>8</v>
      </c>
      <c r="D50" s="64">
        <f>+'Washington volumes'!F43</f>
        <v>1147357</v>
      </c>
      <c r="E50" s="64">
        <v>20000</v>
      </c>
      <c r="F50" s="104"/>
      <c r="G50" s="440"/>
      <c r="H50" s="440"/>
      <c r="I50" s="364">
        <f>+'Rates in summary'!D43</f>
        <v>8.0960000000000004E-2</v>
      </c>
      <c r="J50" s="199"/>
      <c r="K50" s="198">
        <f>'Rates in summary'!D43+Temporaries!K43-Temporaries!AZ43</f>
        <v>8.0960000000000004E-2</v>
      </c>
      <c r="L50" s="199"/>
      <c r="M50" s="299"/>
      <c r="N50" s="198">
        <f>'Rates in summary'!D43+Temporaries!L43+Temporaries!V43-Temporaries!BA43</f>
        <v>8.0960000000000004E-2</v>
      </c>
      <c r="O50" s="199"/>
      <c r="P50" s="299"/>
      <c r="Q50" s="364">
        <f>'Rates in summary'!D43+Temporaries!W43-Temporaries!BC43</f>
        <v>8.0960000000000004E-2</v>
      </c>
      <c r="R50" s="199"/>
      <c r="S50" s="299"/>
      <c r="T50" s="364">
        <f>'Rates in summary'!H43+'Rates in summary'!Q43+Temporaries!J43</f>
        <v>9.4170000000000004E-2</v>
      </c>
      <c r="U50" s="199"/>
      <c r="V50" s="299"/>
      <c r="W50" s="364">
        <f>'Rates in summary'!D43+'Rates in summary'!Q43-Temporaries!BD43</f>
        <v>7.6600000000000001E-2</v>
      </c>
      <c r="X50" s="199"/>
      <c r="Y50" s="299"/>
      <c r="Z50" s="364">
        <f>'Rates in detail'!D43+'Rates in detail'!E43</f>
        <v>9.8530000000000006E-2</v>
      </c>
      <c r="AA50" s="199"/>
      <c r="AB50" s="299"/>
      <c r="AC50" s="198">
        <f>+'Rates in summary'!R43</f>
        <v>9.4170000000000004E-2</v>
      </c>
      <c r="AD50" s="199"/>
      <c r="AE50" s="105"/>
      <c r="AF50" s="199"/>
    </row>
    <row r="51" spans="1:35" x14ac:dyDescent="0.2">
      <c r="A51" s="43">
        <f t="shared" si="0"/>
        <v>45</v>
      </c>
      <c r="B51" s="63"/>
      <c r="C51" s="18" t="s">
        <v>9</v>
      </c>
      <c r="D51" s="64">
        <f>+'Washington volumes'!F44</f>
        <v>1663800</v>
      </c>
      <c r="E51" s="64">
        <v>100000</v>
      </c>
      <c r="F51" s="104"/>
      <c r="G51" s="440"/>
      <c r="H51" s="440"/>
      <c r="I51" s="364">
        <f>+'Rates in summary'!D44</f>
        <v>6.4769999999999994E-2</v>
      </c>
      <c r="J51" s="199"/>
      <c r="K51" s="198">
        <f>'Rates in summary'!D44+Temporaries!K44-Temporaries!AZ44</f>
        <v>6.4769999999999994E-2</v>
      </c>
      <c r="L51" s="199"/>
      <c r="M51" s="299"/>
      <c r="N51" s="198">
        <f>'Rates in summary'!D44+Temporaries!L44+Temporaries!V44-Temporaries!BA44</f>
        <v>6.4769999999999994E-2</v>
      </c>
      <c r="O51" s="199"/>
      <c r="P51" s="299"/>
      <c r="Q51" s="364">
        <f>'Rates in summary'!D44+Temporaries!W44-Temporaries!BC44</f>
        <v>6.4769999999999994E-2</v>
      </c>
      <c r="R51" s="199"/>
      <c r="S51" s="299"/>
      <c r="T51" s="364">
        <f>'Rates in summary'!H44+'Rates in summary'!Q44+Temporaries!J44</f>
        <v>7.5289999999999996E-2</v>
      </c>
      <c r="U51" s="199"/>
      <c r="V51" s="299"/>
      <c r="W51" s="364">
        <f>'Rates in summary'!D44+'Rates in summary'!Q44-Temporaries!BD44</f>
        <v>6.1279999999999994E-2</v>
      </c>
      <c r="X51" s="199"/>
      <c r="Y51" s="299"/>
      <c r="Z51" s="364">
        <f>'Rates in detail'!D44+'Rates in detail'!E44</f>
        <v>7.8779999999999989E-2</v>
      </c>
      <c r="AA51" s="199"/>
      <c r="AB51" s="299"/>
      <c r="AC51" s="198">
        <f>+'Rates in summary'!R44</f>
        <v>7.5289999999999996E-2</v>
      </c>
      <c r="AD51" s="199"/>
      <c r="AE51" s="105"/>
      <c r="AF51" s="199"/>
      <c r="AG51" s="19"/>
    </row>
    <row r="52" spans="1:35" x14ac:dyDescent="0.2">
      <c r="A52" s="43">
        <f t="shared" si="0"/>
        <v>46</v>
      </c>
      <c r="B52" s="63"/>
      <c r="C52" s="18" t="s">
        <v>10</v>
      </c>
      <c r="D52" s="64">
        <f>+'Washington volumes'!F45</f>
        <v>355242</v>
      </c>
      <c r="E52" s="64">
        <v>600000</v>
      </c>
      <c r="F52" s="104"/>
      <c r="G52" s="440"/>
      <c r="H52" s="440"/>
      <c r="I52" s="364">
        <f>+'Rates in summary'!D45</f>
        <v>4.3180000000000003E-2</v>
      </c>
      <c r="J52" s="199"/>
      <c r="K52" s="198">
        <f>'Rates in summary'!D45+Temporaries!K45-Temporaries!AZ45</f>
        <v>4.3180000000000003E-2</v>
      </c>
      <c r="L52" s="199"/>
      <c r="M52" s="299"/>
      <c r="N52" s="198">
        <f>'Rates in summary'!D45+Temporaries!L45+Temporaries!V45-Temporaries!BA45</f>
        <v>4.3180000000000003E-2</v>
      </c>
      <c r="O52" s="199"/>
      <c r="P52" s="299"/>
      <c r="Q52" s="364">
        <f>'Rates in summary'!D45+Temporaries!W45-Temporaries!BC45</f>
        <v>4.3180000000000003E-2</v>
      </c>
      <c r="R52" s="199"/>
      <c r="S52" s="299"/>
      <c r="T52" s="364">
        <f>'Rates in summary'!H45+'Rates in summary'!Q45+Temporaries!J45</f>
        <v>5.0200000000000002E-2</v>
      </c>
      <c r="U52" s="199"/>
      <c r="V52" s="299"/>
      <c r="W52" s="364">
        <f>'Rates in summary'!D45+'Rates in summary'!Q45-Temporaries!BD45</f>
        <v>4.086E-2</v>
      </c>
      <c r="X52" s="199"/>
      <c r="Y52" s="299"/>
      <c r="Z52" s="364">
        <f>'Rates in detail'!D45+'Rates in detail'!E45</f>
        <v>5.2520000000000004E-2</v>
      </c>
      <c r="AA52" s="199"/>
      <c r="AB52" s="299"/>
      <c r="AC52" s="198">
        <f>+'Rates in summary'!R45</f>
        <v>5.0200000000000002E-2</v>
      </c>
      <c r="AD52" s="199"/>
      <c r="AE52" s="105"/>
      <c r="AF52" s="199"/>
    </row>
    <row r="53" spans="1:35" x14ac:dyDescent="0.2">
      <c r="A53" s="43">
        <f t="shared" si="0"/>
        <v>47</v>
      </c>
      <c r="B53" s="63"/>
      <c r="C53" s="18" t="s">
        <v>11</v>
      </c>
      <c r="D53" s="64">
        <f>+'Washington volumes'!F46</f>
        <v>0</v>
      </c>
      <c r="E53" s="103" t="s">
        <v>155</v>
      </c>
      <c r="F53" s="104"/>
      <c r="G53" s="440"/>
      <c r="H53" s="440"/>
      <c r="I53" s="364">
        <f>+'Rates in summary'!D46</f>
        <v>1.619E-2</v>
      </c>
      <c r="J53" s="199"/>
      <c r="K53" s="198">
        <f>'Rates in summary'!D46+Temporaries!K46-Temporaries!AZ46</f>
        <v>1.619E-2</v>
      </c>
      <c r="L53" s="199"/>
      <c r="M53" s="299"/>
      <c r="N53" s="198">
        <f>'Rates in summary'!D46+Temporaries!L46+Temporaries!V46-Temporaries!BA46</f>
        <v>1.619E-2</v>
      </c>
      <c r="O53" s="199"/>
      <c r="P53" s="299"/>
      <c r="Q53" s="364">
        <f>'Rates in summary'!D46+Temporaries!W46-Temporaries!BC46</f>
        <v>1.619E-2</v>
      </c>
      <c r="R53" s="199"/>
      <c r="S53" s="299"/>
      <c r="T53" s="364">
        <f>'Rates in summary'!H46+'Rates in summary'!Q46+Temporaries!J46</f>
        <v>1.54E-2</v>
      </c>
      <c r="U53" s="199"/>
      <c r="V53" s="299"/>
      <c r="W53" s="364">
        <f>'Rates in summary'!D46+'Rates in summary'!Q46-Temporaries!BD46</f>
        <v>1.532E-2</v>
      </c>
      <c r="X53" s="199"/>
      <c r="Y53" s="299"/>
      <c r="Z53" s="364">
        <f>'Rates in detail'!D46+'Rates in detail'!E46</f>
        <v>1.627E-2</v>
      </c>
      <c r="AA53" s="199"/>
      <c r="AB53" s="299"/>
      <c r="AC53" s="198">
        <f>+'Rates in summary'!R46</f>
        <v>1.54E-2</v>
      </c>
      <c r="AD53" s="199"/>
      <c r="AE53" s="105"/>
      <c r="AF53" s="199"/>
    </row>
    <row r="54" spans="1:35" x14ac:dyDescent="0.2">
      <c r="A54" s="43">
        <f t="shared" si="0"/>
        <v>48</v>
      </c>
      <c r="B54" s="68"/>
      <c r="C54" s="106" t="s">
        <v>159</v>
      </c>
      <c r="D54" s="107"/>
      <c r="E54" s="108"/>
      <c r="F54" s="109"/>
      <c r="G54" s="441"/>
      <c r="H54" s="441"/>
      <c r="I54" s="365"/>
      <c r="J54" s="336">
        <f>$H48+ROUND(IF($F48&lt;$E48,($F48*I48),IF($F48&lt;SUM($E48:$E49),(($E48*I48)+(($F48-$E48)*I49)),IF($F48&lt;SUM($E48:$E50),(($E48*I48)+($E49*I49)+(($F48-$E48-$E49)*I50)),IF($F48&lt;SUM($E48:$E51),(($E48*I48)+($E49*I49)+($E50*I50)+(($F48-SUM($E48:$E50))*I51)),IF($F48&lt;SUM($E48:$E52),(($E48*I48)+($E49*I49)+($E50*I50)+($E51*I51)+(($F48-SUM($E48:$E51))*I52)),(($E48*I48)+($E49*I49)+($E50*I50)+($E51*I50)+($E52*I52)+(($F48-SUM($E48:$E52))*I53))))))),2)</f>
        <v>8788.630000000001</v>
      </c>
      <c r="K54" s="333"/>
      <c r="L54" s="336">
        <f>$G48+ROUND(IF($F48&lt;$E48,($F48*K48),IF($F48&lt;SUM($E48:$E49),(($E48*K48)+(($F48-$E48)*K49)),IF($F48&lt;SUM($E48:$E50),(($E48*K48)+($E49*K49)+(($F48-$E48-$E49)*K50)),IF($F48&lt;SUM($E48:$E51),(($E48*K48)+($E49*K49)+($E50*K50)+(($F48-SUM($E48:$E50))*K51)),IF($F48&lt;SUM($E48:$E52),(($E48*K48)+($E49*K49)+($E50*K50)+($E51*K51)+(($F48-SUM($E48:$E51))*K52)),(($E48*K48)+($E49*K49)+($E50*K50)+($E51*K50)+($E52*K52)+(($F48-SUM($E48:$E52))*K53))))))),2)</f>
        <v>8788.630000000001</v>
      </c>
      <c r="M54" s="110">
        <f>ROUND((L54-J54)/J54,3)</f>
        <v>0</v>
      </c>
      <c r="N54" s="333"/>
      <c r="O54" s="336">
        <f>$G48+ROUND(IF($F48&lt;$E48,($F48*N48),IF($F48&lt;SUM($E48:$E49),(($E48*N48)+(($F48-$E48)*N49)),IF($F48&lt;SUM($E48:$E50),(($E48*N48)+($E49*N49)+(($F48-$E48-$E49)*N50)),IF($F48&lt;SUM($E48:$E51),(($E48*N48)+($E49*N49)+($E50*N50)+(($F48-SUM($E48:$E50))*N51)),IF($F48&lt;SUM($E48:$E52),(($E48*N48)+($E49*N49)+($E50*N50)+($E51*N51)+(($F48-SUM($E48:$E51))*N52)),(($E48*N48)+($E49*N49)+($E50*N50)+($E51*N50)+($E52*N52)+(($F48-SUM($E48:$E52))*N53))))))),2)</f>
        <v>8788.630000000001</v>
      </c>
      <c r="P54" s="110">
        <f>ROUND((O54-J54)/J54,3)</f>
        <v>0</v>
      </c>
      <c r="Q54" s="365"/>
      <c r="R54" s="336">
        <f>$G48+ROUND(IF($F48&lt;$E48,($F48*Q48),IF($F48&lt;SUM($E48:$E49),(($E48*Q48)+(($F48-$E48)*Q49)),IF($F48&lt;SUM($E48:$E50),(($E48*Q48)+($E49*Q49)+(($F48-$E48-$E49)*Q50)),IF($F48&lt;SUM($E48:$E51),(($E48*Q48)+($E49*Q49)+($E50*Q50)+(($F48-SUM($E48:$E50))*Q51)),IF($F48&lt;SUM($E48:$E52),(($E48*Q48)+($E49*Q49)+($E50*Q50)+($E51*Q51)+(($F48-SUM($E48:$E51))*Q52)),(($E48*Q48)+($E49*Q49)+($E50*Q50)+($E51*Q50)+($E52*Q52)+(($F48-SUM($E48:$E52))*Q53))))))),2)</f>
        <v>8788.630000000001</v>
      </c>
      <c r="S54" s="110">
        <f t="shared" si="11"/>
        <v>0</v>
      </c>
      <c r="T54" s="365"/>
      <c r="U54" s="336">
        <f>$G48+ROUND(IF($F48&lt;$E48,($F48*T48),IF($F48&lt;SUM($E48:$E49),(($E48*T48)+(($F48-$E48)*T49)),IF($F48&lt;SUM($E48:$E50),(($E48*T48)+($E49*T49)+(($F48-$E48-$E49)*T50)),IF($F48&lt;SUM($E48:$E51),(($E48*T48)+($E49*T49)+($E50*T50)+(($F48-SUM($E48:$E50))*T51)),IF($F48&lt;SUM($E48:$E52),(($E48*T48)+($E49*T49)+($E50*T50)+($E51*T51)+(($F48-SUM($E48:$E51))*T52)),(($E48*T48)+($E49*T49)+($E50*T50)+($E51*T50)+($E52*T52)+(($F48-SUM($E48:$E52))*T53))))))),2)</f>
        <v>9972.6</v>
      </c>
      <c r="V54" s="110">
        <f t="shared" si="12"/>
        <v>0.13500000000000001</v>
      </c>
      <c r="W54" s="365"/>
      <c r="X54" s="336">
        <f>$G48+ROUND(IF($F48&lt;$E48,($F48*W48),IF($F48&lt;SUM($E48:$E49),(($E48*W48)+(($F48-$E48)*W49)),IF($F48&lt;SUM($E48:$E50),(($E48*W48)+($E49*W49)+(($F48-$E48-$E49)*W50)),IF($F48&lt;SUM($E48:$E51),(($E48*W48)+($E49*W49)+($E50*W50)+(($F48-SUM($E48:$E50))*W51)),IF($F48&lt;SUM($E48:$E52),(($E48*W48)+($E49*W49)+($E50*W50)+($E51*W51)+(($F48-SUM($E48:$E51))*W52)),(($E48*W48)+($E49*W49)+($E50*W50)+($E51*W50)+($E52*W52)+(($F48-SUM($E48:$E52))*W53))))))),2)</f>
        <v>8398.869999999999</v>
      </c>
      <c r="Y54" s="110">
        <f t="shared" ref="Y54" si="31">ROUND((X54-J54)/J54,3)</f>
        <v>-4.3999999999999997E-2</v>
      </c>
      <c r="Z54" s="365"/>
      <c r="AA54" s="336">
        <f>$G48+ROUND(IF($F48&lt;$E48,($F48*Z48),IF($F48&lt;SUM($E48:$E49),(($E48*Z48)+(($F48-$E48)*Z49)),IF($F48&lt;SUM($E48:$E50),(($E48*Z48)+($E49*Z49)+(($F48-$E48-$E49)*Z50)),IF($F48&lt;SUM($E48:$E51),(($E48*Z48)+($E49*Z49)+($E50*Z50)+(($F48-SUM($E48:$E50))*Z51)),IF($F48&lt;SUM($E48:$E52),(($E48*Z48)+($E49*Z49)+($E50*Z50)+($E51*Z51)+(($F48-SUM($E48:$E51))*Z52)),(($E48*Z48)+($E49*Z49)+($E50*Z50)+($E51*Z50)+($E52*Z52)+(($F48-SUM($E48:$E52))*Z53))))))),2)</f>
        <v>10362.36</v>
      </c>
      <c r="AB54" s="110">
        <f>ROUND((AA54-J54)/J54,3)</f>
        <v>0.17899999999999999</v>
      </c>
      <c r="AC54" s="333"/>
      <c r="AD54" s="336">
        <f>$G48+ROUND(IF($F48&lt;$E48,($F48*AC48),IF($F48&lt;SUM($E48:$E49),(($E48*AC48)+(($F48-$E48)*AC49)),IF($F48&lt;SUM($E48:$E50),(($E48*AC48)+($E49*AC49)+(($F48-$E48-$E49)*AC50)),IF($F48&lt;SUM($E48:$E51),(($E48*AC48)+($E49*AC49)+($E50*AC50)+(($F48-SUM($E48:$E50))*AC51)),IF($F48&lt;SUM($E48:$E52),(($E48*AC48)+($E49*AC49)+($E50*AC50)+($E51*AC51)+(($F48-SUM($E48:$E51))*AC52)),(($E48*AC48)+($E49*AC49)+($E50*AC50)+($E51*AC50)+($E52*AC52)+(($F48-SUM($E48:$E52))*AC53))))))),2)</f>
        <v>9972.6</v>
      </c>
      <c r="AE54" s="110">
        <f>ROUND((AD54-J54)/J54,3)</f>
        <v>0.13500000000000001</v>
      </c>
      <c r="AF54" s="217">
        <f t="shared" ref="AF54" si="32">AA54-J54</f>
        <v>1573.7299999999996</v>
      </c>
      <c r="AH54" s="283"/>
      <c r="AI54" s="283"/>
    </row>
    <row r="55" spans="1:35" x14ac:dyDescent="0.2">
      <c r="A55" s="43">
        <f t="shared" si="0"/>
        <v>49</v>
      </c>
      <c r="B55" s="63" t="s">
        <v>246</v>
      </c>
      <c r="C55" s="18" t="s">
        <v>6</v>
      </c>
      <c r="D55" s="64">
        <f>+'Washington volumes'!F47</f>
        <v>240014.56328353498</v>
      </c>
      <c r="E55" s="64">
        <v>10000</v>
      </c>
      <c r="F55" s="104">
        <f>+'Washington volumes'!I47</f>
        <v>56179.215530000001</v>
      </c>
      <c r="G55" s="440">
        <v>1300</v>
      </c>
      <c r="H55" s="440">
        <v>1300</v>
      </c>
      <c r="I55" s="364">
        <f>+'Rates in summary'!D47</f>
        <v>0.31897999999999999</v>
      </c>
      <c r="J55" s="199"/>
      <c r="K55" s="198">
        <f>'Rates in summary'!D47+Temporaries!K47-Temporaries!AZ47</f>
        <v>0.31897999999999999</v>
      </c>
      <c r="L55" s="199"/>
      <c r="M55" s="299"/>
      <c r="N55" s="198">
        <f>'Rates in summary'!D47+Temporaries!L47+Temporaries!V47-Temporaries!BA47</f>
        <v>0.31897999999999999</v>
      </c>
      <c r="O55" s="199"/>
      <c r="P55" s="299"/>
      <c r="Q55" s="364">
        <f>'Rates in summary'!D47+Temporaries!W47-Temporaries!BC47</f>
        <v>0.31897999999999999</v>
      </c>
      <c r="R55" s="199"/>
      <c r="S55" s="299"/>
      <c r="T55" s="364">
        <f>'Rates in summary'!H47+'Rates in summary'!Q47+Temporaries!J47</f>
        <v>0.31869999999999998</v>
      </c>
      <c r="U55" s="199"/>
      <c r="V55" s="299"/>
      <c r="W55" s="364">
        <f>'Rates in summary'!D47+'Rates in summary'!Q47-Temporaries!BD47</f>
        <v>0.31236999999999998</v>
      </c>
      <c r="X55" s="199"/>
      <c r="Y55" s="299"/>
      <c r="Z55" s="364">
        <f>'Rates in detail'!D47+'Rates in detail'!E47</f>
        <v>0.34440999999999999</v>
      </c>
      <c r="AA55" s="199"/>
      <c r="AB55" s="299"/>
      <c r="AC55" s="198">
        <f>+'Rates in summary'!R47</f>
        <v>0.33779999999999999</v>
      </c>
      <c r="AD55" s="199"/>
      <c r="AE55" s="264"/>
      <c r="AF55" s="199"/>
    </row>
    <row r="56" spans="1:35" x14ac:dyDescent="0.2">
      <c r="A56" s="43">
        <f t="shared" si="0"/>
        <v>50</v>
      </c>
      <c r="B56" s="63"/>
      <c r="C56" s="18" t="s">
        <v>7</v>
      </c>
      <c r="D56" s="64">
        <f>+'Washington volumes'!F48</f>
        <v>472188.31633306126</v>
      </c>
      <c r="E56" s="64">
        <v>20000</v>
      </c>
      <c r="F56" s="149"/>
      <c r="G56" s="442"/>
      <c r="H56" s="442"/>
      <c r="I56" s="364">
        <f>+'Rates in summary'!D48</f>
        <v>0.30522999999999989</v>
      </c>
      <c r="J56" s="199"/>
      <c r="K56" s="198">
        <f>'Rates in summary'!D48+Temporaries!K48-Temporaries!AZ48</f>
        <v>0.30522999999999989</v>
      </c>
      <c r="L56" s="199"/>
      <c r="M56" s="299"/>
      <c r="N56" s="198">
        <f>'Rates in summary'!D48+Temporaries!L48+Temporaries!V48-Temporaries!BA48</f>
        <v>0.30522999999999989</v>
      </c>
      <c r="O56" s="199"/>
      <c r="P56" s="299"/>
      <c r="Q56" s="364">
        <f>'Rates in summary'!D48+Temporaries!W48-Temporaries!BC48</f>
        <v>0.30522999999999989</v>
      </c>
      <c r="R56" s="199"/>
      <c r="S56" s="299"/>
      <c r="T56" s="364">
        <f>'Rates in summary'!H48+'Rates in summary'!Q48+Temporaries!J48</f>
        <v>0.3029099999999999</v>
      </c>
      <c r="U56" s="199"/>
      <c r="V56" s="299"/>
      <c r="W56" s="364">
        <f>'Rates in summary'!D48+'Rates in summary'!Q48-Temporaries!BD48</f>
        <v>0.29930999999999991</v>
      </c>
      <c r="X56" s="199"/>
      <c r="Y56" s="299"/>
      <c r="Z56" s="364">
        <f>'Rates in detail'!D48+'Rates in detail'!E48</f>
        <v>0.32792999999999989</v>
      </c>
      <c r="AA56" s="199"/>
      <c r="AB56" s="299"/>
      <c r="AC56" s="198">
        <f>+'Rates in summary'!R48</f>
        <v>0.32200999999999991</v>
      </c>
      <c r="AD56" s="199"/>
      <c r="AE56" s="264"/>
      <c r="AF56" s="199"/>
    </row>
    <row r="57" spans="1:35" x14ac:dyDescent="0.2">
      <c r="A57" s="43">
        <f t="shared" si="0"/>
        <v>51</v>
      </c>
      <c r="B57" s="63"/>
      <c r="C57" s="18" t="s">
        <v>8</v>
      </c>
      <c r="D57" s="64">
        <f>+'Washington volumes'!F49</f>
        <v>247080</v>
      </c>
      <c r="E57" s="64">
        <v>20000</v>
      </c>
      <c r="F57" s="149"/>
      <c r="G57" s="442"/>
      <c r="H57" s="442"/>
      <c r="I57" s="364">
        <f>+'Rates in summary'!D49</f>
        <v>0.27787000000000012</v>
      </c>
      <c r="J57" s="199"/>
      <c r="K57" s="198">
        <f>'Rates in summary'!D49+Temporaries!K49-Temporaries!AZ49</f>
        <v>0.27787000000000012</v>
      </c>
      <c r="L57" s="199"/>
      <c r="M57" s="299"/>
      <c r="N57" s="198">
        <f>'Rates in summary'!D49+Temporaries!L49+Temporaries!V49-Temporaries!BA49</f>
        <v>0.27787000000000012</v>
      </c>
      <c r="O57" s="199"/>
      <c r="P57" s="299"/>
      <c r="Q57" s="364">
        <f>'Rates in summary'!D49+Temporaries!W49-Temporaries!BC49</f>
        <v>0.27787000000000012</v>
      </c>
      <c r="R57" s="199"/>
      <c r="S57" s="299"/>
      <c r="T57" s="364">
        <f>'Rates in summary'!H49+'Rates in summary'!Q49+Temporaries!J49</f>
        <v>0.27155000000000012</v>
      </c>
      <c r="U57" s="199"/>
      <c r="V57" s="299"/>
      <c r="W57" s="364">
        <f>'Rates in summary'!D49+'Rates in summary'!Q49-Temporaries!BD49</f>
        <v>0.27334000000000014</v>
      </c>
      <c r="X57" s="199"/>
      <c r="Y57" s="299"/>
      <c r="Z57" s="364">
        <f>'Rates in detail'!D49+'Rates in detail'!E49</f>
        <v>0.29518000000000011</v>
      </c>
      <c r="AA57" s="199"/>
      <c r="AB57" s="299"/>
      <c r="AC57" s="198">
        <f>+'Rates in summary'!R49</f>
        <v>0.29065000000000013</v>
      </c>
      <c r="AD57" s="199"/>
      <c r="AE57" s="264"/>
      <c r="AF57" s="199"/>
    </row>
    <row r="58" spans="1:35" x14ac:dyDescent="0.2">
      <c r="A58" s="43">
        <f t="shared" si="0"/>
        <v>52</v>
      </c>
      <c r="B58" s="63"/>
      <c r="C58" s="18" t="s">
        <v>9</v>
      </c>
      <c r="D58" s="64">
        <f>+'Washington volumes'!F50</f>
        <v>51943</v>
      </c>
      <c r="E58" s="64">
        <v>100000</v>
      </c>
      <c r="F58" s="149"/>
      <c r="G58" s="442"/>
      <c r="H58" s="442"/>
      <c r="I58" s="364">
        <f>+'Rates in summary'!D50</f>
        <v>0.25987999999999994</v>
      </c>
      <c r="J58" s="199"/>
      <c r="K58" s="198">
        <f>'Rates in summary'!D50+Temporaries!K50-Temporaries!AZ50</f>
        <v>0.25987999999999994</v>
      </c>
      <c r="L58" s="199"/>
      <c r="M58" s="299"/>
      <c r="N58" s="198">
        <f>'Rates in summary'!D50+Temporaries!L50+Temporaries!V50-Temporaries!BA50</f>
        <v>0.25987999999999994</v>
      </c>
      <c r="O58" s="199"/>
      <c r="P58" s="299"/>
      <c r="Q58" s="364">
        <f>'Rates in summary'!D50+Temporaries!W50-Temporaries!BC50</f>
        <v>0.25987999999999994</v>
      </c>
      <c r="R58" s="199"/>
      <c r="S58" s="299"/>
      <c r="T58" s="364">
        <f>'Rates in summary'!H50+'Rates in summary'!Q50+Temporaries!J50</f>
        <v>0.25094999999999995</v>
      </c>
      <c r="U58" s="199"/>
      <c r="V58" s="299"/>
      <c r="W58" s="364">
        <f>'Rates in summary'!D50+'Rates in summary'!Q50-Temporaries!BD50</f>
        <v>0.25623999999999997</v>
      </c>
      <c r="X58" s="199"/>
      <c r="Y58" s="299"/>
      <c r="Z58" s="364">
        <f>'Rates in detail'!D50+'Rates in detail'!E50</f>
        <v>0.27368999999999993</v>
      </c>
      <c r="AA58" s="199"/>
      <c r="AB58" s="299"/>
      <c r="AC58" s="198">
        <f>+'Rates in summary'!R50</f>
        <v>0.27004999999999996</v>
      </c>
      <c r="AD58" s="199"/>
      <c r="AE58" s="264"/>
      <c r="AF58" s="199"/>
      <c r="AG58" s="19"/>
    </row>
    <row r="59" spans="1:35" x14ac:dyDescent="0.2">
      <c r="A59" s="43">
        <f t="shared" si="0"/>
        <v>53</v>
      </c>
      <c r="B59" s="63"/>
      <c r="C59" s="18" t="s">
        <v>10</v>
      </c>
      <c r="D59" s="64">
        <f>+'Washington volumes'!F51</f>
        <v>0</v>
      </c>
      <c r="E59" s="64">
        <v>600000</v>
      </c>
      <c r="F59" s="149"/>
      <c r="G59" s="442"/>
      <c r="H59" s="442"/>
      <c r="I59" s="364">
        <f>+'Rates in summary'!D51</f>
        <v>0.23588000000000003</v>
      </c>
      <c r="J59" s="199"/>
      <c r="K59" s="198">
        <f>'Rates in summary'!D51+Temporaries!K51-Temporaries!AZ51</f>
        <v>0.23588000000000003</v>
      </c>
      <c r="L59" s="199"/>
      <c r="M59" s="299"/>
      <c r="N59" s="198">
        <f>'Rates in summary'!D51+Temporaries!L51+Temporaries!V51-Temporaries!BA51</f>
        <v>0.23588000000000003</v>
      </c>
      <c r="O59" s="199"/>
      <c r="P59" s="299"/>
      <c r="Q59" s="364">
        <f>'Rates in summary'!D51+Temporaries!W51-Temporaries!BC51</f>
        <v>0.23588000000000003</v>
      </c>
      <c r="R59" s="199"/>
      <c r="S59" s="299"/>
      <c r="T59" s="364">
        <f>'Rates in summary'!H51+'Rates in summary'!Q51+Temporaries!J51</f>
        <v>0.22357000000000002</v>
      </c>
      <c r="U59" s="199"/>
      <c r="V59" s="299"/>
      <c r="W59" s="364">
        <f>'Rates in summary'!D51+'Rates in summary'!Q51-Temporaries!BD51</f>
        <v>0.23346000000000003</v>
      </c>
      <c r="X59" s="199"/>
      <c r="Y59" s="299"/>
      <c r="Z59" s="364">
        <f>'Rates in detail'!D51+'Rates in detail'!E51</f>
        <v>0.24509000000000003</v>
      </c>
      <c r="AA59" s="199"/>
      <c r="AB59" s="299"/>
      <c r="AC59" s="198">
        <f>+'Rates in summary'!R51</f>
        <v>0.24267000000000002</v>
      </c>
      <c r="AD59" s="199"/>
      <c r="AE59" s="264"/>
      <c r="AF59" s="199"/>
    </row>
    <row r="60" spans="1:35" x14ac:dyDescent="0.2">
      <c r="A60" s="43">
        <f t="shared" si="0"/>
        <v>54</v>
      </c>
      <c r="B60" s="63"/>
      <c r="C60" s="18" t="s">
        <v>11</v>
      </c>
      <c r="D60" s="64">
        <f>+'Washington volumes'!F52</f>
        <v>0</v>
      </c>
      <c r="E60" s="103" t="s">
        <v>155</v>
      </c>
      <c r="F60" s="149"/>
      <c r="G60" s="442"/>
      <c r="H60" s="442"/>
      <c r="I60" s="364">
        <f>+'Rates in summary'!D52</f>
        <v>0.20589999999999992</v>
      </c>
      <c r="J60" s="199"/>
      <c r="K60" s="198">
        <f>'Rates in summary'!D52+Temporaries!K52-Temporaries!AZ52</f>
        <v>0.20589999999999992</v>
      </c>
      <c r="L60" s="199"/>
      <c r="M60" s="299"/>
      <c r="N60" s="198">
        <f>'Rates in summary'!D52+Temporaries!L52+Temporaries!V52-Temporaries!BA52</f>
        <v>0.20589999999999992</v>
      </c>
      <c r="O60" s="199"/>
      <c r="P60" s="299"/>
      <c r="Q60" s="364">
        <f>'Rates in summary'!D52+Temporaries!W52-Temporaries!BC52</f>
        <v>0.20589999999999992</v>
      </c>
      <c r="R60" s="199"/>
      <c r="S60" s="299"/>
      <c r="T60" s="364">
        <f>'Rates in summary'!H52+'Rates in summary'!Q52+Temporaries!J52</f>
        <v>0.18590999999999991</v>
      </c>
      <c r="U60" s="199"/>
      <c r="V60" s="299"/>
      <c r="W60" s="364">
        <f>'Rates in summary'!D52+'Rates in summary'!Q52-Temporaries!BD52</f>
        <v>0.20498999999999992</v>
      </c>
      <c r="X60" s="199"/>
      <c r="Y60" s="299"/>
      <c r="Z60" s="364">
        <f>'Rates in detail'!D52+'Rates in detail'!E52</f>
        <v>0.20591999999999991</v>
      </c>
      <c r="AA60" s="199"/>
      <c r="AB60" s="299"/>
      <c r="AC60" s="198">
        <f>+'Rates in summary'!R52</f>
        <v>0.20500999999999991</v>
      </c>
      <c r="AD60" s="199"/>
      <c r="AE60" s="264"/>
      <c r="AF60" s="199"/>
    </row>
    <row r="61" spans="1:35" x14ac:dyDescent="0.2">
      <c r="A61" s="43">
        <f t="shared" si="0"/>
        <v>55</v>
      </c>
      <c r="B61" s="68"/>
      <c r="C61" s="106" t="s">
        <v>159</v>
      </c>
      <c r="D61" s="107"/>
      <c r="E61" s="108"/>
      <c r="F61" s="109"/>
      <c r="G61" s="441"/>
      <c r="H61" s="441"/>
      <c r="I61" s="365"/>
      <c r="J61" s="336">
        <f>$H55+ROUND(IF($F55&lt;$E55,($F55*I55),IF($F55&lt;SUM($E55:$E56),(($E55*I55)+(($F55-$E55)*I56)),IF($F55&lt;SUM($E55:$E57),(($E55*I55)+($E56*I56)+(($F55-$E55-$E56)*I57)),IF($F55&lt;SUM($E55:$E58),(($E55*I55)+($E56*I56)+($E57*I57)+(($F55-SUM($E55:$E57))*I58)),IF($F55&lt;SUM($E55:$E59),(($E55*I55)+($E56*I56)+($E57*I57)+($E58*I58)+(($F55-SUM($E55:$E58))*I59)),(($E55*I55)+($E56*I56)+($E57*I57)+($E58*I57)+($E59*I59)+(($F55-SUM($E55:$E59))*I60))))))),2)</f>
        <v>17757.650000000001</v>
      </c>
      <c r="K61" s="333"/>
      <c r="L61" s="336">
        <f>$G55+ROUND(IF($F55&lt;$E55,($F55*K55),IF($F55&lt;SUM($E55:$E56),(($E55*K55)+(($F55-$E55)*K56)),IF($F55&lt;SUM($E55:$E57),(($E55*K55)+($E56*K56)+(($F55-$E55-$E56)*K57)),IF($F55&lt;SUM($E55:$E58),(($E55*K55)+($E56*K56)+($E57*K57)+(($F55-SUM($E55:$E57))*K58)),IF($F55&lt;SUM($E55:$E59),(($E55*K55)+($E56*K56)+($E57*K57)+($E58*K58)+(($F55-SUM($E55:$E58))*K59)),(($E55*K55)+($E56*K56)+($E57*K57)+($E58*K57)+($E59*K59)+(($F55-SUM($E55:$E59))*K60))))))),2)</f>
        <v>17757.650000000001</v>
      </c>
      <c r="M61" s="110">
        <f>ROUND((L61-J61)/J61,3)</f>
        <v>0</v>
      </c>
      <c r="N61" s="333"/>
      <c r="O61" s="336">
        <f>$G55+ROUND(IF($F55&lt;$E55,($F55*N55),IF($F55&lt;SUM($E55:$E56),(($E55*N55)+(($F55-$E55)*N56)),IF($F55&lt;SUM($E55:$E57),(($E55*N55)+($E56*N56)+(($F55-$E55-$E56)*N57)),IF($F55&lt;SUM($E55:$E58),(($E55*N55)+($E56*N56)+($E57*N57)+(($F55-SUM($E55:$E57))*N58)),IF($F55&lt;SUM($E55:$E59),(($E55*N55)+($E56*N56)+($E57*N57)+($E58*N58)+(($F55-SUM($E55:$E58))*N59)),(($E55*N55)+($E56*N56)+($E57*N57)+($E58*N57)+($E59*N59)+(($F55-SUM($E55:$E59))*N60))))))),2)</f>
        <v>17757.650000000001</v>
      </c>
      <c r="P61" s="110">
        <f>ROUND((O61-J61)/J61,3)</f>
        <v>0</v>
      </c>
      <c r="Q61" s="365"/>
      <c r="R61" s="336">
        <f>$G55+ROUND(IF($F55&lt;$E55,($F55*Q55),IF($F55&lt;SUM($E55:$E56),(($E55*Q55)+(($F55-$E55)*Q56)),IF($F55&lt;SUM($E55:$E57),(($E55*Q55)+($E56*Q56)+(($F55-$E55-$E56)*Q57)),IF($F55&lt;SUM($E55:$E58),(($E55*Q55)+($E56*Q56)+($E57*Q57)+(($F55-SUM($E55:$E57))*Q58)),IF($F55&lt;SUM($E55:$E59),(($E55*Q55)+($E56*Q56)+($E57*Q57)+($E58*Q58)+(($F55-SUM($E55:$E58))*Q59)),(($E55*Q55)+($E56*Q56)+($E57*Q57)+($E58*Q57)+($E59*Q59)+(($F55-SUM($E55:$E59))*Q60))))))),2)</f>
        <v>17757.650000000001</v>
      </c>
      <c r="S61" s="110">
        <f t="shared" si="11"/>
        <v>0</v>
      </c>
      <c r="T61" s="365"/>
      <c r="U61" s="336">
        <f>$G55+ROUND(IF($F55&lt;$E55,($F55*T55),IF($F55&lt;SUM($E55:$E56),(($E55*T55)+(($F55-$E55)*T56)),IF($F55&lt;SUM($E55:$E57),(($E55*T55)+($E56*T56)+(($F55-$E55-$E56)*T57)),IF($F55&lt;SUM($E55:$E58),(($E55*T55)+($E56*T56)+($E57*T57)+(($F55-SUM($E55:$E57))*T58)),IF($F55&lt;SUM($E55:$E59),(($E55*T55)+($E56*T56)+($E57*T57)+($E58*T58)+(($F55-SUM($E55:$E58))*T59)),(($E55*T55)+($E56*T56)+($E57*T57)+($E58*T57)+($E59*T59)+(($F55-SUM($E55:$E59))*T60))))))),2)</f>
        <v>17526.870000000003</v>
      </c>
      <c r="V61" s="110">
        <f t="shared" si="12"/>
        <v>-1.2999999999999999E-2</v>
      </c>
      <c r="W61" s="365"/>
      <c r="X61" s="336">
        <f>$G55+ROUND(IF($F55&lt;$E55,($F55*W55),IF($F55&lt;SUM($E55:$E56),(($E55*W55)+(($F55-$E55)*W56)),IF($F55&lt;SUM($E55:$E57),(($E55*W55)+($E56*W56)+(($F55-$E55-$E56)*W57)),IF($F55&lt;SUM($E55:$E58),(($E55*W55)+($E56*W56)+($E57*W57)+(($F55-SUM($E55:$E57))*W58)),IF($F55&lt;SUM($E55:$E59),(($E55*W55)+($E56*W56)+($E57*W57)+($E58*W58)+(($F55-SUM($E55:$E58))*W59)),(($E55*W55)+($E56*W56)+($E57*W57)+($E58*W57)+($E59*W59)+(($F55-SUM($E55:$E59))*W60))))))),2)</f>
        <v>17460.059999999998</v>
      </c>
      <c r="Y61" s="110">
        <f t="shared" ref="Y61" si="33">ROUND((X61-J61)/J61,3)</f>
        <v>-1.7000000000000001E-2</v>
      </c>
      <c r="Z61" s="365"/>
      <c r="AA61" s="336">
        <f>$G55+ROUND(IF($F55&lt;$E55,($F55*Z55),IF($F55&lt;SUM($E55:$E56),(($E55*Z55)+(($F55-$E55)*Z56)),IF($F55&lt;SUM($E55:$E57),(($E55*Z55)+($E56*Z56)+(($F55-$E55-$E56)*Z57)),IF($F55&lt;SUM($E55:$E58),(($E55*Z55)+($E56*Z56)+($E57*Z57)+(($F55-SUM($E55:$E57))*Z58)),IF($F55&lt;SUM($E55:$E59),(($E55*Z55)+($E56*Z56)+($E57*Z57)+($E58*Z58)+(($F55-SUM($E55:$E58))*Z59)),(($E55*Z55)+($E56*Z56)+($E57*Z57)+($E58*Z57)+($E59*Z59)+(($F55-SUM($E55:$E59))*Z60))))))),2)</f>
        <v>18897.490000000002</v>
      </c>
      <c r="AB61" s="110">
        <f>ROUND((AA61-J61)/J61,3)</f>
        <v>6.4000000000000001E-2</v>
      </c>
      <c r="AC61" s="333"/>
      <c r="AD61" s="336">
        <f>$G55+ROUND(IF($F55&lt;$E55,($F55*AC55),IF($F55&lt;SUM($E55:$E56),(($E55*AC55)+(($F55-$E55)*AC56)),IF($F55&lt;SUM($E55:$E57),(($E55*AC55)+($E56*AC56)+(($F55-$E55-$E56)*AC57)),IF($F55&lt;SUM($E55:$E58),(($E55*AC55)+($E56*AC56)+($E57*AC57)+(($F55-SUM($E55:$E57))*AC58)),IF($F55&lt;SUM($E55:$E59),(($E55*AC55)+($E56*AC56)+($E57*AC57)+($E58*AC58)+(($F55-SUM($E55:$E58))*AC59)),(($E55*AC55)+($E56*AC56)+($E57*AC57)+($E58*AC57)+($E59*AC59)+(($F55-SUM($E55:$E59))*AC60))))))),2)</f>
        <v>18599.900000000001</v>
      </c>
      <c r="AE61" s="110">
        <f>ROUND((AD61-J61)/J61,3)</f>
        <v>4.7E-2</v>
      </c>
      <c r="AF61" s="217">
        <f t="shared" ref="AF61" si="34">AA61-J61</f>
        <v>1139.8400000000001</v>
      </c>
      <c r="AH61" s="283"/>
      <c r="AI61" s="283"/>
    </row>
    <row r="62" spans="1:35" x14ac:dyDescent="0.2">
      <c r="A62" s="43">
        <f t="shared" si="0"/>
        <v>56</v>
      </c>
      <c r="B62" s="63" t="s">
        <v>247</v>
      </c>
      <c r="C62" s="18" t="s">
        <v>6</v>
      </c>
      <c r="D62" s="64">
        <f>+'Washington volumes'!F53</f>
        <v>172005.43671646502</v>
      </c>
      <c r="E62" s="64">
        <v>10000</v>
      </c>
      <c r="F62" s="104">
        <f>+'Washington volumes'!I53</f>
        <v>25664.343369999999</v>
      </c>
      <c r="G62" s="440">
        <v>1300</v>
      </c>
      <c r="H62" s="440">
        <v>1300</v>
      </c>
      <c r="I62" s="364">
        <f>+'Rates in summary'!D53</f>
        <v>0.30886999999999998</v>
      </c>
      <c r="J62" s="199"/>
      <c r="K62" s="198">
        <f>'Rates in summary'!D53+Temporaries!K53-Temporaries!AZ53</f>
        <v>0.30886999999999998</v>
      </c>
      <c r="L62" s="199"/>
      <c r="M62" s="299"/>
      <c r="N62" s="198">
        <f>'Rates in summary'!D53+Temporaries!L53+Temporaries!V53-Temporaries!BA53</f>
        <v>0.30886999999999992</v>
      </c>
      <c r="O62" s="199"/>
      <c r="P62" s="299"/>
      <c r="Q62" s="364">
        <f>'Rates in summary'!D53+Temporaries!W53-Temporaries!BC53</f>
        <v>0.30886999999999998</v>
      </c>
      <c r="R62" s="199"/>
      <c r="S62" s="299"/>
      <c r="T62" s="364">
        <f>'Rates in summary'!H53+'Rates in summary'!Q53+Temporaries!J53</f>
        <v>0.30645999999999995</v>
      </c>
      <c r="U62" s="199"/>
      <c r="V62" s="299"/>
      <c r="W62" s="364">
        <f>'Rates in summary'!D53+'Rates in summary'!Q53-Temporaries!BD53</f>
        <v>0.30026999999999998</v>
      </c>
      <c r="X62" s="199"/>
      <c r="Y62" s="299"/>
      <c r="Z62" s="364">
        <f>'Rates in detail'!D53+'Rates in detail'!E53</f>
        <v>0.33415999999999996</v>
      </c>
      <c r="AA62" s="199"/>
      <c r="AB62" s="299"/>
      <c r="AC62" s="198">
        <f>+'Rates in summary'!R53</f>
        <v>0.32555999999999996</v>
      </c>
      <c r="AD62" s="199"/>
      <c r="AE62" s="105"/>
      <c r="AF62" s="199"/>
      <c r="AG62" s="292"/>
    </row>
    <row r="63" spans="1:35" x14ac:dyDescent="0.2">
      <c r="A63" s="43">
        <f t="shared" si="0"/>
        <v>57</v>
      </c>
      <c r="B63" s="63"/>
      <c r="C63" s="18" t="s">
        <v>7</v>
      </c>
      <c r="D63" s="64">
        <f>+'Washington volumes'!F54</f>
        <v>135966.68366693874</v>
      </c>
      <c r="E63" s="64">
        <v>20000</v>
      </c>
      <c r="F63" s="104"/>
      <c r="G63" s="440"/>
      <c r="H63" s="440"/>
      <c r="I63" s="364">
        <f>+'Rates in summary'!D54</f>
        <v>0.29617999999999989</v>
      </c>
      <c r="J63" s="199"/>
      <c r="K63" s="198">
        <f>'Rates in summary'!D54+Temporaries!K54-Temporaries!AZ54</f>
        <v>0.29617999999999989</v>
      </c>
      <c r="L63" s="199"/>
      <c r="M63" s="299"/>
      <c r="N63" s="198">
        <f>'Rates in summary'!D54+Temporaries!L54+Temporaries!V54-Temporaries!BA54</f>
        <v>0.29617999999999989</v>
      </c>
      <c r="O63" s="199"/>
      <c r="P63" s="299"/>
      <c r="Q63" s="364">
        <f>'Rates in summary'!D54+Temporaries!W54-Temporaries!BC54</f>
        <v>0.29617999999999989</v>
      </c>
      <c r="R63" s="199"/>
      <c r="S63" s="299"/>
      <c r="T63" s="364">
        <f>'Rates in summary'!H54+'Rates in summary'!Q54+Temporaries!J54</f>
        <v>0.29195999999999989</v>
      </c>
      <c r="U63" s="199"/>
      <c r="V63" s="299"/>
      <c r="W63" s="364">
        <f>'Rates in summary'!D54+'Rates in summary'!Q54-Temporaries!BD54</f>
        <v>0.28848999999999991</v>
      </c>
      <c r="X63" s="199"/>
      <c r="Y63" s="299"/>
      <c r="Z63" s="364">
        <f>'Rates in detail'!D54+'Rates in detail'!E54</f>
        <v>0.31874999999999987</v>
      </c>
      <c r="AA63" s="199"/>
      <c r="AB63" s="299"/>
      <c r="AC63" s="198">
        <f>+'Rates in summary'!R54</f>
        <v>0.31105999999999989</v>
      </c>
      <c r="AD63" s="199"/>
      <c r="AE63" s="105"/>
      <c r="AF63" s="199"/>
      <c r="AG63" s="292"/>
    </row>
    <row r="64" spans="1:35" x14ac:dyDescent="0.2">
      <c r="A64" s="43">
        <f t="shared" si="0"/>
        <v>58</v>
      </c>
      <c r="B64" s="63"/>
      <c r="C64" s="18" t="s">
        <v>8</v>
      </c>
      <c r="D64" s="64">
        <f>+'Washington volumes'!F55</f>
        <v>0</v>
      </c>
      <c r="E64" s="64">
        <v>20000</v>
      </c>
      <c r="F64" s="104"/>
      <c r="G64" s="440"/>
      <c r="H64" s="440"/>
      <c r="I64" s="364">
        <f>+'Rates in summary'!D55</f>
        <v>0.27094000000000007</v>
      </c>
      <c r="J64" s="199"/>
      <c r="K64" s="198">
        <f>'Rates in summary'!D55+Temporaries!K55-Temporaries!AZ55</f>
        <v>0.27094000000000007</v>
      </c>
      <c r="L64" s="199"/>
      <c r="M64" s="299"/>
      <c r="N64" s="198">
        <f>'Rates in summary'!D55+Temporaries!L55+Temporaries!V55-Temporaries!BA55</f>
        <v>0.27094000000000007</v>
      </c>
      <c r="O64" s="199"/>
      <c r="P64" s="299"/>
      <c r="Q64" s="364">
        <f>'Rates in summary'!D55+Temporaries!W55-Temporaries!BC55</f>
        <v>0.27094000000000007</v>
      </c>
      <c r="R64" s="199"/>
      <c r="S64" s="299"/>
      <c r="T64" s="364">
        <f>'Rates in summary'!H55+'Rates in summary'!Q55+Temporaries!J55</f>
        <v>0.26315000000000005</v>
      </c>
      <c r="U64" s="199"/>
      <c r="V64" s="299"/>
      <c r="W64" s="364">
        <f>'Rates in summary'!D55+'Rates in summary'!Q55-Temporaries!BD55</f>
        <v>0.26504000000000005</v>
      </c>
      <c r="X64" s="199"/>
      <c r="Y64" s="299"/>
      <c r="Z64" s="364">
        <f>'Rates in detail'!D55+'Rates in detail'!E55</f>
        <v>0.28815000000000007</v>
      </c>
      <c r="AA64" s="199"/>
      <c r="AB64" s="299"/>
      <c r="AC64" s="198">
        <f>+'Rates in summary'!R55</f>
        <v>0.28225000000000006</v>
      </c>
      <c r="AD64" s="199"/>
      <c r="AE64" s="105"/>
      <c r="AF64" s="199"/>
      <c r="AG64" s="19"/>
    </row>
    <row r="65" spans="1:35" x14ac:dyDescent="0.2">
      <c r="A65" s="43">
        <f t="shared" si="0"/>
        <v>59</v>
      </c>
      <c r="B65" s="63"/>
      <c r="C65" s="18" t="s">
        <v>9</v>
      </c>
      <c r="D65" s="64">
        <f>+'Washington volumes'!F56</f>
        <v>0</v>
      </c>
      <c r="E65" s="64">
        <v>100000</v>
      </c>
      <c r="F65" s="104"/>
      <c r="G65" s="440"/>
      <c r="H65" s="440"/>
      <c r="I65" s="364">
        <f>+'Rates in summary'!D56</f>
        <v>0.25432999999999983</v>
      </c>
      <c r="J65" s="199"/>
      <c r="K65" s="198">
        <f>'Rates in summary'!D56+Temporaries!K56-Temporaries!AZ56</f>
        <v>0.25432999999999983</v>
      </c>
      <c r="L65" s="199"/>
      <c r="M65" s="299"/>
      <c r="N65" s="198">
        <f>'Rates in summary'!D56+Temporaries!L56+Temporaries!V56-Temporaries!BA56</f>
        <v>0.25432999999999983</v>
      </c>
      <c r="O65" s="199"/>
      <c r="P65" s="299"/>
      <c r="Q65" s="364">
        <f>'Rates in summary'!D56+Temporaries!W56-Temporaries!BC56</f>
        <v>0.25432999999999983</v>
      </c>
      <c r="R65" s="199"/>
      <c r="S65" s="299"/>
      <c r="T65" s="364">
        <f>'Rates in summary'!H56+'Rates in summary'!Q56+Temporaries!J56</f>
        <v>0.24423999999999985</v>
      </c>
      <c r="U65" s="199"/>
      <c r="V65" s="299"/>
      <c r="W65" s="364">
        <f>'Rates in summary'!D56+'Rates in summary'!Q56-Temporaries!BD56</f>
        <v>0.24960999999999983</v>
      </c>
      <c r="X65" s="199"/>
      <c r="Y65" s="299"/>
      <c r="Z65" s="364">
        <f>'Rates in detail'!D56+'Rates in detail'!E56</f>
        <v>0.26805999999999985</v>
      </c>
      <c r="AA65" s="199"/>
      <c r="AB65" s="299"/>
      <c r="AC65" s="198">
        <f>+'Rates in summary'!R56</f>
        <v>0.26333999999999985</v>
      </c>
      <c r="AD65" s="199"/>
      <c r="AE65" s="105"/>
      <c r="AF65" s="199"/>
    </row>
    <row r="66" spans="1:35" x14ac:dyDescent="0.2">
      <c r="A66" s="43">
        <f t="shared" si="0"/>
        <v>60</v>
      </c>
      <c r="B66" s="63"/>
      <c r="C66" s="18" t="s">
        <v>10</v>
      </c>
      <c r="D66" s="64">
        <f>+'Washington volumes'!F57</f>
        <v>0</v>
      </c>
      <c r="E66" s="64">
        <v>600000</v>
      </c>
      <c r="F66" s="104"/>
      <c r="G66" s="440"/>
      <c r="H66" s="440"/>
      <c r="I66" s="364">
        <f>+'Rates in summary'!D57</f>
        <v>0.23218000000000003</v>
      </c>
      <c r="J66" s="199"/>
      <c r="K66" s="198">
        <f>'Rates in summary'!D57+Temporaries!K57-Temporaries!AZ57</f>
        <v>0.23218000000000003</v>
      </c>
      <c r="L66" s="199"/>
      <c r="M66" s="299"/>
      <c r="N66" s="198">
        <f>'Rates in summary'!D57+Temporaries!L57+Temporaries!V57-Temporaries!BA57</f>
        <v>0.23218000000000005</v>
      </c>
      <c r="O66" s="199"/>
      <c r="P66" s="299"/>
      <c r="Q66" s="364">
        <f>'Rates in summary'!D57+Temporaries!W57-Temporaries!BC57</f>
        <v>0.23218000000000003</v>
      </c>
      <c r="R66" s="199"/>
      <c r="S66" s="299"/>
      <c r="T66" s="364">
        <f>'Rates in summary'!H57+'Rates in summary'!Q57+Temporaries!J57</f>
        <v>0.21909000000000001</v>
      </c>
      <c r="U66" s="199"/>
      <c r="V66" s="299"/>
      <c r="W66" s="364">
        <f>'Rates in summary'!D57+'Rates in summary'!Q57-Temporaries!BD57</f>
        <v>0.22903000000000001</v>
      </c>
      <c r="X66" s="199"/>
      <c r="Y66" s="299"/>
      <c r="Z66" s="364">
        <f>'Rates in detail'!D57+'Rates in detail'!E57</f>
        <v>0.24134000000000003</v>
      </c>
      <c r="AA66" s="199"/>
      <c r="AB66" s="299"/>
      <c r="AC66" s="198">
        <f>+'Rates in summary'!R57</f>
        <v>0.23819000000000001</v>
      </c>
      <c r="AD66" s="199"/>
      <c r="AE66" s="105"/>
      <c r="AF66" s="199"/>
    </row>
    <row r="67" spans="1:35" x14ac:dyDescent="0.2">
      <c r="A67" s="43">
        <f t="shared" si="0"/>
        <v>61</v>
      </c>
      <c r="B67" s="63"/>
      <c r="C67" s="18" t="s">
        <v>11</v>
      </c>
      <c r="D67" s="64">
        <f>+'Washington volumes'!F58</f>
        <v>0</v>
      </c>
      <c r="E67" s="103" t="s">
        <v>155</v>
      </c>
      <c r="F67" s="104"/>
      <c r="G67" s="440"/>
      <c r="H67" s="440"/>
      <c r="I67" s="364">
        <f>+'Rates in summary'!D58</f>
        <v>0.20451999999999992</v>
      </c>
      <c r="J67" s="199"/>
      <c r="K67" s="198">
        <f>'Rates in summary'!D58+Temporaries!K58-Temporaries!AZ58</f>
        <v>0.20451999999999992</v>
      </c>
      <c r="L67" s="199"/>
      <c r="M67" s="299"/>
      <c r="N67" s="198">
        <f>'Rates in summary'!D58+Temporaries!L58+Temporaries!V58-Temporaries!BA58</f>
        <v>0.20451999999999992</v>
      </c>
      <c r="O67" s="199"/>
      <c r="P67" s="299"/>
      <c r="Q67" s="364">
        <f>'Rates in summary'!D58+Temporaries!W58-Temporaries!BC58</f>
        <v>0.20451999999999992</v>
      </c>
      <c r="R67" s="199"/>
      <c r="S67" s="299"/>
      <c r="T67" s="364">
        <f>'Rates in summary'!H58+'Rates in summary'!Q58+Temporaries!J58</f>
        <v>0.18423999999999993</v>
      </c>
      <c r="U67" s="199"/>
      <c r="V67" s="299"/>
      <c r="W67" s="364">
        <f>'Rates in summary'!D58+'Rates in summary'!Q58-Temporaries!BD58</f>
        <v>0.20333999999999994</v>
      </c>
      <c r="X67" s="199"/>
      <c r="Y67" s="299"/>
      <c r="Z67" s="364">
        <f>'Rates in detail'!D58+'Rates in detail'!E58</f>
        <v>0.20451999999999992</v>
      </c>
      <c r="AA67" s="199"/>
      <c r="AB67" s="299"/>
      <c r="AC67" s="198">
        <f>+'Rates in summary'!R58</f>
        <v>0.20333999999999994</v>
      </c>
      <c r="AD67" s="199"/>
      <c r="AE67" s="105"/>
      <c r="AF67" s="199"/>
    </row>
    <row r="68" spans="1:35" x14ac:dyDescent="0.2">
      <c r="A68" s="43">
        <f t="shared" si="0"/>
        <v>62</v>
      </c>
      <c r="B68" s="68"/>
      <c r="C68" s="106" t="s">
        <v>159</v>
      </c>
      <c r="D68" s="107"/>
      <c r="E68" s="108"/>
      <c r="F68" s="109"/>
      <c r="G68" s="441"/>
      <c r="H68" s="441"/>
      <c r="I68" s="365"/>
      <c r="J68" s="336">
        <f>$H62+ROUND(IF($F62&lt;$E62,($F62*I62),IF($F62&lt;SUM($E62:$E63),(($E62*I62)+(($F62-$E62)*I63)),IF($F62&lt;SUM($E62:$E64),(($E62*I62)+($E63*I63)+(($F62-$E62-$E63)*I64)),IF($F62&lt;SUM($E62:$E65),(($E62*I62)+($E63*I63)+($E64*I64)+(($F62-SUM($E62:$E64))*I65)),IF($F62&lt;SUM($E62:$E66),(($E62*I62)+($E63*I63)+($E64*I64)+($E65*I65)+(($F62-SUM($E62:$E65))*I66)),(($E62*I62)+($E63*I63)+($E64*I64)+($E65*I64)+($E66*I66)+(($F62-SUM($E62:$E66))*I67))))))),2)</f>
        <v>9028.17</v>
      </c>
      <c r="K68" s="333"/>
      <c r="L68" s="336">
        <f>$G62+ROUND(IF($F62&lt;$E62,($F62*K62),IF($F62&lt;SUM($E62:$E63),(($E62*K62)+(($F62-$E62)*K63)),IF($F62&lt;SUM($E62:$E64),(($E62*K62)+($E63*K63)+(($F62-$E62-$E63)*K64)),IF($F62&lt;SUM($E62:$E65),(($E62*K62)+($E63*K63)+($E64*K64)+(($F62-SUM($E62:$E64))*K65)),IF($F62&lt;SUM($E62:$E66),(($E62*K62)+($E63*K63)+($E64*K64)+($E65*K65)+(($F62-SUM($E62:$E65))*K66)),(($E62*K62)+($E63*K63)+($E64*K64)+($E65*K64)+($E66*K66)+(($F62-SUM($E62:$E66))*K67))))))),2)</f>
        <v>9028.17</v>
      </c>
      <c r="M68" s="110">
        <f>ROUND((L68-J68)/J68,3)</f>
        <v>0</v>
      </c>
      <c r="N68" s="333"/>
      <c r="O68" s="336">
        <f>$G62+ROUND(IF($F62&lt;$E62,($F62*N62),IF($F62&lt;SUM($E62:$E63),(($E62*N62)+(($F62-$E62)*N63)),IF($F62&lt;SUM($E62:$E64),(($E62*N62)+($E63*N63)+(($F62-$E62-$E63)*N64)),IF($F62&lt;SUM($E62:$E65),(($E62*N62)+($E63*N63)+($E64*N64)+(($F62-SUM($E62:$E64))*N65)),IF($F62&lt;SUM($E62:$E66),(($E62*N62)+($E63*N63)+($E64*N64)+($E65*N65)+(($F62-SUM($E62:$E65))*N66)),(($E62*N62)+($E63*N63)+($E64*N64)+($E65*N64)+($E66*N66)+(($F62-SUM($E62:$E66))*N67))))))),2)</f>
        <v>9028.17</v>
      </c>
      <c r="P68" s="110">
        <f>ROUND((O68-J68)/J68,3)</f>
        <v>0</v>
      </c>
      <c r="Q68" s="365"/>
      <c r="R68" s="336">
        <f>$G62+ROUND(IF($F62&lt;$E62,($F62*Q62),IF($F62&lt;SUM($E62:$E63),(($E62*Q62)+(($F62-$E62)*Q63)),IF($F62&lt;SUM($E62:$E64),(($E62*Q62)+($E63*Q63)+(($F62-$E62-$E63)*Q64)),IF($F62&lt;SUM($E62:$E65),(($E62*Q62)+($E63*Q63)+($E64*Q64)+(($F62-SUM($E62:$E64))*Q65)),IF($F62&lt;SUM($E62:$E66),(($E62*Q62)+($E63*Q63)+($E64*Q64)+($E65*Q65)+(($F62-SUM($E62:$E65))*Q66)),(($E62*Q62)+($E63*Q63)+($E64*Q64)+($E65*Q64)+($E66*Q66)+(($F62-SUM($E62:$E66))*Q67))))))),2)</f>
        <v>9028.17</v>
      </c>
      <c r="S68" s="110">
        <f t="shared" si="11"/>
        <v>0</v>
      </c>
      <c r="T68" s="365"/>
      <c r="U68" s="336">
        <f>$G62+ROUND(IF($F62&lt;$E62,($F62*T62),IF($F62&lt;SUM($E62:$E63),(($E62*T62)+(($F62-$E62)*T63)),IF($F62&lt;SUM($E62:$E64),(($E62*T62)+($E63*T63)+(($F62-$E62-$E63)*T64)),IF($F62&lt;SUM($E62:$E65),(($E62*T62)+($E63*T63)+($E64*T64)+(($F62-SUM($E62:$E64))*T65)),IF($F62&lt;SUM($E62:$E66),(($E62*T62)+($E63*T63)+($E64*T64)+($E65*T65)+(($F62-SUM($E62:$E65))*T66)),(($E62*T62)+($E63*T63)+($E64*T64)+($E65*T64)+($E66*T66)+(($F62-SUM($E62:$E66))*T67))))))),2)</f>
        <v>8937.9599999999991</v>
      </c>
      <c r="V68" s="110">
        <f t="shared" si="12"/>
        <v>-0.01</v>
      </c>
      <c r="W68" s="365"/>
      <c r="X68" s="336">
        <f>$G62+ROUND(IF($F62&lt;$E62,($F62*W62),IF($F62&lt;SUM($E62:$E63),(($E62*W62)+(($F62-$E62)*W63)),IF($F62&lt;SUM($E62:$E64),(($E62*W62)+($E63*W63)+(($F62-$E62-$E63)*W64)),IF($F62&lt;SUM($E62:$E65),(($E62*W62)+($E63*W63)+($E64*W64)+(($F62-SUM($E62:$E64))*W65)),IF($F62&lt;SUM($E62:$E66),(($E62*W62)+($E63*W63)+($E64*W64)+($E65*W65)+(($F62-SUM($E62:$E65))*W66)),(($E62*W62)+($E63*W63)+($E64*W64)+($E65*W64)+($E66*W66)+(($F62-SUM($E62:$E66))*W67))))))),2)</f>
        <v>8821.7099999999991</v>
      </c>
      <c r="Y68" s="110">
        <f t="shared" ref="Y68" si="35">ROUND((X68-J68)/J68,3)</f>
        <v>-2.3E-2</v>
      </c>
      <c r="Z68" s="365"/>
      <c r="AA68" s="336">
        <f>$G62+ROUND(IF($F62&lt;$E62,($F62*Z62),IF($F62&lt;SUM($E62:$E63),(($E62*Z62)+(($F62-$E62)*Z63)),IF($F62&lt;SUM($E62:$E64),(($E62*Z62)+($E63*Z63)+(($F62-$E62-$E63)*Z64)),IF($F62&lt;SUM($E62:$E65),(($E62*Z62)+($E63*Z63)+($E64*Z64)+(($F62-SUM($E62:$E64))*Z65)),IF($F62&lt;SUM($E62:$E66),(($E62*Z62)+($E63*Z63)+($E64*Z64)+($E65*Z65)+(($F62-SUM($E62:$E65))*Z66)),(($E62*Z62)+($E63*Z63)+($E64*Z64)+($E65*Z64)+($E66*Z66)+(($F62-SUM($E62:$E66))*Z67))))))),2)</f>
        <v>9634.61</v>
      </c>
      <c r="AB68" s="110">
        <f>ROUND((AA68-J68)/J68,3)</f>
        <v>6.7000000000000004E-2</v>
      </c>
      <c r="AC68" s="333"/>
      <c r="AD68" s="336">
        <f>$G62+ROUND(IF($F62&lt;$E62,($F62*AC62),IF($F62&lt;SUM($E62:$E63),(($E62*AC62)+(($F62-$E62)*AC63)),IF($F62&lt;SUM($E62:$E64),(($E62*AC62)+($E63*AC63)+(($F62-$E62-$E63)*AC64)),IF($F62&lt;SUM($E62:$E65),(($E62*AC62)+($E63*AC63)+($E64*AC64)+(($F62-SUM($E62:$E64))*AC65)),IF($F62&lt;SUM($E62:$E66),(($E62*AC62)+($E63*AC63)+($E64*AC64)+($E65*AC65)+(($F62-SUM($E62:$E65))*AC66)),(($E62*AC62)+($E63*AC63)+($E64*AC64)+($E65*AC64)+($E66*AC66)+(($F62-SUM($E62:$E66))*AC67))))))),2)</f>
        <v>9428.15</v>
      </c>
      <c r="AE68" s="110">
        <f>ROUND((AD68-J68)/J68,3)</f>
        <v>4.3999999999999997E-2</v>
      </c>
      <c r="AF68" s="217">
        <f t="shared" ref="AF68" si="36">AA68-J68</f>
        <v>606.44000000000051</v>
      </c>
      <c r="AH68" s="283"/>
      <c r="AI68" s="283"/>
    </row>
    <row r="69" spans="1:35" x14ac:dyDescent="0.2">
      <c r="A69" s="43">
        <f t="shared" si="0"/>
        <v>63</v>
      </c>
      <c r="B69" s="63" t="s">
        <v>130</v>
      </c>
      <c r="C69" s="18" t="s">
        <v>6</v>
      </c>
      <c r="D69" s="111">
        <f>+'Washington volumes'!F59</f>
        <v>924358</v>
      </c>
      <c r="E69" s="64">
        <v>10000</v>
      </c>
      <c r="F69" s="112">
        <f>+'Washington volumes'!I59</f>
        <v>166540.18320999999</v>
      </c>
      <c r="G69" s="440">
        <f>1300+250</f>
        <v>1550</v>
      </c>
      <c r="H69" s="440">
        <f>1300+250</f>
        <v>1550</v>
      </c>
      <c r="I69" s="334">
        <f>+'Rates in summary'!D59</f>
        <v>0.11796999999999999</v>
      </c>
      <c r="J69" s="199"/>
      <c r="K69" s="198">
        <f>'Rates in summary'!D59+Temporaries!K59-Temporaries!AZ59</f>
        <v>0.11796999999999999</v>
      </c>
      <c r="L69" s="199"/>
      <c r="M69" s="299"/>
      <c r="N69" s="198">
        <f>'Rates in summary'!D59+Temporaries!L59+Temporaries!V59-Temporaries!BA59</f>
        <v>0.11796999999999999</v>
      </c>
      <c r="O69" s="199"/>
      <c r="P69" s="299"/>
      <c r="Q69" s="364">
        <f>'Rates in summary'!D59+Temporaries!W59-Temporaries!BC59</f>
        <v>0.11796999999999999</v>
      </c>
      <c r="R69" s="199"/>
      <c r="S69" s="299"/>
      <c r="T69" s="364">
        <f>'Rates in summary'!H59+'Rates in summary'!Q59+Temporaries!J59</f>
        <v>0.13810999999999998</v>
      </c>
      <c r="U69" s="199"/>
      <c r="V69" s="299"/>
      <c r="W69" s="364">
        <f>'Rates in summary'!D59+'Rates in summary'!Q59-Temporaries!BD59</f>
        <v>0.1123</v>
      </c>
      <c r="X69" s="199"/>
      <c r="Y69" s="299"/>
      <c r="Z69" s="364">
        <f>'Rates in detail'!D59+'Rates in detail'!E59</f>
        <v>0.14377999999999999</v>
      </c>
      <c r="AA69" s="199"/>
      <c r="AB69" s="299"/>
      <c r="AC69" s="198">
        <f>+'Rates in summary'!R59</f>
        <v>0.13810999999999998</v>
      </c>
      <c r="AD69" s="199"/>
      <c r="AE69" s="113"/>
      <c r="AF69" s="199"/>
      <c r="AG69" s="292"/>
    </row>
    <row r="70" spans="1:35" x14ac:dyDescent="0.2">
      <c r="A70" s="43">
        <f t="shared" si="0"/>
        <v>64</v>
      </c>
      <c r="B70" s="63"/>
      <c r="C70" s="18" t="s">
        <v>7</v>
      </c>
      <c r="D70" s="114">
        <f>+'Washington volumes'!F60</f>
        <v>1661182</v>
      </c>
      <c r="E70" s="64">
        <v>20000</v>
      </c>
      <c r="F70" s="115"/>
      <c r="G70" s="339"/>
      <c r="H70" s="339"/>
      <c r="I70" s="334">
        <f>+'Rates in summary'!D60</f>
        <v>0.1056</v>
      </c>
      <c r="J70" s="199"/>
      <c r="K70" s="198">
        <f>'Rates in summary'!D60+Temporaries!K60-Temporaries!AZ60</f>
        <v>0.1056</v>
      </c>
      <c r="L70" s="199"/>
      <c r="M70" s="299"/>
      <c r="N70" s="198">
        <f>'Rates in summary'!D60+Temporaries!L60+Temporaries!V60-Temporaries!BA60</f>
        <v>0.1056</v>
      </c>
      <c r="O70" s="199"/>
      <c r="P70" s="299"/>
      <c r="Q70" s="364">
        <f>'Rates in summary'!D60+Temporaries!W60-Temporaries!BC60</f>
        <v>0.1056</v>
      </c>
      <c r="R70" s="199"/>
      <c r="S70" s="299"/>
      <c r="T70" s="364">
        <f>'Rates in summary'!H60+'Rates in summary'!Q60+Temporaries!J60</f>
        <v>0.12354999999999999</v>
      </c>
      <c r="U70" s="199"/>
      <c r="V70" s="299"/>
      <c r="W70" s="364">
        <f>'Rates in summary'!D60+'Rates in summary'!Q60-Temporaries!BD60</f>
        <v>0.10052</v>
      </c>
      <c r="X70" s="199"/>
      <c r="Y70" s="299"/>
      <c r="Z70" s="364">
        <f>'Rates in detail'!D60+'Rates in detail'!E60</f>
        <v>0.12862999999999999</v>
      </c>
      <c r="AA70" s="199"/>
      <c r="AB70" s="299"/>
      <c r="AC70" s="198">
        <f>+'Rates in summary'!R60</f>
        <v>0.12354999999999999</v>
      </c>
      <c r="AD70" s="199"/>
      <c r="AE70" s="116"/>
      <c r="AF70" s="199"/>
      <c r="AG70" s="292"/>
    </row>
    <row r="71" spans="1:35" x14ac:dyDescent="0.2">
      <c r="A71" s="43">
        <f t="shared" si="0"/>
        <v>65</v>
      </c>
      <c r="B71" s="63"/>
      <c r="C71" s="18" t="s">
        <v>8</v>
      </c>
      <c r="D71" s="114">
        <f>+'Washington volumes'!F61</f>
        <v>1395939</v>
      </c>
      <c r="E71" s="64">
        <v>20000</v>
      </c>
      <c r="F71" s="115"/>
      <c r="G71" s="339"/>
      <c r="H71" s="339"/>
      <c r="I71" s="334">
        <f>+'Rates in summary'!D61</f>
        <v>8.0979999999999996E-2</v>
      </c>
      <c r="J71" s="199"/>
      <c r="K71" s="198">
        <f>'Rates in summary'!D61+Temporaries!K61-Temporaries!AZ61</f>
        <v>8.0979999999999996E-2</v>
      </c>
      <c r="L71" s="199"/>
      <c r="M71" s="299"/>
      <c r="N71" s="198">
        <f>'Rates in summary'!D61+Temporaries!L61+Temporaries!V61-Temporaries!BA61</f>
        <v>8.0979999999999996E-2</v>
      </c>
      <c r="O71" s="199"/>
      <c r="P71" s="299"/>
      <c r="Q71" s="364">
        <f>'Rates in summary'!D61+Temporaries!W61-Temporaries!BC61</f>
        <v>8.0979999999999996E-2</v>
      </c>
      <c r="R71" s="199"/>
      <c r="S71" s="299"/>
      <c r="T71" s="364">
        <f>'Rates in summary'!H61+'Rates in summary'!Q61+Temporaries!J61</f>
        <v>9.4659999999999994E-2</v>
      </c>
      <c r="U71" s="199"/>
      <c r="V71" s="299"/>
      <c r="W71" s="364">
        <f>'Rates in summary'!D61+'Rates in summary'!Q61-Temporaries!BD61</f>
        <v>7.7089999999999992E-2</v>
      </c>
      <c r="X71" s="199"/>
      <c r="Y71" s="299"/>
      <c r="Z71" s="364">
        <f>'Rates in detail'!D61+'Rates in detail'!E61</f>
        <v>9.8549999999999999E-2</v>
      </c>
      <c r="AA71" s="199"/>
      <c r="AB71" s="299"/>
      <c r="AC71" s="198">
        <f>+'Rates in summary'!R61</f>
        <v>9.4659999999999994E-2</v>
      </c>
      <c r="AD71" s="199"/>
      <c r="AE71" s="116"/>
      <c r="AF71" s="199"/>
      <c r="AG71" s="292"/>
    </row>
    <row r="72" spans="1:35" x14ac:dyDescent="0.2">
      <c r="A72" s="43">
        <f t="shared" si="0"/>
        <v>66</v>
      </c>
      <c r="B72" s="63"/>
      <c r="C72" s="18" t="s">
        <v>9</v>
      </c>
      <c r="D72" s="114">
        <f>+'Washington volumes'!F62</f>
        <v>4342579</v>
      </c>
      <c r="E72" s="64">
        <v>100000</v>
      </c>
      <c r="F72" s="115"/>
      <c r="G72" s="339"/>
      <c r="H72" s="339"/>
      <c r="I72" s="334">
        <f>+'Rates in summary'!D62</f>
        <v>6.479E-2</v>
      </c>
      <c r="J72" s="199"/>
      <c r="K72" s="198">
        <f>'Rates in summary'!D62+Temporaries!K62-Temporaries!AZ62</f>
        <v>6.479E-2</v>
      </c>
      <c r="L72" s="199"/>
      <c r="M72" s="299"/>
      <c r="N72" s="198">
        <f>'Rates in summary'!D62+Temporaries!L62+Temporaries!V62-Temporaries!BA62</f>
        <v>6.479E-2</v>
      </c>
      <c r="O72" s="199"/>
      <c r="P72" s="299"/>
      <c r="Q72" s="364">
        <f>'Rates in summary'!D62+Temporaries!W62-Temporaries!BC62</f>
        <v>6.479E-2</v>
      </c>
      <c r="R72" s="199"/>
      <c r="S72" s="299"/>
      <c r="T72" s="364">
        <f>'Rates in summary'!H62+'Rates in summary'!Q62+Temporaries!J62</f>
        <v>7.5679999999999997E-2</v>
      </c>
      <c r="U72" s="199"/>
      <c r="V72" s="299"/>
      <c r="W72" s="364">
        <f>'Rates in summary'!D62+'Rates in summary'!Q62-Temporaries!BD62</f>
        <v>6.1670000000000003E-2</v>
      </c>
      <c r="X72" s="199"/>
      <c r="Y72" s="299"/>
      <c r="Z72" s="364">
        <f>'Rates in detail'!D62+'Rates in detail'!E62</f>
        <v>7.8799999999999995E-2</v>
      </c>
      <c r="AA72" s="199"/>
      <c r="AB72" s="299"/>
      <c r="AC72" s="198">
        <f>+'Rates in summary'!R62</f>
        <v>7.5679999999999997E-2</v>
      </c>
      <c r="AD72" s="199"/>
      <c r="AE72" s="116"/>
      <c r="AF72" s="199"/>
      <c r="AG72" s="19"/>
    </row>
    <row r="73" spans="1:35" x14ac:dyDescent="0.2">
      <c r="A73" s="43">
        <f t="shared" si="0"/>
        <v>67</v>
      </c>
      <c r="B73" s="63"/>
      <c r="C73" s="18" t="s">
        <v>10</v>
      </c>
      <c r="D73" s="114">
        <f>+'Washington volumes'!F63</f>
        <v>2584324</v>
      </c>
      <c r="E73" s="64">
        <v>600000</v>
      </c>
      <c r="F73" s="115"/>
      <c r="G73" s="339"/>
      <c r="H73" s="339"/>
      <c r="I73" s="334">
        <f>+'Rates in summary'!D63</f>
        <v>4.3190000000000006E-2</v>
      </c>
      <c r="J73" s="199"/>
      <c r="K73" s="198">
        <f>'Rates in summary'!D63+Temporaries!K63-Temporaries!AZ63</f>
        <v>4.3190000000000006E-2</v>
      </c>
      <c r="L73" s="199"/>
      <c r="M73" s="299"/>
      <c r="N73" s="198">
        <f>'Rates in summary'!D63+Temporaries!L63+Temporaries!V63-Temporaries!BA63</f>
        <v>4.3190000000000006E-2</v>
      </c>
      <c r="O73" s="199"/>
      <c r="P73" s="299"/>
      <c r="Q73" s="364">
        <f>'Rates in summary'!D63+Temporaries!W63-Temporaries!BC63</f>
        <v>4.3190000000000006E-2</v>
      </c>
      <c r="R73" s="199"/>
      <c r="S73" s="299"/>
      <c r="T73" s="364">
        <f>'Rates in summary'!H63+'Rates in summary'!Q63+Temporaries!J63</f>
        <v>5.0450000000000009E-2</v>
      </c>
      <c r="U73" s="199"/>
      <c r="V73" s="299"/>
      <c r="W73" s="364">
        <f>'Rates in summary'!D63+'Rates in summary'!Q63-Temporaries!BD63</f>
        <v>4.1110000000000008E-2</v>
      </c>
      <c r="X73" s="199"/>
      <c r="Y73" s="299"/>
      <c r="Z73" s="364">
        <f>'Rates in detail'!D63+'Rates in detail'!E63</f>
        <v>5.2530000000000007E-2</v>
      </c>
      <c r="AA73" s="199"/>
      <c r="AB73" s="299"/>
      <c r="AC73" s="198">
        <f>+'Rates in summary'!R63</f>
        <v>5.0450000000000009E-2</v>
      </c>
      <c r="AD73" s="199"/>
      <c r="AE73" s="116"/>
      <c r="AF73" s="199"/>
      <c r="AG73" s="19"/>
    </row>
    <row r="74" spans="1:35" x14ac:dyDescent="0.2">
      <c r="A74" s="43">
        <f t="shared" ref="A74:A87" si="37">+A73+1</f>
        <v>68</v>
      </c>
      <c r="B74" s="63"/>
      <c r="C74" s="18" t="s">
        <v>11</v>
      </c>
      <c r="D74" s="114">
        <f>+'Washington volumes'!F64</f>
        <v>0</v>
      </c>
      <c r="E74" s="103" t="s">
        <v>155</v>
      </c>
      <c r="F74" s="115"/>
      <c r="G74" s="339"/>
      <c r="H74" s="339"/>
      <c r="I74" s="334">
        <f>+'Rates in summary'!D64</f>
        <v>1.619E-2</v>
      </c>
      <c r="J74" s="199"/>
      <c r="K74" s="198">
        <f>'Rates in summary'!D64+Temporaries!K64-Temporaries!AZ64</f>
        <v>1.619E-2</v>
      </c>
      <c r="L74" s="199"/>
      <c r="M74" s="299"/>
      <c r="N74" s="198">
        <f>'Rates in summary'!D64+Temporaries!L64+Temporaries!V64-Temporaries!BA64</f>
        <v>1.619E-2</v>
      </c>
      <c r="O74" s="199"/>
      <c r="P74" s="299"/>
      <c r="Q74" s="364">
        <f>'Rates in summary'!D64+Temporaries!W64-Temporaries!BC64</f>
        <v>1.619E-2</v>
      </c>
      <c r="R74" s="199"/>
      <c r="S74" s="299"/>
      <c r="T74" s="364">
        <f>'Rates in summary'!H64+'Rates in summary'!Q64+Temporaries!J64</f>
        <v>1.549E-2</v>
      </c>
      <c r="U74" s="199"/>
      <c r="V74" s="299"/>
      <c r="W74" s="364">
        <f>'Rates in summary'!D64+'Rates in summary'!Q64-Temporaries!BD64</f>
        <v>1.541E-2</v>
      </c>
      <c r="X74" s="199"/>
      <c r="Y74" s="299"/>
      <c r="Z74" s="364">
        <f>'Rates in detail'!D64+'Rates in detail'!E64</f>
        <v>1.627E-2</v>
      </c>
      <c r="AA74" s="199"/>
      <c r="AB74" s="299"/>
      <c r="AC74" s="198">
        <f>+'Rates in summary'!R64</f>
        <v>1.549E-2</v>
      </c>
      <c r="AD74" s="199"/>
      <c r="AE74" s="116"/>
      <c r="AF74" s="199"/>
    </row>
    <row r="75" spans="1:35" x14ac:dyDescent="0.2">
      <c r="A75" s="43">
        <f t="shared" si="37"/>
        <v>69</v>
      </c>
      <c r="B75" s="68"/>
      <c r="C75" s="106" t="s">
        <v>159</v>
      </c>
      <c r="D75" s="107"/>
      <c r="E75" s="108"/>
      <c r="F75" s="109"/>
      <c r="G75" s="441"/>
      <c r="H75" s="441"/>
      <c r="I75" s="365"/>
      <c r="J75" s="336">
        <f>$H69+ROUND(IF($F69&lt;$E69,($F69*I69),IF($F69&lt;SUM($E69:$E70),(($E69*I69)+(($F69-$E69)*I70)),IF($F69&lt;SUM($E69:$E71),(($E69*I69)+($E70*I70)+(($F69-$E69-$E70)*I71)),IF($F69&lt;SUM($E69:$E72),(($E69*I69)+($E70*I70)+($E71*I71)+(($F69-SUM($E69:$E71))*I72)),IF($F69&lt;SUM($E69:$E73),(($E69*I69)+($E70*I70)+($E71*I71)+($E72*I72)+(($F69-SUM($E69:$E72))*I73)),(($E69*I69)+($E70*I70)+($E71*I71)+($E72*I71)+($E73*I73)+(($F69-SUM($E69:$E73))*I74))))))),2)</f>
        <v>13654.67</v>
      </c>
      <c r="K75" s="337"/>
      <c r="L75" s="336">
        <f>$G69+ROUND(IF($F69&lt;$E69,($F69*K69),IF($F69&lt;SUM($E69:$E70),(($E69*K69)+(($F69-$E69)*K70)),IF($F69&lt;SUM($E69:$E71),(($E69*K69)+($E70*K70)+(($F69-$E69-$E70)*K71)),IF($F69&lt;SUM($E69:$E72),(($E69*K69)+($E70*K70)+($E71*K71)+(($F69-SUM($E69:$E71))*K72)),IF($F69&lt;SUM($E69:$E73),(($E69*K69)+($E70*K70)+($E71*K71)+($E72*K72)+(($F69-SUM($E69:$E72))*K73)),(($E69*K69)+($E70*K70)+($E71*K71)+($E72*K71)+($E73*K73)+(($F69-SUM($E69:$E73))*K74))))))),2)</f>
        <v>13654.67</v>
      </c>
      <c r="M75" s="264">
        <f>ROUND((L75-J75)/J75,3)</f>
        <v>0</v>
      </c>
      <c r="N75" s="337"/>
      <c r="O75" s="336">
        <f>$G69+ROUND(IF($F69&lt;$E69,($F69*N69),IF($F69&lt;SUM($E69:$E70),(($E69*N69)+(($F69-$E69)*N70)),IF($F69&lt;SUM($E69:$E71),(($E69*N69)+($E70*N70)+(($F69-$E69-$E70)*N71)),IF($F69&lt;SUM($E69:$E72),(($E69*N69)+($E70*N70)+($E71*N71)+(($F69-SUM($E69:$E71))*N72)),IF($F69&lt;SUM($E69:$E73),(($E69*N69)+($E70*N70)+($E71*N71)+($E72*N72)+(($F69-SUM($E69:$E72))*N73)),(($E69*N69)+($E70*N70)+($E71*N71)+($E72*N71)+($E73*N73)+(($F69-SUM($E69:$E73))*N74))))))),2)</f>
        <v>13654.67</v>
      </c>
      <c r="P75" s="264">
        <f>ROUND((O75-J75)/J75,3)</f>
        <v>0</v>
      </c>
      <c r="Q75" s="366"/>
      <c r="R75" s="336">
        <f>$G69+ROUND(IF($F69&lt;$E69,($F69*Q69),IF($F69&lt;SUM($E69:$E70),(($E69*Q69)+(($F69-$E69)*Q70)),IF($F69&lt;SUM($E69:$E71),(($E69*Q69)+($E70*Q70)+(($F69-$E69-$E70)*Q71)),IF($F69&lt;SUM($E69:$E72),(($E69*Q69)+($E70*Q70)+($E71*Q71)+(($F69-SUM($E69:$E71))*Q72)),IF($F69&lt;SUM($E69:$E73),(($E69*Q69)+($E70*Q70)+($E71*Q71)+($E72*Q72)+(($F69-SUM($E69:$E72))*Q73)),(($E69*Q69)+($E70*Q70)+($E71*Q71)+($E72*Q71)+($E73*Q73)+(($F69-SUM($E69:$E73))*Q74))))))),2)</f>
        <v>13654.67</v>
      </c>
      <c r="S75" s="264">
        <f t="shared" si="11"/>
        <v>0</v>
      </c>
      <c r="T75" s="366"/>
      <c r="U75" s="336">
        <f>$G69+ROUND(IF($F69&lt;$E69,($F69*T69),IF($F69&lt;SUM($E69:$E70),(($E69*T69)+(($F69-$E69)*T70)),IF($F69&lt;SUM($E69:$E71),(($E69*T69)+($E70*T70)+(($F69-$E69-$E70)*T71)),IF($F69&lt;SUM($E69:$E72),(($E69*T69)+($E70*T70)+($E71*T71)+(($F69-SUM($E69:$E71))*T72)),IF($F69&lt;SUM($E69:$E73),(($E69*T69)+($E70*T70)+($E71*T71)+($E72*T72)+(($F69-SUM($E69:$E72))*T73)),(($E69*T69)+($E70*T70)+($E71*T71)+($E72*T71)+($E73*T73)+(($F69-SUM($E69:$E73))*T74))))))),2)</f>
        <v>15697.75</v>
      </c>
      <c r="V75" s="264">
        <f t="shared" si="12"/>
        <v>0.15</v>
      </c>
      <c r="W75" s="366"/>
      <c r="X75" s="336">
        <f>$G69+ROUND(IF($F69&lt;$E69,($F69*W69),IF($F69&lt;SUM($E69:$E70),(($E69*W69)+(($F69-$E69)*W70)),IF($F69&lt;SUM($E69:$E71),(($E69*W69)+($E70*W70)+(($F69-$E69-$E70)*W71)),IF($F69&lt;SUM($E69:$E72),(($E69*W69)+($E70*W70)+($E71*W71)+(($F69-SUM($E69:$E71))*W72)),IF($F69&lt;SUM($E69:$E73),(($E69*W69)+($E70*W70)+($E71*W71)+($E72*W72)+(($F69-SUM($E69:$E72))*W73)),(($E69*W69)+($E70*W70)+($E71*W71)+($E72*W71)+($E73*W73)+(($F69-SUM($E69:$E73))*W74))))))),2)</f>
        <v>13072.17</v>
      </c>
      <c r="Y75" s="264">
        <f t="shared" ref="Y75:Y77" si="38">ROUND((X75-J75)/J75,3)</f>
        <v>-4.2999999999999997E-2</v>
      </c>
      <c r="Z75" s="366"/>
      <c r="AA75" s="336">
        <f>$G69+ROUND(IF($F69&lt;$E69,($F69*Z69),IF($F69&lt;SUM($E69:$E70),(($E69*Z69)+(($F69-$E69)*Z70)),IF($F69&lt;SUM($E69:$E71),(($E69*Z69)+($E70*Z70)+(($F69-$E69-$E70)*Z71)),IF($F69&lt;SUM($E69:$E72),(($E69*Z69)+($E70*Z70)+($E71*Z71)+(($F69-SUM($E69:$E71))*Z72)),IF($F69&lt;SUM($E69:$E73),(($E69*Z69)+($E70*Z70)+($E71*Z71)+($E72*Z72)+(($F69-SUM($E69:$E72))*Z73)),(($E69*Z69)+($E70*Z70)+($E71*Z71)+($E72*Z71)+($E73*Z73)+(($F69-SUM($E69:$E73))*Z74))))))),2)</f>
        <v>16280.26</v>
      </c>
      <c r="AB75" s="110">
        <f>ROUND((AA75-J75)/J75,3)</f>
        <v>0.192</v>
      </c>
      <c r="AC75" s="198"/>
      <c r="AD75" s="336">
        <f>$G69+ROUND(IF($F69&lt;$E69,($F69*AC69),IF($F69&lt;SUM($E69:$E70),(($E69*AC69)+(($F69-$E69)*AC70)),IF($F69&lt;SUM($E69:$E71),(($E69*AC69)+($E70*AC70)+(($F69-$E69-$E70)*AC71)),IF($F69&lt;SUM($E69:$E72),(($E69*AC69)+($E70*AC70)+($E71*AC71)+(($F69-SUM($E69:$E71))*AC72)),IF($F69&lt;SUM($E69:$E73),(($E69*AC69)+($E70*AC70)+($E71*AC71)+($E72*AC72)+(($F69-SUM($E69:$E72))*AC73)),(($E69*AC69)+($E70*AC70)+($E71*AC71)+($E72*AC71)+($E73*AC73)+(($F69-SUM($E69:$E73))*AC74))))))),2)</f>
        <v>15697.75</v>
      </c>
      <c r="AE75" s="110">
        <f>ROUND((AD75-J75)/J75,3)</f>
        <v>0.15</v>
      </c>
      <c r="AF75" s="217">
        <f t="shared" ref="AF75" si="39">AA75-J75</f>
        <v>2625.59</v>
      </c>
      <c r="AH75" s="283"/>
      <c r="AI75" s="283"/>
    </row>
    <row r="76" spans="1:35" x14ac:dyDescent="0.2">
      <c r="A76" s="43">
        <f t="shared" si="37"/>
        <v>70</v>
      </c>
      <c r="B76" s="68" t="s">
        <v>131</v>
      </c>
      <c r="C76" s="21"/>
      <c r="D76" s="117">
        <f>+'Washington volumes'!F65</f>
        <v>0</v>
      </c>
      <c r="E76" s="118" t="s">
        <v>61</v>
      </c>
      <c r="F76" s="119">
        <f>+'Washington volumes'!I65</f>
        <v>0</v>
      </c>
      <c r="G76" s="340">
        <v>38000</v>
      </c>
      <c r="H76" s="340">
        <v>38000</v>
      </c>
      <c r="I76" s="335">
        <f>+'Rates in summary'!D65</f>
        <v>4.9800000000000001E-3</v>
      </c>
      <c r="J76" s="217">
        <f>ROUND(+$H76+(I76*$F76),2)</f>
        <v>38000</v>
      </c>
      <c r="K76" s="338">
        <f>'Rates in summary'!D65+Temporaries!K65-Temporaries!AZ65</f>
        <v>4.9800000000000001E-3</v>
      </c>
      <c r="L76" s="217">
        <f>ROUND(+$G76+(K76*$F76),2)</f>
        <v>38000</v>
      </c>
      <c r="M76" s="300">
        <f>ROUND((L76-J76)/J76,3)</f>
        <v>0</v>
      </c>
      <c r="N76" s="338">
        <f>'Rates in summary'!D65+Temporaries!L65+Temporaries!V65-Temporaries!BA65</f>
        <v>4.9800000000000001E-3</v>
      </c>
      <c r="O76" s="217">
        <f>ROUND(+$G76+(N76*$F76),2)</f>
        <v>38000</v>
      </c>
      <c r="P76" s="300">
        <f>ROUND((O76-J76)/J76,3)</f>
        <v>0</v>
      </c>
      <c r="Q76" s="367">
        <f>'Rates in summary'!D65+Temporaries!W65-Temporaries!BC65</f>
        <v>4.9800000000000001E-3</v>
      </c>
      <c r="R76" s="217">
        <f>ROUND(+$G76+(Q76*$F76),2)</f>
        <v>38000</v>
      </c>
      <c r="S76" s="300">
        <f t="shared" si="11"/>
        <v>0</v>
      </c>
      <c r="T76" s="367">
        <f>'Rates in summary'!H65+'Rates in summary'!Q65+Temporaries!J65</f>
        <v>4.7299999999999998E-3</v>
      </c>
      <c r="U76" s="217">
        <f>ROUND(+$G76+(T76*$F76),2)</f>
        <v>38000</v>
      </c>
      <c r="V76" s="300">
        <f t="shared" si="12"/>
        <v>0</v>
      </c>
      <c r="W76" s="367">
        <f>'Rates in summary'!D65+'Rates in summary'!Q65-Temporaries!BD65</f>
        <v>4.7299999999999998E-3</v>
      </c>
      <c r="X76" s="217">
        <f t="shared" ref="X76:X77" si="40">ROUND(G76+(F76*W76),2)</f>
        <v>38000</v>
      </c>
      <c r="Y76" s="300">
        <f t="shared" si="38"/>
        <v>0</v>
      </c>
      <c r="Z76" s="449">
        <f>'Rates in detail'!D65+'Rates in detail'!E65</f>
        <v>4.9800000000000001E-3</v>
      </c>
      <c r="AA76" s="217">
        <f>ROUND(J76+(I76*Z76),2)</f>
        <v>38000</v>
      </c>
      <c r="AB76" s="110">
        <f>ROUND((AA76-J76)/J76,3)</f>
        <v>0</v>
      </c>
      <c r="AC76" s="335">
        <f>+'Rates in summary'!R65</f>
        <v>4.7299999999999998E-3</v>
      </c>
      <c r="AD76" s="217">
        <f>ROUND(+$G76+(AC76*$F76),2)</f>
        <v>38000</v>
      </c>
      <c r="AE76" s="120" t="s">
        <v>61</v>
      </c>
      <c r="AF76" s="217"/>
    </row>
    <row r="77" spans="1:35" x14ac:dyDescent="0.2">
      <c r="A77" s="43">
        <f t="shared" si="37"/>
        <v>71</v>
      </c>
      <c r="B77" s="16" t="s">
        <v>132</v>
      </c>
      <c r="C77" s="13"/>
      <c r="D77" s="121">
        <f>+'Washington volumes'!F66</f>
        <v>0</v>
      </c>
      <c r="E77" s="118" t="s">
        <v>61</v>
      </c>
      <c r="F77" s="122">
        <f>+'Washington volumes'!I66</f>
        <v>0</v>
      </c>
      <c r="G77" s="340">
        <v>38000</v>
      </c>
      <c r="H77" s="340">
        <v>38000</v>
      </c>
      <c r="I77" s="308">
        <f>+'Rates in summary'!D66</f>
        <v>4.9800000000000001E-3</v>
      </c>
      <c r="J77" s="217">
        <f>ROUND(+$H77+(I77*$F77),2)</f>
        <v>38000</v>
      </c>
      <c r="K77" s="325">
        <f>'Rates in summary'!D66+Temporaries!K66-Temporaries!AZ66</f>
        <v>4.9800000000000001E-3</v>
      </c>
      <c r="L77" s="217">
        <f>ROUND(+$G77+(K77*$F77),2)</f>
        <v>38000</v>
      </c>
      <c r="M77" s="102">
        <f>ROUND((L77-J77)/J77,3)</f>
        <v>0</v>
      </c>
      <c r="N77" s="325">
        <f>'Rates in summary'!D66+Temporaries!L66+Temporaries!V66-Temporaries!BA66</f>
        <v>4.9800000000000001E-3</v>
      </c>
      <c r="O77" s="217">
        <f>ROUND(+$G77+(N77*$F77),2)</f>
        <v>38000</v>
      </c>
      <c r="P77" s="102">
        <f>ROUND((O77-J77)/J77,3)</f>
        <v>0</v>
      </c>
      <c r="Q77" s="367">
        <f>'Rates in summary'!D66+Temporaries!W66-Temporaries!BC66</f>
        <v>4.9800000000000001E-3</v>
      </c>
      <c r="R77" s="217">
        <f>ROUND(+$G77+(Q77*$F77),2)</f>
        <v>38000</v>
      </c>
      <c r="S77" s="102">
        <f t="shared" si="11"/>
        <v>0</v>
      </c>
      <c r="T77" s="367">
        <f>'Rates in summary'!H66+'Rates in summary'!Q66+Temporaries!J66</f>
        <v>4.7299999999999998E-3</v>
      </c>
      <c r="U77" s="217">
        <f>ROUND(+$G77+(T77*$F77),2)</f>
        <v>38000</v>
      </c>
      <c r="V77" s="102">
        <f t="shared" si="12"/>
        <v>0</v>
      </c>
      <c r="W77" s="367">
        <f>'Rates in summary'!D66+'Rates in summary'!Q66-Temporaries!BD66</f>
        <v>4.7299999999999998E-3</v>
      </c>
      <c r="X77" s="217">
        <f t="shared" si="40"/>
        <v>38000</v>
      </c>
      <c r="Y77" s="102">
        <f t="shared" si="38"/>
        <v>0</v>
      </c>
      <c r="Z77" s="367">
        <f>'Rates in detail'!D66+'Rates in detail'!E66</f>
        <v>4.9800000000000001E-3</v>
      </c>
      <c r="AA77" s="217">
        <f>ROUND(J77+(I77*Z77),2)</f>
        <v>38000</v>
      </c>
      <c r="AB77" s="110">
        <f>ROUND((AA77-J77)/J77,3)</f>
        <v>0</v>
      </c>
      <c r="AC77" s="335">
        <f>+'Rates in summary'!R66</f>
        <v>4.7299999999999998E-3</v>
      </c>
      <c r="AD77" s="217">
        <f>ROUND(+$G77+(AC77*$F77),2)</f>
        <v>38000</v>
      </c>
      <c r="AE77" s="120" t="s">
        <v>61</v>
      </c>
      <c r="AF77" s="217"/>
    </row>
    <row r="78" spans="1:35" ht="13.5" thickBot="1" x14ac:dyDescent="0.25">
      <c r="A78" s="43">
        <f t="shared" si="37"/>
        <v>72</v>
      </c>
      <c r="B78" s="15" t="s">
        <v>166</v>
      </c>
      <c r="C78" s="13"/>
      <c r="D78" s="123"/>
      <c r="E78" s="118"/>
      <c r="F78" s="124"/>
      <c r="G78" s="443"/>
      <c r="H78" s="443"/>
      <c r="I78" s="24"/>
      <c r="J78" s="62"/>
      <c r="K78" s="62"/>
      <c r="L78" s="62"/>
      <c r="M78" s="301"/>
      <c r="N78" s="62"/>
      <c r="O78" s="62"/>
      <c r="P78" s="301"/>
      <c r="Q78" s="400"/>
      <c r="R78" s="62"/>
      <c r="S78" s="301"/>
      <c r="T78" s="368"/>
      <c r="U78" s="62"/>
      <c r="V78" s="301"/>
      <c r="W78" s="368"/>
      <c r="X78" s="62"/>
      <c r="Y78" s="301"/>
      <c r="Z78" s="368"/>
      <c r="AA78" s="62"/>
      <c r="AB78" s="301"/>
      <c r="AC78" s="25"/>
      <c r="AD78" s="62"/>
      <c r="AE78" s="125"/>
      <c r="AF78" s="62"/>
    </row>
    <row r="79" spans="1:35" x14ac:dyDescent="0.2">
      <c r="A79" s="43">
        <f t="shared" si="37"/>
        <v>73</v>
      </c>
      <c r="B79" s="499" t="s">
        <v>180</v>
      </c>
      <c r="C79" s="498"/>
      <c r="D79" s="498"/>
      <c r="E79" s="498"/>
      <c r="F79" s="498"/>
      <c r="G79" s="498"/>
      <c r="H79" s="498"/>
      <c r="I79" s="498"/>
      <c r="J79" s="498"/>
      <c r="K79" s="498"/>
      <c r="L79" s="498"/>
      <c r="M79" s="498"/>
    </row>
    <row r="80" spans="1:35" x14ac:dyDescent="0.2">
      <c r="A80" s="43">
        <f t="shared" si="37"/>
        <v>74</v>
      </c>
      <c r="B80" s="498"/>
      <c r="C80" s="498"/>
      <c r="D80" s="498"/>
      <c r="E80" s="498"/>
      <c r="F80" s="498"/>
      <c r="G80" s="498"/>
      <c r="H80" s="498"/>
      <c r="I80" s="498"/>
      <c r="J80" s="498"/>
      <c r="K80" s="498"/>
      <c r="L80" s="498"/>
      <c r="M80" s="498"/>
    </row>
    <row r="81" spans="1:32" x14ac:dyDescent="0.2">
      <c r="A81" s="43">
        <f t="shared" si="37"/>
        <v>75</v>
      </c>
      <c r="B81" s="496" t="s">
        <v>314</v>
      </c>
      <c r="C81" s="497"/>
      <c r="D81" s="497"/>
      <c r="E81" s="497"/>
      <c r="F81" s="497"/>
      <c r="G81" s="497"/>
      <c r="H81" s="497"/>
      <c r="I81" s="497"/>
      <c r="J81" s="497"/>
      <c r="K81" s="497"/>
      <c r="L81" s="497"/>
      <c r="M81" s="497"/>
      <c r="N81" s="73"/>
      <c r="O81" s="73"/>
      <c r="P81" s="73"/>
      <c r="Q81" s="369"/>
      <c r="R81" s="73"/>
      <c r="S81" s="73"/>
      <c r="T81" s="73"/>
      <c r="U81" s="73"/>
      <c r="V81" s="73"/>
      <c r="W81" s="369"/>
      <c r="X81" s="369"/>
      <c r="Y81" s="369"/>
      <c r="Z81" s="369"/>
      <c r="AA81" s="369"/>
      <c r="AB81" s="369"/>
      <c r="AD81" s="73"/>
      <c r="AE81" s="126"/>
    </row>
    <row r="82" spans="1:32" ht="13.5" thickBot="1" x14ac:dyDescent="0.25">
      <c r="A82" s="43">
        <f t="shared" si="37"/>
        <v>76</v>
      </c>
      <c r="B82" s="497"/>
      <c r="C82" s="497"/>
      <c r="D82" s="497"/>
      <c r="E82" s="497"/>
      <c r="F82" s="497"/>
      <c r="G82" s="497"/>
      <c r="H82" s="497"/>
      <c r="I82" s="497"/>
      <c r="J82" s="497"/>
      <c r="K82" s="497"/>
      <c r="L82" s="497"/>
      <c r="M82" s="497"/>
      <c r="AF82" s="450"/>
    </row>
    <row r="83" spans="1:32" ht="19.5" customHeight="1" thickBot="1" x14ac:dyDescent="0.25">
      <c r="A83" s="43">
        <f t="shared" si="37"/>
        <v>77</v>
      </c>
      <c r="B83" s="498"/>
      <c r="C83" s="498"/>
      <c r="D83" s="498"/>
      <c r="E83" s="498"/>
      <c r="F83" s="498"/>
      <c r="G83" s="498"/>
      <c r="H83" s="498"/>
      <c r="I83" s="498"/>
      <c r="J83" s="498"/>
      <c r="K83" s="498"/>
      <c r="L83" s="498"/>
      <c r="M83" s="498"/>
      <c r="AF83" s="476" t="s">
        <v>143</v>
      </c>
    </row>
    <row r="84" spans="1:32" ht="13.5" thickBot="1" x14ac:dyDescent="0.25">
      <c r="A84" s="43">
        <v>78</v>
      </c>
      <c r="B84" s="26" t="s">
        <v>133</v>
      </c>
      <c r="AF84" s="477" t="s">
        <v>86</v>
      </c>
    </row>
    <row r="85" spans="1:32" ht="13.5" thickBot="1" x14ac:dyDescent="0.25">
      <c r="A85" s="43">
        <f t="shared" si="37"/>
        <v>79</v>
      </c>
      <c r="B85" s="88" t="s">
        <v>134</v>
      </c>
      <c r="C85" s="28"/>
      <c r="D85" s="91"/>
      <c r="E85" s="30" t="s">
        <v>158</v>
      </c>
      <c r="F85" s="91"/>
      <c r="G85" s="30" t="s">
        <v>158</v>
      </c>
      <c r="H85" s="30"/>
      <c r="I85" s="420"/>
      <c r="J85" s="92"/>
      <c r="K85" s="92"/>
      <c r="L85" s="92"/>
      <c r="M85" s="92"/>
      <c r="N85" s="92"/>
      <c r="O85" s="92"/>
      <c r="P85" s="92"/>
      <c r="Q85" s="309"/>
      <c r="R85" s="92"/>
      <c r="S85" s="92"/>
      <c r="T85" s="92"/>
      <c r="U85" s="92"/>
      <c r="V85" s="92"/>
      <c r="W85" s="309"/>
      <c r="X85" s="309"/>
      <c r="Y85" s="309"/>
      <c r="Z85" s="309"/>
      <c r="AA85" s="309"/>
      <c r="AB85" s="309"/>
      <c r="AC85" s="92"/>
      <c r="AD85" s="92"/>
      <c r="AE85" s="92"/>
      <c r="AF85" s="478" t="s">
        <v>272</v>
      </c>
    </row>
    <row r="86" spans="1:32" ht="13.5" thickBot="1" x14ac:dyDescent="0.25">
      <c r="A86" s="43">
        <f t="shared" si="37"/>
        <v>80</v>
      </c>
      <c r="AF86" s="450"/>
    </row>
    <row r="87" spans="1:32" ht="13.5" thickBot="1" x14ac:dyDescent="0.25">
      <c r="A87" s="43">
        <f t="shared" si="37"/>
        <v>81</v>
      </c>
      <c r="B87" s="88" t="s">
        <v>143</v>
      </c>
      <c r="C87" s="28"/>
      <c r="D87" s="29"/>
      <c r="E87" s="77"/>
      <c r="F87" s="77"/>
      <c r="G87" s="80"/>
      <c r="H87" s="80"/>
      <c r="I87" s="30" t="s">
        <v>60</v>
      </c>
      <c r="J87" s="29"/>
      <c r="K87" s="29"/>
      <c r="L87" s="29"/>
      <c r="M87" s="29"/>
      <c r="N87" s="29"/>
      <c r="O87" s="29"/>
      <c r="P87" s="29"/>
      <c r="Q87" s="80"/>
      <c r="R87" s="29"/>
      <c r="S87" s="29"/>
      <c r="T87" s="29"/>
      <c r="U87" s="29"/>
      <c r="V87" s="29"/>
      <c r="W87" s="80"/>
      <c r="X87" s="80"/>
      <c r="Y87" s="80"/>
      <c r="Z87" s="80"/>
      <c r="AA87" s="80"/>
      <c r="AB87" s="80"/>
      <c r="AC87" s="29"/>
      <c r="AD87" s="29"/>
      <c r="AE87" s="29"/>
    </row>
    <row r="88" spans="1:32" x14ac:dyDescent="0.2">
      <c r="A88" s="43"/>
    </row>
    <row r="89" spans="1:32" x14ac:dyDescent="0.2">
      <c r="A89" s="43"/>
    </row>
    <row r="90" spans="1:32" x14ac:dyDescent="0.2">
      <c r="AF90" s="450"/>
    </row>
    <row r="91" spans="1:32" x14ac:dyDescent="0.2">
      <c r="AF91" s="450"/>
    </row>
    <row r="92" spans="1:32" x14ac:dyDescent="0.2">
      <c r="AF92" s="450"/>
    </row>
    <row r="93" spans="1:32" x14ac:dyDescent="0.2">
      <c r="AF93" s="450"/>
    </row>
    <row r="94" spans="1:32" x14ac:dyDescent="0.2">
      <c r="AF94" s="450"/>
    </row>
  </sheetData>
  <mergeCells count="2">
    <mergeCell ref="B81:M83"/>
    <mergeCell ref="B79:M80"/>
  </mergeCells>
  <phoneticPr fontId="3" type="noConversion"/>
  <pageMargins left="0.7" right="0.7" top="0.75" bottom="0.75" header="0.3" footer="0.3"/>
  <pageSetup scale="60" orientation="portrait" r:id="rId1"/>
  <headerFooter alignWithMargins="0"/>
  <colBreaks count="4" manualBreakCount="4">
    <brk id="13" max="1048575" man="1"/>
    <brk id="19" max="1048575" man="1"/>
    <brk id="28" max="86" man="1"/>
    <brk id="3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U75"/>
  <sheetViews>
    <sheetView showGridLines="0" zoomScaleNormal="100" zoomScaleSheetLayoutView="110" workbookViewId="0">
      <pane xSplit="3" ySplit="12" topLeftCell="D13" activePane="bottomRight" state="frozen"/>
      <selection activeCell="Q32" sqref="Q32"/>
      <selection pane="topRight" activeCell="Q32" sqref="Q32"/>
      <selection pane="bottomLeft" activeCell="Q32" sqref="Q32"/>
      <selection pane="bottomRight" activeCell="Y25" sqref="Y25"/>
    </sheetView>
  </sheetViews>
  <sheetFormatPr defaultColWidth="9.33203125" defaultRowHeight="12.75" outlineLevelCol="1" x14ac:dyDescent="0.2"/>
  <cols>
    <col min="1" max="1" width="6.83203125" style="3" customWidth="1"/>
    <col min="2" max="2" width="17.83203125" style="2" customWidth="1"/>
    <col min="3" max="3" width="9.33203125" style="2"/>
    <col min="4" max="5" width="12.83203125" style="2" customWidth="1"/>
    <col min="6" max="6" width="15.83203125" style="2" customWidth="1"/>
    <col min="7" max="7" width="17.33203125" style="2" customWidth="1"/>
    <col min="8" max="8" width="14.83203125" style="2" customWidth="1"/>
    <col min="9" max="9" width="15.6640625" style="2" customWidth="1"/>
    <col min="10" max="16" width="14.83203125" style="2" hidden="1" customWidth="1" outlineLevel="1"/>
    <col min="17" max="17" width="14.83203125" style="163" customWidth="1" collapsed="1"/>
    <col min="18" max="18" width="14.83203125" style="2" customWidth="1"/>
    <col min="19" max="19" width="12.83203125" style="3" customWidth="1"/>
    <col min="20" max="20" width="14.83203125" style="2" hidden="1" customWidth="1"/>
    <col min="21" max="21" width="0" style="3" hidden="1" customWidth="1"/>
    <col min="22" max="16384" width="9.33203125" style="3"/>
  </cols>
  <sheetData>
    <row r="1" spans="1:21" ht="14.25" x14ac:dyDescent="0.2">
      <c r="A1" s="1" t="str">
        <f>+'Washington volumes'!A1</f>
        <v>NW Natural</v>
      </c>
    </row>
    <row r="2" spans="1:21" ht="14.25" x14ac:dyDescent="0.2">
      <c r="A2" s="1" t="str">
        <f>+'Washington volumes'!A2</f>
        <v>Rates &amp; Regulatory Affairs</v>
      </c>
    </row>
    <row r="3" spans="1:21" ht="14.25" x14ac:dyDescent="0.2">
      <c r="A3" s="1" t="str">
        <f>+'Washington volumes'!A3</f>
        <v>2019 WA GRC</v>
      </c>
      <c r="I3" s="79"/>
      <c r="J3" s="79"/>
      <c r="K3" s="79"/>
      <c r="L3" s="79"/>
      <c r="M3" s="79"/>
      <c r="N3" s="79"/>
      <c r="O3" s="79"/>
      <c r="P3" s="79"/>
      <c r="Q3" s="313"/>
    </row>
    <row r="4" spans="1:21" ht="14.25" x14ac:dyDescent="0.2">
      <c r="A4" s="1" t="s">
        <v>144</v>
      </c>
    </row>
    <row r="7" spans="1:21" x14ac:dyDescent="0.2">
      <c r="A7" s="43">
        <v>1</v>
      </c>
      <c r="G7" s="33"/>
      <c r="H7" s="33"/>
      <c r="I7" s="43"/>
      <c r="J7" s="43"/>
      <c r="K7" s="43"/>
      <c r="L7" s="43"/>
      <c r="M7" s="43"/>
      <c r="N7" s="43"/>
      <c r="O7" s="43"/>
      <c r="P7" s="43"/>
      <c r="Q7" s="63"/>
      <c r="R7" s="5" t="s">
        <v>32</v>
      </c>
      <c r="T7" s="5"/>
    </row>
    <row r="8" spans="1:21" x14ac:dyDescent="0.2">
      <c r="A8" s="43">
        <f t="shared" ref="A8:A54" si="0">+A7+1</f>
        <v>2</v>
      </c>
      <c r="D8" s="95">
        <f>+'Avg Bill by RS'!I8</f>
        <v>43405</v>
      </c>
      <c r="E8" s="446" t="s">
        <v>338</v>
      </c>
      <c r="F8" s="33"/>
      <c r="G8" s="33"/>
      <c r="H8" s="33" t="s">
        <v>32</v>
      </c>
      <c r="I8" s="33" t="s">
        <v>84</v>
      </c>
      <c r="J8" s="176"/>
      <c r="K8" s="176"/>
      <c r="L8" s="176"/>
      <c r="M8" s="176"/>
      <c r="N8" s="176"/>
      <c r="O8" s="176"/>
      <c r="P8" s="176"/>
      <c r="Q8" s="403" t="s">
        <v>336</v>
      </c>
      <c r="R8" s="6">
        <v>43800</v>
      </c>
      <c r="T8" s="6"/>
    </row>
    <row r="9" spans="1:21" x14ac:dyDescent="0.2">
      <c r="A9" s="43">
        <f t="shared" si="0"/>
        <v>3</v>
      </c>
      <c r="D9" s="33" t="s">
        <v>23</v>
      </c>
      <c r="E9" s="403" t="s">
        <v>209</v>
      </c>
      <c r="F9" s="33" t="s">
        <v>84</v>
      </c>
      <c r="G9" s="33" t="s">
        <v>84</v>
      </c>
      <c r="H9" s="33" t="s">
        <v>24</v>
      </c>
      <c r="I9" s="33" t="s">
        <v>48</v>
      </c>
      <c r="J9" s="177" t="s">
        <v>202</v>
      </c>
      <c r="K9" s="177" t="s">
        <v>202</v>
      </c>
      <c r="L9" s="177" t="s">
        <v>202</v>
      </c>
      <c r="M9" s="177" t="s">
        <v>202</v>
      </c>
      <c r="N9" s="177" t="s">
        <v>202</v>
      </c>
      <c r="O9" s="177" t="s">
        <v>202</v>
      </c>
      <c r="P9" s="177" t="s">
        <v>202</v>
      </c>
      <c r="Q9" s="403" t="s">
        <v>317</v>
      </c>
      <c r="R9" s="5" t="s">
        <v>23</v>
      </c>
      <c r="T9" s="5"/>
    </row>
    <row r="10" spans="1:21" s="8" customFormat="1" ht="13.5" thickBot="1" x14ac:dyDescent="0.25">
      <c r="A10" s="43">
        <f t="shared" si="0"/>
        <v>4</v>
      </c>
      <c r="B10" s="2"/>
      <c r="C10" s="2"/>
      <c r="D10" s="49" t="s">
        <v>24</v>
      </c>
      <c r="E10" s="419" t="s">
        <v>339</v>
      </c>
      <c r="F10" s="49" t="s">
        <v>27</v>
      </c>
      <c r="G10" s="49" t="s">
        <v>171</v>
      </c>
      <c r="H10" s="49" t="s">
        <v>170</v>
      </c>
      <c r="I10" s="49" t="s">
        <v>85</v>
      </c>
      <c r="J10" s="178" t="s">
        <v>203</v>
      </c>
      <c r="K10" s="178" t="s">
        <v>203</v>
      </c>
      <c r="L10" s="178" t="s">
        <v>203</v>
      </c>
      <c r="M10" s="178" t="s">
        <v>203</v>
      </c>
      <c r="N10" s="178" t="s">
        <v>203</v>
      </c>
      <c r="O10" s="178" t="s">
        <v>203</v>
      </c>
      <c r="P10" s="178" t="s">
        <v>203</v>
      </c>
      <c r="Q10" s="419" t="s">
        <v>45</v>
      </c>
      <c r="R10" s="85" t="s">
        <v>169</v>
      </c>
    </row>
    <row r="11" spans="1:21" s="8" customFormat="1" x14ac:dyDescent="0.2">
      <c r="A11" s="43">
        <f t="shared" si="0"/>
        <v>5</v>
      </c>
      <c r="B11" s="2"/>
      <c r="C11" s="2"/>
      <c r="D11" s="9"/>
      <c r="E11" s="9"/>
      <c r="F11" s="9"/>
      <c r="G11" s="9"/>
      <c r="H11" s="5" t="s">
        <v>350</v>
      </c>
      <c r="I11" s="10"/>
      <c r="J11" s="10"/>
      <c r="K11" s="10"/>
      <c r="L11" s="10"/>
      <c r="M11" s="10"/>
      <c r="N11" s="10"/>
      <c r="O11" s="10"/>
      <c r="P11" s="10"/>
      <c r="Q11" s="134"/>
      <c r="R11" s="5" t="s">
        <v>349</v>
      </c>
      <c r="T11" s="5"/>
    </row>
    <row r="12" spans="1:21" s="8" customFormat="1" x14ac:dyDescent="0.2">
      <c r="A12" s="43">
        <f t="shared" si="0"/>
        <v>6</v>
      </c>
      <c r="B12" s="55" t="s">
        <v>2</v>
      </c>
      <c r="C12" s="11" t="s">
        <v>3</v>
      </c>
      <c r="D12" s="12" t="s">
        <v>68</v>
      </c>
      <c r="E12" s="12" t="s">
        <v>69</v>
      </c>
      <c r="F12" s="12" t="s">
        <v>16</v>
      </c>
      <c r="G12" s="12" t="s">
        <v>70</v>
      </c>
      <c r="H12" s="12" t="s">
        <v>71</v>
      </c>
      <c r="I12" s="12" t="s">
        <v>72</v>
      </c>
      <c r="J12" s="12"/>
      <c r="K12" s="12"/>
      <c r="L12" s="12"/>
      <c r="M12" s="12"/>
      <c r="N12" s="12"/>
      <c r="O12" s="12"/>
      <c r="P12" s="12"/>
      <c r="Q12" s="223" t="s">
        <v>73</v>
      </c>
      <c r="R12" s="12" t="s">
        <v>74</v>
      </c>
      <c r="T12" s="12"/>
    </row>
    <row r="13" spans="1:21" x14ac:dyDescent="0.2">
      <c r="A13" s="43">
        <f t="shared" si="0"/>
        <v>7</v>
      </c>
      <c r="B13" s="16" t="s">
        <v>4</v>
      </c>
      <c r="C13" s="13"/>
      <c r="D13" s="14">
        <f>+'Rates in detail'!D13</f>
        <v>1.02918</v>
      </c>
      <c r="E13" s="14">
        <f>'Rates in detail'!E13</f>
        <v>0.22772999999999999</v>
      </c>
      <c r="F13" s="14">
        <f>+'Rates in detail'!J13-'Rates in detail'!F13</f>
        <v>0</v>
      </c>
      <c r="G13" s="14">
        <f>+'Rates in detail'!K13+'Rates in detail'!L13-'Rates in detail'!G13-'Rates in detail'!H13</f>
        <v>0</v>
      </c>
      <c r="H13" s="14">
        <f>+D13+E13+F13+G13</f>
        <v>1.25691</v>
      </c>
      <c r="I13" s="14">
        <f>+'Rates in detail'!O13-'Rates in detail'!N13</f>
        <v>0</v>
      </c>
      <c r="J13" s="14"/>
      <c r="K13" s="14"/>
      <c r="L13" s="14"/>
      <c r="M13" s="14"/>
      <c r="N13" s="14"/>
      <c r="O13" s="14"/>
      <c r="P13" s="14"/>
      <c r="Q13" s="224">
        <f>'Rates in detail'!Q13</f>
        <v>-4.0289999999999999E-2</v>
      </c>
      <c r="R13" s="14">
        <f t="shared" ref="R13:R44" si="1">+H13+I13+Q13</f>
        <v>1.21662</v>
      </c>
      <c r="S13" s="90"/>
      <c r="T13" s="216">
        <f>+R13-D13</f>
        <v>0.18744000000000005</v>
      </c>
      <c r="U13" s="266">
        <f>ROUND(T13/D13,3)</f>
        <v>0.182</v>
      </c>
    </row>
    <row r="14" spans="1:21" x14ac:dyDescent="0.2">
      <c r="A14" s="43">
        <f t="shared" si="0"/>
        <v>8</v>
      </c>
      <c r="B14" s="16" t="s">
        <v>5</v>
      </c>
      <c r="C14" s="13"/>
      <c r="D14" s="14">
        <f>+'Rates in detail'!D14</f>
        <v>1.0187299999999997</v>
      </c>
      <c r="E14" s="14">
        <f>'Rates in detail'!E14</f>
        <v>0.22814000000000001</v>
      </c>
      <c r="F14" s="14">
        <f>+'Rates in detail'!J14-'Rates in detail'!F14</f>
        <v>0</v>
      </c>
      <c r="G14" s="14">
        <f>+'Rates in detail'!K14+'Rates in detail'!L14-'Rates in detail'!G14-'Rates in detail'!H14</f>
        <v>0</v>
      </c>
      <c r="H14" s="14">
        <f t="shared" ref="H14:H66" si="2">+D14+E14+F14+G14</f>
        <v>1.2468699999999997</v>
      </c>
      <c r="I14" s="14">
        <f>+'Rates in detail'!O14-'Rates in detail'!N14</f>
        <v>0</v>
      </c>
      <c r="J14" s="14"/>
      <c r="K14" s="14"/>
      <c r="L14" s="14"/>
      <c r="M14" s="14"/>
      <c r="N14" s="14"/>
      <c r="O14" s="14"/>
      <c r="P14" s="14"/>
      <c r="Q14" s="224">
        <f>'Rates in detail'!Q14</f>
        <v>-2.8720000000000002E-2</v>
      </c>
      <c r="R14" s="14">
        <f t="shared" si="1"/>
        <v>1.2181499999999996</v>
      </c>
      <c r="S14" s="90"/>
      <c r="T14" s="14">
        <f>+R14-D14</f>
        <v>0.19941999999999993</v>
      </c>
      <c r="U14" s="266">
        <f>ROUND(T14/D14,3)</f>
        <v>0.19600000000000001</v>
      </c>
    </row>
    <row r="15" spans="1:21" x14ac:dyDescent="0.2">
      <c r="A15" s="43">
        <f t="shared" si="0"/>
        <v>9</v>
      </c>
      <c r="B15" s="16" t="s">
        <v>14</v>
      </c>
      <c r="C15" s="13"/>
      <c r="D15" s="14">
        <f>+'Rates in detail'!D15</f>
        <v>0.73545999999999978</v>
      </c>
      <c r="E15" s="14">
        <f>'Rates in detail'!E15</f>
        <v>7.9039999999999999E-2</v>
      </c>
      <c r="F15" s="14">
        <f>+'Rates in detail'!J15-'Rates in detail'!F15</f>
        <v>0</v>
      </c>
      <c r="G15" s="14">
        <f>+'Rates in detail'!K15+'Rates in detail'!L15-'Rates in detail'!G15-'Rates in detail'!H15</f>
        <v>0</v>
      </c>
      <c r="H15" s="14">
        <f t="shared" si="2"/>
        <v>0.81449999999999978</v>
      </c>
      <c r="I15" s="14">
        <f>+'Rates in detail'!O15-'Rates in detail'!N15</f>
        <v>0</v>
      </c>
      <c r="J15" s="14"/>
      <c r="K15" s="14"/>
      <c r="L15" s="14"/>
      <c r="M15" s="14"/>
      <c r="N15" s="14"/>
      <c r="O15" s="14"/>
      <c r="P15" s="14"/>
      <c r="Q15" s="224">
        <f>'Rates in detail'!Q15</f>
        <v>-2.198E-2</v>
      </c>
      <c r="R15" s="14">
        <f t="shared" si="1"/>
        <v>0.79251999999999978</v>
      </c>
      <c r="S15" s="90"/>
      <c r="T15" s="14">
        <f>+R15-D15</f>
        <v>5.706E-2</v>
      </c>
      <c r="U15" s="266">
        <f>ROUND(T15/D15,3)</f>
        <v>7.8E-2</v>
      </c>
    </row>
    <row r="16" spans="1:21" x14ac:dyDescent="0.2">
      <c r="A16" s="43">
        <f t="shared" si="0"/>
        <v>10</v>
      </c>
      <c r="B16" s="16" t="s">
        <v>12</v>
      </c>
      <c r="C16" s="13"/>
      <c r="D16" s="14">
        <f>+'Rates in detail'!D16</f>
        <v>0.7353400000000001</v>
      </c>
      <c r="E16" s="14">
        <f>'Rates in detail'!E16</f>
        <v>6.0269999999999997E-2</v>
      </c>
      <c r="F16" s="14">
        <f>+'Rates in detail'!J16-'Rates in detail'!F16</f>
        <v>0</v>
      </c>
      <c r="G16" s="14">
        <f>+'Rates in detail'!K16+'Rates in detail'!L16-'Rates in detail'!G16-'Rates in detail'!H16</f>
        <v>0</v>
      </c>
      <c r="H16" s="14">
        <f t="shared" si="2"/>
        <v>0.79561000000000015</v>
      </c>
      <c r="I16" s="14">
        <f>+'Rates in detail'!O16-'Rates in detail'!N16</f>
        <v>0</v>
      </c>
      <c r="J16" s="14"/>
      <c r="K16" s="14"/>
      <c r="L16" s="14"/>
      <c r="M16" s="14"/>
      <c r="N16" s="14"/>
      <c r="O16" s="14"/>
      <c r="P16" s="14"/>
      <c r="Q16" s="224">
        <f>'Rates in detail'!Q16</f>
        <v>-1.959E-2</v>
      </c>
      <c r="R16" s="14">
        <f t="shared" si="1"/>
        <v>0.77602000000000015</v>
      </c>
      <c r="S16" s="90"/>
      <c r="T16" s="14">
        <f>+R16-D16</f>
        <v>4.0680000000000049E-2</v>
      </c>
      <c r="U16" s="266">
        <f>ROUND(T16/D16,3)</f>
        <v>5.5E-2</v>
      </c>
    </row>
    <row r="17" spans="1:21" x14ac:dyDescent="0.2">
      <c r="A17" s="43">
        <f t="shared" si="0"/>
        <v>11</v>
      </c>
      <c r="B17" s="16" t="s">
        <v>13</v>
      </c>
      <c r="C17" s="13"/>
      <c r="D17" s="14">
        <f>+'Rates in detail'!D17</f>
        <v>0.70457999999999954</v>
      </c>
      <c r="E17" s="14">
        <f>'Rates in detail'!E17</f>
        <v>6.0400000000000002E-2</v>
      </c>
      <c r="F17" s="14">
        <f>+'Rates in detail'!J17-'Rates in detail'!F17</f>
        <v>0</v>
      </c>
      <c r="G17" s="14">
        <f>+'Rates in detail'!K17+'Rates in detail'!L17-'Rates in detail'!G17-'Rates in detail'!H17</f>
        <v>0</v>
      </c>
      <c r="H17" s="14">
        <f t="shared" si="2"/>
        <v>0.76497999999999955</v>
      </c>
      <c r="I17" s="14">
        <f>+'Rates in detail'!O17-'Rates in detail'!N17</f>
        <v>0</v>
      </c>
      <c r="J17" s="14"/>
      <c r="K17" s="14"/>
      <c r="L17" s="14"/>
      <c r="M17" s="14"/>
      <c r="N17" s="14"/>
      <c r="O17" s="14"/>
      <c r="P17" s="14"/>
      <c r="Q17" s="224">
        <f>'Rates in detail'!Q17</f>
        <v>-1.6570000000000001E-2</v>
      </c>
      <c r="R17" s="14">
        <f t="shared" si="1"/>
        <v>0.74840999999999958</v>
      </c>
      <c r="S17" s="90"/>
      <c r="T17" s="14"/>
      <c r="U17" s="266"/>
    </row>
    <row r="18" spans="1:21" x14ac:dyDescent="0.2">
      <c r="A18" s="43">
        <f t="shared" si="0"/>
        <v>12</v>
      </c>
      <c r="B18" s="68">
        <v>27</v>
      </c>
      <c r="C18" s="21"/>
      <c r="D18" s="14">
        <f>+'Rates in detail'!D18</f>
        <v>0.56221999999999983</v>
      </c>
      <c r="E18" s="14">
        <f>'Rates in detail'!E18</f>
        <v>0.13478999999999999</v>
      </c>
      <c r="F18" s="14">
        <f>+'Rates in detail'!J18-'Rates in detail'!F18</f>
        <v>0</v>
      </c>
      <c r="G18" s="14">
        <f>+'Rates in detail'!K18+'Rates in detail'!L18-'Rates in detail'!G18-'Rates in detail'!H18</f>
        <v>0</v>
      </c>
      <c r="H18" s="14">
        <f t="shared" si="2"/>
        <v>0.6970099999999998</v>
      </c>
      <c r="I18" s="14">
        <f>+'Rates in detail'!O18-'Rates in detail'!N18</f>
        <v>0</v>
      </c>
      <c r="J18" s="14"/>
      <c r="K18" s="14"/>
      <c r="L18" s="14"/>
      <c r="M18" s="14"/>
      <c r="N18" s="14"/>
      <c r="O18" s="14"/>
      <c r="P18" s="14"/>
      <c r="Q18" s="224">
        <f>'Rates in detail'!Q18</f>
        <v>-1.5990000000000001E-2</v>
      </c>
      <c r="R18" s="14">
        <f t="shared" si="1"/>
        <v>0.68101999999999985</v>
      </c>
      <c r="S18" s="90"/>
      <c r="T18" s="14"/>
      <c r="U18" s="266"/>
    </row>
    <row r="19" spans="1:21" x14ac:dyDescent="0.2">
      <c r="A19" s="43">
        <f t="shared" si="0"/>
        <v>13</v>
      </c>
      <c r="B19" s="63" t="s">
        <v>242</v>
      </c>
      <c r="C19" s="18" t="s">
        <v>6</v>
      </c>
      <c r="D19" s="20">
        <f>+'Rates in detail'!D19</f>
        <v>0.4992600000000002</v>
      </c>
      <c r="E19" s="20">
        <f>'Rates in detail'!E19</f>
        <v>7.1480000000000002E-2</v>
      </c>
      <c r="F19" s="20">
        <f>+'Rates in detail'!J19-'Rates in detail'!F19</f>
        <v>0</v>
      </c>
      <c r="G19" s="20">
        <f>+'Rates in detail'!K19+'Rates in detail'!L19-'Rates in detail'!G19-'Rates in detail'!H19</f>
        <v>0</v>
      </c>
      <c r="H19" s="20">
        <f t="shared" si="2"/>
        <v>0.57074000000000025</v>
      </c>
      <c r="I19" s="20">
        <f>+'Rates in detail'!O19-'Rates in detail'!N19</f>
        <v>0</v>
      </c>
      <c r="J19" s="20"/>
      <c r="K19" s="20"/>
      <c r="L19" s="20"/>
      <c r="M19" s="20"/>
      <c r="N19" s="20"/>
      <c r="O19" s="20"/>
      <c r="P19" s="20"/>
      <c r="Q19" s="246">
        <f>'Rates in detail'!Q19</f>
        <v>-1.447E-2</v>
      </c>
      <c r="R19" s="20">
        <f t="shared" si="1"/>
        <v>0.55627000000000026</v>
      </c>
      <c r="S19" s="90"/>
      <c r="T19" s="20"/>
      <c r="U19" s="266"/>
    </row>
    <row r="20" spans="1:21" x14ac:dyDescent="0.2">
      <c r="A20" s="43">
        <f t="shared" si="0"/>
        <v>14</v>
      </c>
      <c r="B20" s="68"/>
      <c r="C20" s="22" t="s">
        <v>7</v>
      </c>
      <c r="D20" s="14">
        <f>+'Rates in detail'!D20</f>
        <v>0.46018000000000003</v>
      </c>
      <c r="E20" s="14">
        <f>'Rates in detail'!E20</f>
        <v>6.2920000000000004E-2</v>
      </c>
      <c r="F20" s="14">
        <f>+'Rates in detail'!J20-'Rates in detail'!F20</f>
        <v>0</v>
      </c>
      <c r="G20" s="14">
        <f>+'Rates in detail'!K20+'Rates in detail'!L20-'Rates in detail'!G20-'Rates in detail'!H20</f>
        <v>0</v>
      </c>
      <c r="H20" s="14">
        <f t="shared" si="2"/>
        <v>0.52310000000000001</v>
      </c>
      <c r="I20" s="14">
        <f>+'Rates in detail'!O20-'Rates in detail'!N20</f>
        <v>0</v>
      </c>
      <c r="J20" s="14"/>
      <c r="K20" s="14"/>
      <c r="L20" s="14"/>
      <c r="M20" s="14"/>
      <c r="N20" s="14"/>
      <c r="O20" s="14"/>
      <c r="P20" s="14"/>
      <c r="Q20" s="224">
        <f>'Rates in detail'!Q20</f>
        <v>-1.274E-2</v>
      </c>
      <c r="R20" s="14">
        <f t="shared" si="1"/>
        <v>0.51036000000000004</v>
      </c>
      <c r="S20" s="90"/>
      <c r="T20" s="14"/>
      <c r="U20" s="266"/>
    </row>
    <row r="21" spans="1:21" x14ac:dyDescent="0.2">
      <c r="A21" s="43">
        <f t="shared" si="0"/>
        <v>15</v>
      </c>
      <c r="B21" s="63" t="s">
        <v>243</v>
      </c>
      <c r="C21" s="18" t="s">
        <v>6</v>
      </c>
      <c r="D21" s="20">
        <f>+'Rates in detail'!D21</f>
        <v>0.51518999999999993</v>
      </c>
      <c r="E21" s="20">
        <f>'Rates in detail'!E21</f>
        <v>7.1709999999999996E-2</v>
      </c>
      <c r="F21" s="20">
        <f>+'Rates in detail'!J21-'Rates in detail'!F21</f>
        <v>0</v>
      </c>
      <c r="G21" s="20">
        <f>+'Rates in detail'!K21+'Rates in detail'!L21-'Rates in detail'!G21-'Rates in detail'!H21</f>
        <v>0</v>
      </c>
      <c r="H21" s="20">
        <f t="shared" si="2"/>
        <v>0.58689999999999998</v>
      </c>
      <c r="I21" s="20">
        <f>+'Rates in detail'!O21-'Rates in detail'!N21</f>
        <v>0</v>
      </c>
      <c r="J21" s="20"/>
      <c r="K21" s="20"/>
      <c r="L21" s="20"/>
      <c r="M21" s="20"/>
      <c r="N21" s="20"/>
      <c r="O21" s="20"/>
      <c r="P21" s="20"/>
      <c r="Q21" s="246">
        <f>'Rates in detail'!Q21</f>
        <v>-1.5519999999999999E-2</v>
      </c>
      <c r="R21" s="20">
        <f t="shared" si="1"/>
        <v>0.57138</v>
      </c>
      <c r="S21" s="90"/>
      <c r="T21" s="20"/>
      <c r="U21" s="266"/>
    </row>
    <row r="22" spans="1:21" x14ac:dyDescent="0.2">
      <c r="A22" s="43">
        <f t="shared" si="0"/>
        <v>16</v>
      </c>
      <c r="B22" s="68"/>
      <c r="C22" s="22" t="s">
        <v>7</v>
      </c>
      <c r="D22" s="14">
        <f>+'Rates in detail'!D22</f>
        <v>0.47625999999999991</v>
      </c>
      <c r="E22" s="14">
        <f>'Rates in detail'!E22</f>
        <v>6.3149999999999998E-2</v>
      </c>
      <c r="F22" s="14">
        <f>+'Rates in detail'!J22-'Rates in detail'!F22</f>
        <v>0</v>
      </c>
      <c r="G22" s="14">
        <f>+'Rates in detail'!K22+'Rates in detail'!L22-'Rates in detail'!G22-'Rates in detail'!H22</f>
        <v>0</v>
      </c>
      <c r="H22" s="14">
        <f t="shared" si="2"/>
        <v>0.53940999999999995</v>
      </c>
      <c r="I22" s="14">
        <f>+'Rates in detail'!O22-'Rates in detail'!N22</f>
        <v>0</v>
      </c>
      <c r="J22" s="14"/>
      <c r="K22" s="14"/>
      <c r="L22" s="14"/>
      <c r="M22" s="14"/>
      <c r="N22" s="14"/>
      <c r="O22" s="14"/>
      <c r="P22" s="14"/>
      <c r="Q22" s="224">
        <f>'Rates in detail'!Q22</f>
        <v>-1.3679999999999999E-2</v>
      </c>
      <c r="R22" s="14">
        <f t="shared" si="1"/>
        <v>0.52572999999999992</v>
      </c>
      <c r="S22" s="90"/>
      <c r="T22" s="14"/>
      <c r="U22" s="266"/>
    </row>
    <row r="23" spans="1:21" x14ac:dyDescent="0.2">
      <c r="A23" s="43">
        <f t="shared" si="0"/>
        <v>17</v>
      </c>
      <c r="B23" s="63" t="s">
        <v>126</v>
      </c>
      <c r="C23" s="18" t="s">
        <v>6</v>
      </c>
      <c r="D23" s="20">
        <f>+'Rates in detail'!D23</f>
        <v>0.30018999999999996</v>
      </c>
      <c r="E23" s="20">
        <f>'Rates in detail'!E23</f>
        <v>7.2349999999999998E-2</v>
      </c>
      <c r="F23" s="20">
        <f>+'Rates in detail'!J23-'Rates in detail'!F23</f>
        <v>0</v>
      </c>
      <c r="G23" s="20">
        <f>+'Rates in detail'!K23+'Rates in detail'!L23-'Rates in detail'!G23-'Rates in detail'!H23</f>
        <v>0</v>
      </c>
      <c r="H23" s="20">
        <f t="shared" si="2"/>
        <v>0.37253999999999998</v>
      </c>
      <c r="I23" s="20">
        <f>+'Rates in detail'!O23-'Rates in detail'!N23</f>
        <v>0</v>
      </c>
      <c r="J23" s="20"/>
      <c r="K23" s="20"/>
      <c r="L23" s="20"/>
      <c r="M23" s="20"/>
      <c r="N23" s="20"/>
      <c r="O23" s="20"/>
      <c r="P23" s="20"/>
      <c r="Q23" s="246">
        <f>'Rates in detail'!Q23</f>
        <v>-1.5810000000000001E-2</v>
      </c>
      <c r="R23" s="20">
        <f t="shared" si="1"/>
        <v>0.35672999999999999</v>
      </c>
      <c r="S23" s="90"/>
      <c r="T23" s="20"/>
      <c r="U23" s="266"/>
    </row>
    <row r="24" spans="1:21" x14ac:dyDescent="0.2">
      <c r="A24" s="43">
        <f t="shared" si="0"/>
        <v>18</v>
      </c>
      <c r="B24" s="68"/>
      <c r="C24" s="22" t="s">
        <v>7</v>
      </c>
      <c r="D24" s="14">
        <f>+'Rates in detail'!D24</f>
        <v>0.26449</v>
      </c>
      <c r="E24" s="14">
        <f>'Rates in detail'!E24</f>
        <v>6.3710000000000003E-2</v>
      </c>
      <c r="F24" s="14">
        <f>+'Rates in detail'!J24-'Rates in detail'!F24</f>
        <v>0</v>
      </c>
      <c r="G24" s="14">
        <f>+'Rates in detail'!K24+'Rates in detail'!L24-'Rates in detail'!G24-'Rates in detail'!H24</f>
        <v>0</v>
      </c>
      <c r="H24" s="14">
        <f t="shared" si="2"/>
        <v>0.32819999999999999</v>
      </c>
      <c r="I24" s="14">
        <f>+'Rates in detail'!O24-'Rates in detail'!N24</f>
        <v>0</v>
      </c>
      <c r="J24" s="14"/>
      <c r="K24" s="14"/>
      <c r="L24" s="14"/>
      <c r="M24" s="14"/>
      <c r="N24" s="14"/>
      <c r="O24" s="14"/>
      <c r="P24" s="14"/>
      <c r="Q24" s="224">
        <f>'Rates in detail'!Q24</f>
        <v>-1.3930000000000001E-2</v>
      </c>
      <c r="R24" s="14">
        <f t="shared" si="1"/>
        <v>0.31426999999999999</v>
      </c>
      <c r="S24" s="90"/>
      <c r="T24" s="14"/>
      <c r="U24" s="266"/>
    </row>
    <row r="25" spans="1:21" x14ac:dyDescent="0.2">
      <c r="A25" s="43">
        <f t="shared" si="0"/>
        <v>19</v>
      </c>
      <c r="B25" s="63" t="s">
        <v>244</v>
      </c>
      <c r="C25" s="18" t="s">
        <v>6</v>
      </c>
      <c r="D25" s="20">
        <f>+'Rates in detail'!D25</f>
        <v>0.47592000000000029</v>
      </c>
      <c r="E25" s="20">
        <f>'Rates in detail'!E25</f>
        <v>7.1440000000000003E-2</v>
      </c>
      <c r="F25" s="20">
        <f>+'Rates in detail'!J25-'Rates in detail'!F25</f>
        <v>0</v>
      </c>
      <c r="G25" s="20">
        <f>+'Rates in detail'!K25+'Rates in detail'!L25-'Rates in detail'!G25-'Rates in detail'!H25</f>
        <v>0</v>
      </c>
      <c r="H25" s="20">
        <f t="shared" si="2"/>
        <v>0.54736000000000029</v>
      </c>
      <c r="I25" s="20">
        <f>+'Rates in detail'!O25-'Rates in detail'!N25</f>
        <v>0</v>
      </c>
      <c r="J25" s="20"/>
      <c r="K25" s="20"/>
      <c r="L25" s="20"/>
      <c r="M25" s="20"/>
      <c r="N25" s="20"/>
      <c r="O25" s="20"/>
      <c r="P25" s="20"/>
      <c r="Q25" s="246">
        <f>'Rates in detail'!Q25</f>
        <v>-1.426E-2</v>
      </c>
      <c r="R25" s="20">
        <f t="shared" si="1"/>
        <v>0.53310000000000024</v>
      </c>
      <c r="S25" s="90"/>
      <c r="T25" s="20"/>
      <c r="U25" s="266"/>
    </row>
    <row r="26" spans="1:21" x14ac:dyDescent="0.2">
      <c r="A26" s="43">
        <f t="shared" si="0"/>
        <v>20</v>
      </c>
      <c r="B26" s="68"/>
      <c r="C26" s="22" t="s">
        <v>7</v>
      </c>
      <c r="D26" s="14">
        <f>+'Rates in detail'!D26</f>
        <v>0.43959999999999988</v>
      </c>
      <c r="E26" s="14">
        <f>'Rates in detail'!E26</f>
        <v>6.2890000000000001E-2</v>
      </c>
      <c r="F26" s="14">
        <f>+'Rates in detail'!J26-'Rates in detail'!F26</f>
        <v>0</v>
      </c>
      <c r="G26" s="14">
        <f>+'Rates in detail'!K26+'Rates in detail'!L26-'Rates in detail'!G26-'Rates in detail'!H26</f>
        <v>0</v>
      </c>
      <c r="H26" s="14">
        <f t="shared" si="2"/>
        <v>0.50248999999999988</v>
      </c>
      <c r="I26" s="14">
        <f>+'Rates in detail'!O26-'Rates in detail'!N26</f>
        <v>0</v>
      </c>
      <c r="J26" s="14"/>
      <c r="K26" s="14"/>
      <c r="L26" s="14"/>
      <c r="M26" s="14"/>
      <c r="N26" s="14"/>
      <c r="O26" s="14"/>
      <c r="P26" s="14"/>
      <c r="Q26" s="224">
        <f>'Rates in detail'!Q26</f>
        <v>-1.256E-2</v>
      </c>
      <c r="R26" s="14">
        <f t="shared" si="1"/>
        <v>0.48992999999999987</v>
      </c>
      <c r="S26" s="90"/>
      <c r="T26" s="14"/>
      <c r="U26" s="266"/>
    </row>
    <row r="27" spans="1:21" x14ac:dyDescent="0.2">
      <c r="A27" s="43">
        <f t="shared" si="0"/>
        <v>21</v>
      </c>
      <c r="B27" s="63" t="s">
        <v>245</v>
      </c>
      <c r="C27" s="18" t="s">
        <v>6</v>
      </c>
      <c r="D27" s="20">
        <f>+'Rates in detail'!D27</f>
        <v>0.49300000000000005</v>
      </c>
      <c r="E27" s="20">
        <f>'Rates in detail'!E27</f>
        <v>7.1709999999999996E-2</v>
      </c>
      <c r="F27" s="20">
        <f>+'Rates in detail'!J27-'Rates in detail'!F27</f>
        <v>0</v>
      </c>
      <c r="G27" s="20">
        <f>+'Rates in detail'!K27+'Rates in detail'!L27-'Rates in detail'!G27-'Rates in detail'!H27</f>
        <v>0</v>
      </c>
      <c r="H27" s="20">
        <f t="shared" si="2"/>
        <v>0.56471000000000005</v>
      </c>
      <c r="I27" s="20">
        <f>+'Rates in detail'!O27-'Rates in detail'!N27</f>
        <v>0</v>
      </c>
      <c r="J27" s="20"/>
      <c r="K27" s="20"/>
      <c r="L27" s="20"/>
      <c r="M27" s="20"/>
      <c r="N27" s="20"/>
      <c r="O27" s="20"/>
      <c r="P27" s="20"/>
      <c r="Q27" s="246">
        <f>'Rates in detail'!Q27</f>
        <v>-1.5519999999999999E-2</v>
      </c>
      <c r="R27" s="20">
        <f t="shared" si="1"/>
        <v>0.54919000000000007</v>
      </c>
      <c r="S27" s="90"/>
      <c r="T27" s="20"/>
      <c r="U27" s="266"/>
    </row>
    <row r="28" spans="1:21" x14ac:dyDescent="0.2">
      <c r="A28" s="43">
        <f t="shared" si="0"/>
        <v>22</v>
      </c>
      <c r="B28" s="68"/>
      <c r="C28" s="22" t="s">
        <v>7</v>
      </c>
      <c r="D28" s="14">
        <f>+'Rates in detail'!D28</f>
        <v>0.45670999999999995</v>
      </c>
      <c r="E28" s="14">
        <f>'Rates in detail'!E28</f>
        <v>6.3149999999999998E-2</v>
      </c>
      <c r="F28" s="14">
        <f>+'Rates in detail'!J28-'Rates in detail'!F28</f>
        <v>0</v>
      </c>
      <c r="G28" s="14">
        <f>+'Rates in detail'!K28+'Rates in detail'!L28-'Rates in detail'!G28-'Rates in detail'!H28</f>
        <v>0</v>
      </c>
      <c r="H28" s="14">
        <f t="shared" si="2"/>
        <v>0.51985999999999999</v>
      </c>
      <c r="I28" s="14">
        <f>+'Rates in detail'!O28-'Rates in detail'!N28</f>
        <v>0</v>
      </c>
      <c r="J28" s="14"/>
      <c r="K28" s="14"/>
      <c r="L28" s="14"/>
      <c r="M28" s="14"/>
      <c r="N28" s="14"/>
      <c r="O28" s="14"/>
      <c r="P28" s="14"/>
      <c r="Q28" s="224">
        <f>'Rates in detail'!Q28</f>
        <v>-1.3679999999999999E-2</v>
      </c>
      <c r="R28" s="14">
        <f t="shared" si="1"/>
        <v>0.50617999999999996</v>
      </c>
      <c r="S28" s="90"/>
      <c r="T28" s="14"/>
      <c r="U28" s="266"/>
    </row>
    <row r="29" spans="1:21" x14ac:dyDescent="0.2">
      <c r="A29" s="43">
        <f t="shared" si="0"/>
        <v>23</v>
      </c>
      <c r="B29" s="63" t="s">
        <v>127</v>
      </c>
      <c r="C29" s="18" t="s">
        <v>6</v>
      </c>
      <c r="D29" s="20">
        <f>+'Rates in detail'!D29</f>
        <v>0.30433999999999994</v>
      </c>
      <c r="E29" s="20">
        <f>'Rates in detail'!E29</f>
        <v>2.5219999999999999E-2</v>
      </c>
      <c r="F29" s="20">
        <f>+'Rates in detail'!J29-'Rates in detail'!F29</f>
        <v>0</v>
      </c>
      <c r="G29" s="20">
        <f>+'Rates in detail'!K29+'Rates in detail'!L29-'Rates in detail'!G29-'Rates in detail'!H29</f>
        <v>0</v>
      </c>
      <c r="H29" s="20">
        <f t="shared" si="2"/>
        <v>0.32955999999999996</v>
      </c>
      <c r="I29" s="20">
        <f>+'Rates in detail'!O29-'Rates in detail'!N29</f>
        <v>0</v>
      </c>
      <c r="J29" s="20"/>
      <c r="K29" s="20"/>
      <c r="L29" s="20"/>
      <c r="M29" s="20"/>
      <c r="N29" s="20"/>
      <c r="O29" s="20"/>
      <c r="P29" s="20"/>
      <c r="Q29" s="246">
        <f>'Rates in detail'!Q29</f>
        <v>-9.4999999999999998E-3</v>
      </c>
      <c r="R29" s="20">
        <f t="shared" si="1"/>
        <v>0.32005999999999996</v>
      </c>
      <c r="S29" s="90"/>
      <c r="T29" s="20"/>
      <c r="U29" s="266"/>
    </row>
    <row r="30" spans="1:21" x14ac:dyDescent="0.2">
      <c r="A30" s="43">
        <f t="shared" si="0"/>
        <v>24</v>
      </c>
      <c r="B30" s="63"/>
      <c r="C30" s="18" t="s">
        <v>7</v>
      </c>
      <c r="D30" s="20">
        <f>+'Rates in detail'!D30</f>
        <v>0.29029999999999978</v>
      </c>
      <c r="E30" s="20">
        <f>'Rates in detail'!E30</f>
        <v>2.2499999999999999E-2</v>
      </c>
      <c r="F30" s="20">
        <f>+'Rates in detail'!J30-'Rates in detail'!F30</f>
        <v>0</v>
      </c>
      <c r="G30" s="20">
        <f>+'Rates in detail'!K30+'Rates in detail'!L30-'Rates in detail'!G30-'Rates in detail'!H30</f>
        <v>0</v>
      </c>
      <c r="H30" s="20">
        <f t="shared" si="2"/>
        <v>0.3127999999999998</v>
      </c>
      <c r="I30" s="20">
        <f>+'Rates in detail'!O30-'Rates in detail'!N30</f>
        <v>0</v>
      </c>
      <c r="J30" s="20"/>
      <c r="K30" s="20"/>
      <c r="L30" s="20"/>
      <c r="M30" s="20"/>
      <c r="N30" s="20"/>
      <c r="O30" s="20"/>
      <c r="P30" s="20"/>
      <c r="Q30" s="246">
        <f>'Rates in detail'!Q30</f>
        <v>-8.4899999999999993E-3</v>
      </c>
      <c r="R30" s="20">
        <f t="shared" si="1"/>
        <v>0.3043099999999998</v>
      </c>
      <c r="S30" s="90"/>
      <c r="T30" s="20"/>
      <c r="U30" s="266"/>
    </row>
    <row r="31" spans="1:21" x14ac:dyDescent="0.2">
      <c r="A31" s="43">
        <f t="shared" si="0"/>
        <v>25</v>
      </c>
      <c r="B31" s="63"/>
      <c r="C31" s="18" t="s">
        <v>8</v>
      </c>
      <c r="D31" s="20">
        <f>+'Rates in detail'!D31</f>
        <v>0.26236999999999994</v>
      </c>
      <c r="E31" s="20">
        <f>'Rates in detail'!E31</f>
        <v>1.7149999999999999E-2</v>
      </c>
      <c r="F31" s="20">
        <f>+'Rates in detail'!J31-'Rates in detail'!F31</f>
        <v>0</v>
      </c>
      <c r="G31" s="20">
        <f>+'Rates in detail'!K31+'Rates in detail'!L31-'Rates in detail'!G31-'Rates in detail'!H31</f>
        <v>0</v>
      </c>
      <c r="H31" s="20">
        <f t="shared" si="2"/>
        <v>0.27951999999999994</v>
      </c>
      <c r="I31" s="20">
        <f>+'Rates in detail'!O31-'Rates in detail'!N31</f>
        <v>0</v>
      </c>
      <c r="J31" s="20"/>
      <c r="K31" s="20"/>
      <c r="L31" s="20"/>
      <c r="M31" s="20"/>
      <c r="N31" s="20"/>
      <c r="O31" s="20"/>
      <c r="P31" s="20"/>
      <c r="Q31" s="246">
        <f>'Rates in detail'!Q31</f>
        <v>-6.5100000000000002E-3</v>
      </c>
      <c r="R31" s="20">
        <f t="shared" si="1"/>
        <v>0.27300999999999992</v>
      </c>
      <c r="S31" s="90"/>
      <c r="T31" s="20"/>
      <c r="U31" s="266"/>
    </row>
    <row r="32" spans="1:21" x14ac:dyDescent="0.2">
      <c r="A32" s="43">
        <f t="shared" si="0"/>
        <v>26</v>
      </c>
      <c r="B32" s="63"/>
      <c r="C32" s="18" t="s">
        <v>9</v>
      </c>
      <c r="D32" s="20">
        <f>+'Rates in detail'!D32</f>
        <v>0.24398000000000022</v>
      </c>
      <c r="E32" s="20">
        <f>'Rates in detail'!E32</f>
        <v>1.3679999999999999E-2</v>
      </c>
      <c r="F32" s="20">
        <f>+'Rates in detail'!J32-'Rates in detail'!F32</f>
        <v>0</v>
      </c>
      <c r="G32" s="20">
        <f>+'Rates in detail'!K32+'Rates in detail'!L32-'Rates in detail'!G32-'Rates in detail'!H32</f>
        <v>0</v>
      </c>
      <c r="H32" s="20">
        <f t="shared" si="2"/>
        <v>0.25766000000000022</v>
      </c>
      <c r="I32" s="20">
        <f>+'Rates in detail'!O32-'Rates in detail'!N32</f>
        <v>0</v>
      </c>
      <c r="J32" s="20"/>
      <c r="K32" s="20"/>
      <c r="L32" s="20"/>
      <c r="M32" s="20"/>
      <c r="N32" s="20"/>
      <c r="O32" s="20"/>
      <c r="P32" s="20"/>
      <c r="Q32" s="246">
        <f>'Rates in detail'!Q32</f>
        <v>-5.2200000000000007E-3</v>
      </c>
      <c r="R32" s="20">
        <f t="shared" si="1"/>
        <v>0.25244000000000022</v>
      </c>
      <c r="S32" s="90"/>
      <c r="T32" s="20"/>
      <c r="U32" s="266"/>
    </row>
    <row r="33" spans="1:21" x14ac:dyDescent="0.2">
      <c r="A33" s="43">
        <f t="shared" si="0"/>
        <v>27</v>
      </c>
      <c r="B33" s="63"/>
      <c r="C33" s="18" t="s">
        <v>10</v>
      </c>
      <c r="D33" s="20">
        <f>+'Rates in detail'!D33</f>
        <v>0.21944999999999995</v>
      </c>
      <c r="E33" s="20">
        <f>'Rates in detail'!E33</f>
        <v>9.1299999999999992E-3</v>
      </c>
      <c r="F33" s="20">
        <f>+'Rates in detail'!J33-'Rates in detail'!F33</f>
        <v>0</v>
      </c>
      <c r="G33" s="20">
        <f>+'Rates in detail'!K33+'Rates in detail'!L33-'Rates in detail'!G33-'Rates in detail'!H33</f>
        <v>0</v>
      </c>
      <c r="H33" s="20">
        <f t="shared" si="2"/>
        <v>0.22857999999999995</v>
      </c>
      <c r="I33" s="20">
        <f>+'Rates in detail'!O33-'Rates in detail'!N33</f>
        <v>0</v>
      </c>
      <c r="J33" s="20"/>
      <c r="K33" s="20"/>
      <c r="L33" s="20"/>
      <c r="M33" s="20"/>
      <c r="N33" s="20"/>
      <c r="O33" s="20"/>
      <c r="P33" s="20"/>
      <c r="Q33" s="246">
        <f>'Rates in detail'!Q33</f>
        <v>-3.4799999999999996E-3</v>
      </c>
      <c r="R33" s="20">
        <f t="shared" si="1"/>
        <v>0.22509999999999994</v>
      </c>
      <c r="S33" s="90"/>
      <c r="T33" s="20"/>
      <c r="U33" s="266"/>
    </row>
    <row r="34" spans="1:21" x14ac:dyDescent="0.2">
      <c r="A34" s="43">
        <f t="shared" si="0"/>
        <v>28</v>
      </c>
      <c r="B34" s="68"/>
      <c r="C34" s="22" t="s">
        <v>11</v>
      </c>
      <c r="D34" s="14">
        <f>+'Rates in detail'!D34</f>
        <v>0.18881000000000009</v>
      </c>
      <c r="E34" s="14">
        <f>'Rates in detail'!E34</f>
        <v>0</v>
      </c>
      <c r="F34" s="14">
        <f>+'Rates in detail'!J34-'Rates in detail'!F34</f>
        <v>0</v>
      </c>
      <c r="G34" s="14">
        <f>+'Rates in detail'!K34+'Rates in detail'!L34-'Rates in detail'!G34-'Rates in detail'!H34</f>
        <v>0</v>
      </c>
      <c r="H34" s="14">
        <f t="shared" si="2"/>
        <v>0.18881000000000009</v>
      </c>
      <c r="I34" s="14">
        <f>+'Rates in detail'!O34-'Rates in detail'!N34</f>
        <v>0</v>
      </c>
      <c r="J34" s="14"/>
      <c r="K34" s="14"/>
      <c r="L34" s="14"/>
      <c r="M34" s="14"/>
      <c r="N34" s="14"/>
      <c r="O34" s="14"/>
      <c r="P34" s="14"/>
      <c r="Q34" s="224">
        <f>'Rates in detail'!Q34</f>
        <v>-1.2999999999999999E-3</v>
      </c>
      <c r="R34" s="14">
        <f t="shared" si="1"/>
        <v>0.18751000000000009</v>
      </c>
      <c r="S34" s="90"/>
      <c r="T34" s="14"/>
      <c r="U34" s="266"/>
    </row>
    <row r="35" spans="1:21" x14ac:dyDescent="0.2">
      <c r="A35" s="43">
        <f t="shared" si="0"/>
        <v>29</v>
      </c>
      <c r="B35" s="63" t="s">
        <v>128</v>
      </c>
      <c r="C35" s="18" t="s">
        <v>6</v>
      </c>
      <c r="D35" s="20">
        <f>+'Rates in detail'!D35</f>
        <v>0.29139999999999999</v>
      </c>
      <c r="E35" s="20">
        <f>'Rates in detail'!E35</f>
        <v>2.528E-2</v>
      </c>
      <c r="F35" s="20">
        <f>+'Rates in detail'!J35-'Rates in detail'!F35</f>
        <v>0</v>
      </c>
      <c r="G35" s="20">
        <f>+'Rates in detail'!K35+'Rates in detail'!L35-'Rates in detail'!G35-'Rates in detail'!H35</f>
        <v>0</v>
      </c>
      <c r="H35" s="20">
        <f t="shared" si="2"/>
        <v>0.31668000000000002</v>
      </c>
      <c r="I35" s="20">
        <f>+'Rates in detail'!O35-'Rates in detail'!N35</f>
        <v>0</v>
      </c>
      <c r="J35" s="20"/>
      <c r="K35" s="20"/>
      <c r="L35" s="20"/>
      <c r="M35" s="20"/>
      <c r="N35" s="20"/>
      <c r="O35" s="20"/>
      <c r="P35" s="20"/>
      <c r="Q35" s="246">
        <f>'Rates in detail'!Q35</f>
        <v>-8.4200000000000004E-3</v>
      </c>
      <c r="R35" s="20">
        <f t="shared" si="1"/>
        <v>0.30826000000000003</v>
      </c>
      <c r="S35" s="90"/>
      <c r="T35" s="20"/>
      <c r="U35" s="266"/>
    </row>
    <row r="36" spans="1:21" x14ac:dyDescent="0.2">
      <c r="A36" s="43">
        <f t="shared" si="0"/>
        <v>30</v>
      </c>
      <c r="B36" s="63"/>
      <c r="C36" s="18" t="s">
        <v>7</v>
      </c>
      <c r="D36" s="20">
        <f>+'Rates in detail'!D36</f>
        <v>0.27872000000000008</v>
      </c>
      <c r="E36" s="20">
        <f>'Rates in detail'!E36</f>
        <v>2.256E-2</v>
      </c>
      <c r="F36" s="20">
        <f>+'Rates in detail'!J36-'Rates in detail'!F36</f>
        <v>0</v>
      </c>
      <c r="G36" s="20">
        <f>+'Rates in detail'!K36+'Rates in detail'!L36-'Rates in detail'!G36-'Rates in detail'!H36</f>
        <v>0</v>
      </c>
      <c r="H36" s="20">
        <f t="shared" si="2"/>
        <v>0.3012800000000001</v>
      </c>
      <c r="I36" s="20">
        <f>+'Rates in detail'!O36-'Rates in detail'!N36</f>
        <v>0</v>
      </c>
      <c r="J36" s="20"/>
      <c r="K36" s="20"/>
      <c r="L36" s="20"/>
      <c r="M36" s="20"/>
      <c r="N36" s="20"/>
      <c r="O36" s="20"/>
      <c r="P36" s="20"/>
      <c r="Q36" s="246">
        <f>'Rates in detail'!Q36</f>
        <v>-7.5399999999999998E-3</v>
      </c>
      <c r="R36" s="20">
        <f t="shared" si="1"/>
        <v>0.29374000000000011</v>
      </c>
      <c r="S36" s="90"/>
      <c r="T36" s="20"/>
      <c r="U36" s="266"/>
    </row>
    <row r="37" spans="1:21" x14ac:dyDescent="0.2">
      <c r="A37" s="43">
        <f t="shared" si="0"/>
        <v>31</v>
      </c>
      <c r="B37" s="63"/>
      <c r="C37" s="18" t="s">
        <v>8</v>
      </c>
      <c r="D37" s="20">
        <f>+'Rates in detail'!D37</f>
        <v>0.25346999999999992</v>
      </c>
      <c r="E37" s="20">
        <f>'Rates in detail'!E37</f>
        <v>1.72E-2</v>
      </c>
      <c r="F37" s="20">
        <f>+'Rates in detail'!J37-'Rates in detail'!F37</f>
        <v>0</v>
      </c>
      <c r="G37" s="20">
        <f>+'Rates in detail'!K37+'Rates in detail'!L37-'Rates in detail'!G37-'Rates in detail'!H37</f>
        <v>0</v>
      </c>
      <c r="H37" s="20">
        <f t="shared" si="2"/>
        <v>0.27066999999999991</v>
      </c>
      <c r="I37" s="20">
        <f>+'Rates in detail'!O37-'Rates in detail'!N37</f>
        <v>0</v>
      </c>
      <c r="J37" s="20"/>
      <c r="K37" s="20"/>
      <c r="L37" s="20"/>
      <c r="M37" s="20"/>
      <c r="N37" s="20"/>
      <c r="O37" s="20"/>
      <c r="P37" s="20"/>
      <c r="Q37" s="246">
        <f>'Rates in detail'!Q37</f>
        <v>-5.7800000000000004E-3</v>
      </c>
      <c r="R37" s="20">
        <f t="shared" si="1"/>
        <v>0.2648899999999999</v>
      </c>
      <c r="S37" s="90"/>
      <c r="T37" s="20"/>
      <c r="U37" s="266"/>
    </row>
    <row r="38" spans="1:21" x14ac:dyDescent="0.2">
      <c r="A38" s="43">
        <f t="shared" si="0"/>
        <v>32</v>
      </c>
      <c r="B38" s="63"/>
      <c r="C38" s="18" t="s">
        <v>9</v>
      </c>
      <c r="D38" s="20">
        <f>+'Rates in detail'!D38</f>
        <v>0.23686000000000018</v>
      </c>
      <c r="E38" s="20">
        <f>'Rates in detail'!E38</f>
        <v>1.372E-2</v>
      </c>
      <c r="F38" s="20">
        <f>+'Rates in detail'!J38-'Rates in detail'!F38</f>
        <v>0</v>
      </c>
      <c r="G38" s="20">
        <f>+'Rates in detail'!K38+'Rates in detail'!L38-'Rates in detail'!G38-'Rates in detail'!H38</f>
        <v>0</v>
      </c>
      <c r="H38" s="20">
        <f t="shared" si="2"/>
        <v>0.25058000000000019</v>
      </c>
      <c r="I38" s="20">
        <f>+'Rates in detail'!O38-'Rates in detail'!N38</f>
        <v>0</v>
      </c>
      <c r="J38" s="20"/>
      <c r="K38" s="20"/>
      <c r="L38" s="20"/>
      <c r="M38" s="20"/>
      <c r="N38" s="20"/>
      <c r="O38" s="20"/>
      <c r="P38" s="20"/>
      <c r="Q38" s="246">
        <f>'Rates in detail'!Q38</f>
        <v>-4.62E-3</v>
      </c>
      <c r="R38" s="20">
        <f t="shared" si="1"/>
        <v>0.24596000000000018</v>
      </c>
      <c r="S38" s="90"/>
      <c r="T38" s="20"/>
      <c r="U38" s="266"/>
    </row>
    <row r="39" spans="1:21" x14ac:dyDescent="0.2">
      <c r="A39" s="43">
        <f t="shared" si="0"/>
        <v>33</v>
      </c>
      <c r="B39" s="63"/>
      <c r="C39" s="18" t="s">
        <v>10</v>
      </c>
      <c r="D39" s="20">
        <f>+'Rates in detail'!D39</f>
        <v>0.2147300000000002</v>
      </c>
      <c r="E39" s="20">
        <f>'Rates in detail'!E39</f>
        <v>9.1400000000000006E-3</v>
      </c>
      <c r="F39" s="20">
        <f>+'Rates in detail'!J39-'Rates in detail'!F39</f>
        <v>0</v>
      </c>
      <c r="G39" s="20">
        <f>+'Rates in detail'!K39+'Rates in detail'!L39-'Rates in detail'!G39-'Rates in detail'!H39</f>
        <v>0</v>
      </c>
      <c r="H39" s="20">
        <f t="shared" si="2"/>
        <v>0.22387000000000021</v>
      </c>
      <c r="I39" s="20">
        <f>+'Rates in detail'!O39-'Rates in detail'!N39</f>
        <v>0</v>
      </c>
      <c r="J39" s="20"/>
      <c r="K39" s="20"/>
      <c r="L39" s="20"/>
      <c r="M39" s="20"/>
      <c r="N39" s="20"/>
      <c r="O39" s="20"/>
      <c r="P39" s="20"/>
      <c r="Q39" s="246">
        <f>'Rates in detail'!Q39</f>
        <v>-3.0800000000000003E-3</v>
      </c>
      <c r="R39" s="20">
        <f t="shared" si="1"/>
        <v>0.22079000000000021</v>
      </c>
      <c r="S39" s="90"/>
      <c r="T39" s="20"/>
      <c r="U39" s="266"/>
    </row>
    <row r="40" spans="1:21" x14ac:dyDescent="0.2">
      <c r="A40" s="43">
        <f t="shared" si="0"/>
        <v>34</v>
      </c>
      <c r="B40" s="68"/>
      <c r="C40" s="22" t="s">
        <v>11</v>
      </c>
      <c r="D40" s="14">
        <f>+'Rates in detail'!D40</f>
        <v>0.18703999999999993</v>
      </c>
      <c r="E40" s="14">
        <f>'Rates in detail'!E40</f>
        <v>1.0000000000000001E-5</v>
      </c>
      <c r="F40" s="14">
        <f>+'Rates in detail'!J40-'Rates in detail'!F40</f>
        <v>0</v>
      </c>
      <c r="G40" s="14">
        <f>+'Rates in detail'!K40+'Rates in detail'!L40-'Rates in detail'!G40-'Rates in detail'!H40</f>
        <v>0</v>
      </c>
      <c r="H40" s="14">
        <f t="shared" si="2"/>
        <v>0.18704999999999994</v>
      </c>
      <c r="I40" s="14">
        <f>+'Rates in detail'!O40-'Rates in detail'!N40</f>
        <v>0</v>
      </c>
      <c r="J40" s="14"/>
      <c r="K40" s="14"/>
      <c r="L40" s="14"/>
      <c r="M40" s="14"/>
      <c r="N40" s="14"/>
      <c r="O40" s="14"/>
      <c r="P40" s="14"/>
      <c r="Q40" s="224">
        <f>'Rates in detail'!Q40</f>
        <v>-1.15E-3</v>
      </c>
      <c r="R40" s="14">
        <f t="shared" si="1"/>
        <v>0.18589999999999993</v>
      </c>
      <c r="S40" s="90"/>
      <c r="T40" s="14"/>
      <c r="U40" s="266"/>
    </row>
    <row r="41" spans="1:21" x14ac:dyDescent="0.2">
      <c r="A41" s="43">
        <f t="shared" si="0"/>
        <v>35</v>
      </c>
      <c r="B41" s="63" t="s">
        <v>129</v>
      </c>
      <c r="C41" s="18" t="s">
        <v>6</v>
      </c>
      <c r="D41" s="20">
        <f>+'Rates in detail'!D41</f>
        <v>0.11795</v>
      </c>
      <c r="E41" s="20">
        <f>'Rates in detail'!E41</f>
        <v>2.581E-2</v>
      </c>
      <c r="F41" s="20">
        <f>+'Rates in detail'!J41-'Rates in detail'!F41</f>
        <v>0</v>
      </c>
      <c r="G41" s="20">
        <f>+'Rates in detail'!K41+'Rates in detail'!L41-'Rates in detail'!G41-'Rates in detail'!H41</f>
        <v>0</v>
      </c>
      <c r="H41" s="20">
        <f t="shared" si="2"/>
        <v>0.14376</v>
      </c>
      <c r="I41" s="20">
        <f>+'Rates in detail'!O41-'Rates in detail'!N41</f>
        <v>0</v>
      </c>
      <c r="J41" s="20"/>
      <c r="K41" s="20"/>
      <c r="L41" s="20"/>
      <c r="M41" s="20"/>
      <c r="N41" s="20"/>
      <c r="O41" s="20"/>
      <c r="P41" s="20"/>
      <c r="Q41" s="246">
        <f>'Rates in detail'!Q41</f>
        <v>-6.3499999999999997E-3</v>
      </c>
      <c r="R41" s="20">
        <f t="shared" si="1"/>
        <v>0.13741</v>
      </c>
      <c r="S41" s="90"/>
      <c r="T41" s="20"/>
      <c r="U41" s="266"/>
    </row>
    <row r="42" spans="1:21" x14ac:dyDescent="0.2">
      <c r="A42" s="43">
        <f t="shared" si="0"/>
        <v>36</v>
      </c>
      <c r="B42" s="63"/>
      <c r="C42" s="18" t="s">
        <v>7</v>
      </c>
      <c r="D42" s="20">
        <f>+'Rates in detail'!D42</f>
        <v>0.10557999999999999</v>
      </c>
      <c r="E42" s="20">
        <f>'Rates in detail'!E42</f>
        <v>2.3029999999999998E-2</v>
      </c>
      <c r="F42" s="20">
        <f>+'Rates in detail'!J42-'Rates in detail'!F42</f>
        <v>0</v>
      </c>
      <c r="G42" s="20">
        <f>+'Rates in detail'!K42+'Rates in detail'!L42-'Rates in detail'!G42-'Rates in detail'!H42</f>
        <v>0</v>
      </c>
      <c r="H42" s="20">
        <f t="shared" si="2"/>
        <v>0.12861</v>
      </c>
      <c r="I42" s="20">
        <f>+'Rates in detail'!O42-'Rates in detail'!N42</f>
        <v>0</v>
      </c>
      <c r="J42" s="20"/>
      <c r="K42" s="20"/>
      <c r="L42" s="20"/>
      <c r="M42" s="20"/>
      <c r="N42" s="20"/>
      <c r="O42" s="20"/>
      <c r="P42" s="20"/>
      <c r="Q42" s="246">
        <f>'Rates in detail'!Q42</f>
        <v>-5.6799999999999993E-3</v>
      </c>
      <c r="R42" s="20">
        <f t="shared" si="1"/>
        <v>0.12293</v>
      </c>
      <c r="S42" s="90"/>
      <c r="T42" s="20"/>
      <c r="U42" s="266"/>
    </row>
    <row r="43" spans="1:21" x14ac:dyDescent="0.2">
      <c r="A43" s="43">
        <f t="shared" si="0"/>
        <v>37</v>
      </c>
      <c r="B43" s="63"/>
      <c r="C43" s="18" t="s">
        <v>8</v>
      </c>
      <c r="D43" s="20">
        <f>+'Rates in detail'!D43</f>
        <v>8.0960000000000004E-2</v>
      </c>
      <c r="E43" s="20">
        <f>'Rates in detail'!E43</f>
        <v>1.7569999999999999E-2</v>
      </c>
      <c r="F43" s="20">
        <f>+'Rates in detail'!J43-'Rates in detail'!F43</f>
        <v>0</v>
      </c>
      <c r="G43" s="20">
        <f>+'Rates in detail'!K43+'Rates in detail'!L43-'Rates in detail'!G43-'Rates in detail'!H43</f>
        <v>0</v>
      </c>
      <c r="H43" s="20">
        <f t="shared" si="2"/>
        <v>9.8530000000000006E-2</v>
      </c>
      <c r="I43" s="20">
        <f>+'Rates in detail'!O43-'Rates in detail'!N43</f>
        <v>0</v>
      </c>
      <c r="J43" s="20"/>
      <c r="K43" s="20"/>
      <c r="L43" s="20"/>
      <c r="M43" s="20"/>
      <c r="N43" s="20"/>
      <c r="O43" s="20"/>
      <c r="P43" s="20"/>
      <c r="Q43" s="246">
        <f>'Rates in detail'!Q43</f>
        <v>-4.3599999999999993E-3</v>
      </c>
      <c r="R43" s="20">
        <f t="shared" si="1"/>
        <v>9.4170000000000004E-2</v>
      </c>
      <c r="S43" s="90"/>
      <c r="T43" s="20">
        <f t="shared" ref="T43:T66" si="3">+R43-D43</f>
        <v>1.321E-2</v>
      </c>
      <c r="U43" s="266">
        <f t="shared" ref="U43:U66" si="4">ROUND(T43/D43,3)</f>
        <v>0.16300000000000001</v>
      </c>
    </row>
    <row r="44" spans="1:21" x14ac:dyDescent="0.2">
      <c r="A44" s="43">
        <f t="shared" si="0"/>
        <v>38</v>
      </c>
      <c r="B44" s="63"/>
      <c r="C44" s="18" t="s">
        <v>9</v>
      </c>
      <c r="D44" s="20">
        <f>+'Rates in detail'!D44</f>
        <v>6.4769999999999994E-2</v>
      </c>
      <c r="E44" s="20">
        <f>'Rates in detail'!E44</f>
        <v>1.401E-2</v>
      </c>
      <c r="F44" s="20">
        <f>+'Rates in detail'!J44-'Rates in detail'!F44</f>
        <v>0</v>
      </c>
      <c r="G44" s="20">
        <f>+'Rates in detail'!K44+'Rates in detail'!L44-'Rates in detail'!G44-'Rates in detail'!H44</f>
        <v>0</v>
      </c>
      <c r="H44" s="20">
        <f t="shared" si="2"/>
        <v>7.8779999999999989E-2</v>
      </c>
      <c r="I44" s="20">
        <f>+'Rates in detail'!O44-'Rates in detail'!N44</f>
        <v>0</v>
      </c>
      <c r="J44" s="20"/>
      <c r="K44" s="20"/>
      <c r="L44" s="20"/>
      <c r="M44" s="20"/>
      <c r="N44" s="20"/>
      <c r="O44" s="20"/>
      <c r="P44" s="20"/>
      <c r="Q44" s="246">
        <f>'Rates in detail'!Q44</f>
        <v>-3.49E-3</v>
      </c>
      <c r="R44" s="20">
        <f t="shared" si="1"/>
        <v>7.5289999999999996E-2</v>
      </c>
      <c r="S44" s="90"/>
      <c r="T44" s="20">
        <f t="shared" si="3"/>
        <v>1.0520000000000002E-2</v>
      </c>
      <c r="U44" s="266">
        <f t="shared" si="4"/>
        <v>0.16200000000000001</v>
      </c>
    </row>
    <row r="45" spans="1:21" x14ac:dyDescent="0.2">
      <c r="A45" s="43">
        <f t="shared" si="0"/>
        <v>39</v>
      </c>
      <c r="B45" s="63"/>
      <c r="C45" s="18" t="s">
        <v>10</v>
      </c>
      <c r="D45" s="20">
        <f>+'Rates in detail'!D45</f>
        <v>4.3180000000000003E-2</v>
      </c>
      <c r="E45" s="20">
        <f>'Rates in detail'!E45</f>
        <v>9.3399999999999993E-3</v>
      </c>
      <c r="F45" s="20">
        <f>+'Rates in detail'!J45-'Rates in detail'!F45</f>
        <v>0</v>
      </c>
      <c r="G45" s="20">
        <f>+'Rates in detail'!K45+'Rates in detail'!L45-'Rates in detail'!G45-'Rates in detail'!H45</f>
        <v>0</v>
      </c>
      <c r="H45" s="20">
        <f t="shared" si="2"/>
        <v>5.2520000000000004E-2</v>
      </c>
      <c r="I45" s="20">
        <f>+'Rates in detail'!O45-'Rates in detail'!N45</f>
        <v>0</v>
      </c>
      <c r="J45" s="20"/>
      <c r="K45" s="20"/>
      <c r="L45" s="20"/>
      <c r="M45" s="20"/>
      <c r="N45" s="20"/>
      <c r="O45" s="20"/>
      <c r="P45" s="20"/>
      <c r="Q45" s="246">
        <f>'Rates in detail'!Q45</f>
        <v>-2.32E-3</v>
      </c>
      <c r="R45" s="20">
        <f t="shared" ref="R45:R66" si="5">+H45+I45+Q45</f>
        <v>5.0200000000000002E-2</v>
      </c>
      <c r="S45" s="90"/>
      <c r="T45" s="20">
        <f t="shared" si="3"/>
        <v>7.0199999999999985E-3</v>
      </c>
      <c r="U45" s="266">
        <f t="shared" si="4"/>
        <v>0.16300000000000001</v>
      </c>
    </row>
    <row r="46" spans="1:21" x14ac:dyDescent="0.2">
      <c r="A46" s="43">
        <f t="shared" si="0"/>
        <v>40</v>
      </c>
      <c r="B46" s="68"/>
      <c r="C46" s="22" t="s">
        <v>11</v>
      </c>
      <c r="D46" s="14">
        <f>+'Rates in detail'!D46</f>
        <v>1.619E-2</v>
      </c>
      <c r="E46" s="14">
        <f>'Rates in detail'!E46</f>
        <v>8.0000000000000007E-5</v>
      </c>
      <c r="F46" s="14">
        <f>+'Rates in detail'!J46-'Rates in detail'!F46</f>
        <v>0</v>
      </c>
      <c r="G46" s="14">
        <f>+'Rates in detail'!K46+'Rates in detail'!L46-'Rates in detail'!G46-'Rates in detail'!H46</f>
        <v>0</v>
      </c>
      <c r="H46" s="14">
        <f t="shared" si="2"/>
        <v>1.627E-2</v>
      </c>
      <c r="I46" s="14">
        <f>+'Rates in detail'!O46-'Rates in detail'!N46</f>
        <v>0</v>
      </c>
      <c r="J46" s="14"/>
      <c r="K46" s="14"/>
      <c r="L46" s="14"/>
      <c r="M46" s="14"/>
      <c r="N46" s="14"/>
      <c r="O46" s="14"/>
      <c r="P46" s="14"/>
      <c r="Q46" s="224">
        <f>'Rates in detail'!Q46</f>
        <v>-8.699999999999999E-4</v>
      </c>
      <c r="R46" s="14">
        <f t="shared" si="5"/>
        <v>1.54E-2</v>
      </c>
      <c r="S46" s="90"/>
      <c r="T46" s="14">
        <f t="shared" si="3"/>
        <v>-7.8999999999999904E-4</v>
      </c>
      <c r="U46" s="266">
        <f t="shared" si="4"/>
        <v>-4.9000000000000002E-2</v>
      </c>
    </row>
    <row r="47" spans="1:21" x14ac:dyDescent="0.2">
      <c r="A47" s="43">
        <f t="shared" si="0"/>
        <v>41</v>
      </c>
      <c r="B47" s="63" t="s">
        <v>246</v>
      </c>
      <c r="C47" s="18" t="s">
        <v>6</v>
      </c>
      <c r="D47" s="20">
        <f>+'Rates in detail'!D47</f>
        <v>0.31897999999999999</v>
      </c>
      <c r="E47" s="20">
        <f>'Rates in detail'!E47</f>
        <v>2.5430000000000001E-2</v>
      </c>
      <c r="F47" s="20">
        <f>+'Rates in detail'!J47-'Rates in detail'!F47</f>
        <v>0</v>
      </c>
      <c r="G47" s="20">
        <f>+'Rates in detail'!K47+'Rates in detail'!L47-'Rates in detail'!G47-'Rates in detail'!H47</f>
        <v>0</v>
      </c>
      <c r="H47" s="20">
        <f t="shared" si="2"/>
        <v>0.34440999999999999</v>
      </c>
      <c r="I47" s="20">
        <f>+'Rates in detail'!O47-'Rates in detail'!N47</f>
        <v>0</v>
      </c>
      <c r="J47" s="20"/>
      <c r="K47" s="20"/>
      <c r="L47" s="20"/>
      <c r="M47" s="20"/>
      <c r="N47" s="20"/>
      <c r="O47" s="20"/>
      <c r="P47" s="20"/>
      <c r="Q47" s="246">
        <f>'Rates in detail'!Q47</f>
        <v>-6.6099999999999996E-3</v>
      </c>
      <c r="R47" s="20">
        <f t="shared" si="5"/>
        <v>0.33779999999999999</v>
      </c>
      <c r="S47" s="90"/>
      <c r="T47" s="20">
        <f t="shared" si="3"/>
        <v>1.8820000000000003E-2</v>
      </c>
      <c r="U47" s="266">
        <f t="shared" si="4"/>
        <v>5.8999999999999997E-2</v>
      </c>
    </row>
    <row r="48" spans="1:21" x14ac:dyDescent="0.2">
      <c r="A48" s="43">
        <f t="shared" si="0"/>
        <v>42</v>
      </c>
      <c r="B48" s="63"/>
      <c r="C48" s="18" t="s">
        <v>7</v>
      </c>
      <c r="D48" s="20">
        <f>+'Rates in detail'!D48</f>
        <v>0.30522999999999989</v>
      </c>
      <c r="E48" s="20">
        <f>'Rates in detail'!E48</f>
        <v>2.2700000000000001E-2</v>
      </c>
      <c r="F48" s="20">
        <f>+'Rates in detail'!J48-'Rates in detail'!F48</f>
        <v>0</v>
      </c>
      <c r="G48" s="20">
        <f>+'Rates in detail'!K48+'Rates in detail'!L48-'Rates in detail'!G48-'Rates in detail'!H48</f>
        <v>0</v>
      </c>
      <c r="H48" s="20">
        <f t="shared" si="2"/>
        <v>0.32792999999999989</v>
      </c>
      <c r="I48" s="20">
        <f>+'Rates in detail'!O48-'Rates in detail'!N48</f>
        <v>0</v>
      </c>
      <c r="J48" s="20"/>
      <c r="K48" s="20"/>
      <c r="L48" s="20"/>
      <c r="M48" s="20"/>
      <c r="N48" s="20"/>
      <c r="O48" s="20"/>
      <c r="P48" s="20"/>
      <c r="Q48" s="246">
        <f>'Rates in detail'!Q48</f>
        <v>-5.9199999999999999E-3</v>
      </c>
      <c r="R48" s="20">
        <f t="shared" si="5"/>
        <v>0.32200999999999991</v>
      </c>
      <c r="S48" s="90"/>
      <c r="T48" s="20">
        <f t="shared" si="3"/>
        <v>1.6780000000000017E-2</v>
      </c>
      <c r="U48" s="266">
        <f t="shared" si="4"/>
        <v>5.5E-2</v>
      </c>
    </row>
    <row r="49" spans="1:21" x14ac:dyDescent="0.2">
      <c r="A49" s="43">
        <f t="shared" si="0"/>
        <v>43</v>
      </c>
      <c r="B49" s="63"/>
      <c r="C49" s="18" t="s">
        <v>8</v>
      </c>
      <c r="D49" s="20">
        <f>+'Rates in detail'!D49</f>
        <v>0.27787000000000012</v>
      </c>
      <c r="E49" s="20">
        <f>'Rates in detail'!E49</f>
        <v>1.7309999999999999E-2</v>
      </c>
      <c r="F49" s="20">
        <f>+'Rates in detail'!J49-'Rates in detail'!F49</f>
        <v>0</v>
      </c>
      <c r="G49" s="20">
        <f>+'Rates in detail'!K49+'Rates in detail'!L49-'Rates in detail'!G49-'Rates in detail'!H49</f>
        <v>0</v>
      </c>
      <c r="H49" s="20">
        <f t="shared" si="2"/>
        <v>0.29518000000000011</v>
      </c>
      <c r="I49" s="20">
        <f>+'Rates in detail'!O49-'Rates in detail'!N49</f>
        <v>0</v>
      </c>
      <c r="J49" s="20"/>
      <c r="K49" s="20"/>
      <c r="L49" s="20"/>
      <c r="M49" s="20"/>
      <c r="N49" s="20"/>
      <c r="O49" s="20"/>
      <c r="P49" s="20"/>
      <c r="Q49" s="246">
        <f>'Rates in detail'!Q49</f>
        <v>-4.5300000000000002E-3</v>
      </c>
      <c r="R49" s="20">
        <f t="shared" si="5"/>
        <v>0.29065000000000013</v>
      </c>
      <c r="S49" s="90"/>
      <c r="T49" s="20">
        <f t="shared" si="3"/>
        <v>1.2780000000000014E-2</v>
      </c>
      <c r="U49" s="266">
        <f t="shared" si="4"/>
        <v>4.5999999999999999E-2</v>
      </c>
    </row>
    <row r="50" spans="1:21" x14ac:dyDescent="0.2">
      <c r="A50" s="43">
        <f t="shared" si="0"/>
        <v>44</v>
      </c>
      <c r="B50" s="63"/>
      <c r="C50" s="18" t="s">
        <v>9</v>
      </c>
      <c r="D50" s="20">
        <f>+'Rates in detail'!D50</f>
        <v>0.25987999999999994</v>
      </c>
      <c r="E50" s="20">
        <f>'Rates in detail'!E50</f>
        <v>1.3809999999999999E-2</v>
      </c>
      <c r="F50" s="20">
        <f>+'Rates in detail'!J50-'Rates in detail'!F50</f>
        <v>0</v>
      </c>
      <c r="G50" s="20">
        <f>+'Rates in detail'!K50+'Rates in detail'!L50-'Rates in detail'!G50-'Rates in detail'!H50</f>
        <v>0</v>
      </c>
      <c r="H50" s="20">
        <f t="shared" si="2"/>
        <v>0.27368999999999993</v>
      </c>
      <c r="I50" s="20">
        <f>+'Rates in detail'!O50-'Rates in detail'!N50</f>
        <v>0</v>
      </c>
      <c r="J50" s="20"/>
      <c r="K50" s="20"/>
      <c r="L50" s="20"/>
      <c r="M50" s="20"/>
      <c r="N50" s="20"/>
      <c r="O50" s="20"/>
      <c r="P50" s="20"/>
      <c r="Q50" s="246">
        <f>'Rates in detail'!Q50</f>
        <v>-3.64E-3</v>
      </c>
      <c r="R50" s="20">
        <f t="shared" si="5"/>
        <v>0.27004999999999996</v>
      </c>
      <c r="S50" s="90"/>
      <c r="T50" s="20">
        <f t="shared" si="3"/>
        <v>1.0170000000000012E-2</v>
      </c>
      <c r="U50" s="266">
        <f t="shared" si="4"/>
        <v>3.9E-2</v>
      </c>
    </row>
    <row r="51" spans="1:21" x14ac:dyDescent="0.2">
      <c r="A51" s="43">
        <f t="shared" si="0"/>
        <v>45</v>
      </c>
      <c r="B51" s="63"/>
      <c r="C51" s="18" t="s">
        <v>10</v>
      </c>
      <c r="D51" s="20">
        <f>+'Rates in detail'!D51</f>
        <v>0.23588000000000003</v>
      </c>
      <c r="E51" s="20">
        <f>'Rates in detail'!E51</f>
        <v>9.2099999999999994E-3</v>
      </c>
      <c r="F51" s="20">
        <f>+'Rates in detail'!J51-'Rates in detail'!F51</f>
        <v>0</v>
      </c>
      <c r="G51" s="20">
        <f>+'Rates in detail'!K51+'Rates in detail'!L51-'Rates in detail'!G51-'Rates in detail'!H51</f>
        <v>0</v>
      </c>
      <c r="H51" s="20">
        <f t="shared" si="2"/>
        <v>0.24509000000000003</v>
      </c>
      <c r="I51" s="20">
        <f>+'Rates in detail'!O51-'Rates in detail'!N51</f>
        <v>0</v>
      </c>
      <c r="J51" s="20"/>
      <c r="K51" s="20"/>
      <c r="L51" s="20"/>
      <c r="M51" s="20"/>
      <c r="N51" s="20"/>
      <c r="O51" s="20"/>
      <c r="P51" s="20"/>
      <c r="Q51" s="246">
        <f>'Rates in detail'!Q51</f>
        <v>-2.4199999999999998E-3</v>
      </c>
      <c r="R51" s="20">
        <f t="shared" si="5"/>
        <v>0.24267000000000002</v>
      </c>
      <c r="S51" s="90"/>
      <c r="T51" s="20">
        <f t="shared" si="3"/>
        <v>6.7899999999999905E-3</v>
      </c>
      <c r="U51" s="266">
        <f t="shared" si="4"/>
        <v>2.9000000000000001E-2</v>
      </c>
    </row>
    <row r="52" spans="1:21" x14ac:dyDescent="0.2">
      <c r="A52" s="43">
        <f t="shared" si="0"/>
        <v>46</v>
      </c>
      <c r="B52" s="68"/>
      <c r="C52" s="22" t="s">
        <v>11</v>
      </c>
      <c r="D52" s="14">
        <f>+'Rates in detail'!D52</f>
        <v>0.20589999999999992</v>
      </c>
      <c r="E52" s="14">
        <f>'Rates in detail'!E52</f>
        <v>2.0000000000000002E-5</v>
      </c>
      <c r="F52" s="14">
        <f>+'Rates in detail'!J52-'Rates in detail'!F52</f>
        <v>0</v>
      </c>
      <c r="G52" s="14">
        <f>+'Rates in detail'!K52+'Rates in detail'!L52-'Rates in detail'!G52-'Rates in detail'!H52</f>
        <v>0</v>
      </c>
      <c r="H52" s="14">
        <f t="shared" si="2"/>
        <v>0.20591999999999991</v>
      </c>
      <c r="I52" s="14">
        <f>+'Rates in detail'!O52-'Rates in detail'!N52</f>
        <v>0</v>
      </c>
      <c r="J52" s="14"/>
      <c r="K52" s="14"/>
      <c r="L52" s="14"/>
      <c r="M52" s="14"/>
      <c r="N52" s="14"/>
      <c r="O52" s="14"/>
      <c r="P52" s="14"/>
      <c r="Q52" s="224">
        <f>'Rates in detail'!Q52</f>
        <v>-9.1E-4</v>
      </c>
      <c r="R52" s="14">
        <f t="shared" si="5"/>
        <v>0.20500999999999991</v>
      </c>
      <c r="S52" s="90"/>
      <c r="T52" s="14">
        <f t="shared" si="3"/>
        <v>-8.900000000000019E-4</v>
      </c>
      <c r="U52" s="266">
        <f t="shared" si="4"/>
        <v>-4.0000000000000001E-3</v>
      </c>
    </row>
    <row r="53" spans="1:21" x14ac:dyDescent="0.2">
      <c r="A53" s="43">
        <f t="shared" si="0"/>
        <v>47</v>
      </c>
      <c r="B53" s="63" t="s">
        <v>247</v>
      </c>
      <c r="C53" s="18" t="s">
        <v>6</v>
      </c>
      <c r="D53" s="20">
        <f>+'Rates in detail'!D53</f>
        <v>0.30886999999999998</v>
      </c>
      <c r="E53" s="20">
        <f>'Rates in detail'!E53</f>
        <v>2.529E-2</v>
      </c>
      <c r="F53" s="20">
        <f>+'Rates in detail'!J53-'Rates in detail'!F53</f>
        <v>0</v>
      </c>
      <c r="G53" s="20">
        <f>+'Rates in detail'!K53+'Rates in detail'!L53-'Rates in detail'!G53-'Rates in detail'!H53</f>
        <v>0</v>
      </c>
      <c r="H53" s="20">
        <f t="shared" si="2"/>
        <v>0.33415999999999996</v>
      </c>
      <c r="I53" s="20">
        <f>+'Rates in detail'!O53-'Rates in detail'!N53</f>
        <v>0</v>
      </c>
      <c r="J53" s="20"/>
      <c r="K53" s="20"/>
      <c r="L53" s="20"/>
      <c r="M53" s="20"/>
      <c r="N53" s="20"/>
      <c r="O53" s="20"/>
      <c r="P53" s="20"/>
      <c r="Q53" s="246">
        <f>'Rates in detail'!Q53</f>
        <v>-8.6E-3</v>
      </c>
      <c r="R53" s="20">
        <f t="shared" si="5"/>
        <v>0.32555999999999996</v>
      </c>
      <c r="S53" s="90"/>
      <c r="T53" s="20">
        <f t="shared" si="3"/>
        <v>1.6689999999999983E-2</v>
      </c>
      <c r="U53" s="266">
        <f t="shared" si="4"/>
        <v>5.3999999999999999E-2</v>
      </c>
    </row>
    <row r="54" spans="1:21" x14ac:dyDescent="0.2">
      <c r="A54" s="43">
        <f t="shared" si="0"/>
        <v>48</v>
      </c>
      <c r="B54" s="63"/>
      <c r="C54" s="18" t="s">
        <v>7</v>
      </c>
      <c r="D54" s="20">
        <f>+'Rates in detail'!D54</f>
        <v>0.29617999999999989</v>
      </c>
      <c r="E54" s="20">
        <f>'Rates in detail'!E54</f>
        <v>2.257E-2</v>
      </c>
      <c r="F54" s="20">
        <f>+'Rates in detail'!J54-'Rates in detail'!F54</f>
        <v>0</v>
      </c>
      <c r="G54" s="20">
        <f>+'Rates in detail'!K54+'Rates in detail'!L54-'Rates in detail'!G54-'Rates in detail'!H54</f>
        <v>0</v>
      </c>
      <c r="H54" s="20">
        <f t="shared" si="2"/>
        <v>0.31874999999999987</v>
      </c>
      <c r="I54" s="20">
        <f>+'Rates in detail'!O54-'Rates in detail'!N54</f>
        <v>0</v>
      </c>
      <c r="J54" s="20"/>
      <c r="K54" s="20"/>
      <c r="L54" s="20"/>
      <c r="M54" s="20"/>
      <c r="N54" s="20"/>
      <c r="O54" s="20"/>
      <c r="P54" s="20"/>
      <c r="Q54" s="246">
        <f>'Rates in detail'!Q54</f>
        <v>-7.6900000000000007E-3</v>
      </c>
      <c r="R54" s="20">
        <f t="shared" si="5"/>
        <v>0.31105999999999989</v>
      </c>
      <c r="S54" s="90"/>
      <c r="T54" s="20">
        <f t="shared" si="3"/>
        <v>1.4880000000000004E-2</v>
      </c>
      <c r="U54" s="266">
        <f t="shared" si="4"/>
        <v>0.05</v>
      </c>
    </row>
    <row r="55" spans="1:21" x14ac:dyDescent="0.2">
      <c r="A55" s="43">
        <f t="shared" ref="A55:A74" si="6">+A54+1</f>
        <v>49</v>
      </c>
      <c r="B55" s="63"/>
      <c r="C55" s="18" t="s">
        <v>8</v>
      </c>
      <c r="D55" s="20">
        <f>+'Rates in detail'!D55</f>
        <v>0.27094000000000007</v>
      </c>
      <c r="E55" s="20">
        <f>'Rates in detail'!E55</f>
        <v>1.721E-2</v>
      </c>
      <c r="F55" s="20">
        <f>+'Rates in detail'!J55-'Rates in detail'!F55</f>
        <v>0</v>
      </c>
      <c r="G55" s="20">
        <f>+'Rates in detail'!K55+'Rates in detail'!L55-'Rates in detail'!G55-'Rates in detail'!H55</f>
        <v>0</v>
      </c>
      <c r="H55" s="20">
        <f t="shared" si="2"/>
        <v>0.28815000000000007</v>
      </c>
      <c r="I55" s="20">
        <f>+'Rates in detail'!O55-'Rates in detail'!N55</f>
        <v>0</v>
      </c>
      <c r="J55" s="20"/>
      <c r="K55" s="20"/>
      <c r="L55" s="20"/>
      <c r="M55" s="20"/>
      <c r="N55" s="20"/>
      <c r="O55" s="20"/>
      <c r="P55" s="20"/>
      <c r="Q55" s="246">
        <f>'Rates in detail'!Q55</f>
        <v>-5.8999999999999999E-3</v>
      </c>
      <c r="R55" s="20">
        <f t="shared" si="5"/>
        <v>0.28225000000000006</v>
      </c>
      <c r="S55" s="90"/>
      <c r="T55" s="20">
        <f t="shared" si="3"/>
        <v>1.1309999999999987E-2</v>
      </c>
      <c r="U55" s="266">
        <f t="shared" si="4"/>
        <v>4.2000000000000003E-2</v>
      </c>
    </row>
    <row r="56" spans="1:21" x14ac:dyDescent="0.2">
      <c r="A56" s="43">
        <f t="shared" si="6"/>
        <v>50</v>
      </c>
      <c r="B56" s="63"/>
      <c r="C56" s="18" t="s">
        <v>9</v>
      </c>
      <c r="D56" s="20">
        <f>+'Rates in detail'!D56</f>
        <v>0.25432999999999983</v>
      </c>
      <c r="E56" s="20">
        <f>'Rates in detail'!E56</f>
        <v>1.3729999999999999E-2</v>
      </c>
      <c r="F56" s="20">
        <f>+'Rates in detail'!J56-'Rates in detail'!F56</f>
        <v>0</v>
      </c>
      <c r="G56" s="20">
        <f>+'Rates in detail'!K56+'Rates in detail'!L56-'Rates in detail'!G56-'Rates in detail'!H56</f>
        <v>0</v>
      </c>
      <c r="H56" s="20">
        <f t="shared" si="2"/>
        <v>0.26805999999999985</v>
      </c>
      <c r="I56" s="20">
        <f>+'Rates in detail'!O56-'Rates in detail'!N56</f>
        <v>0</v>
      </c>
      <c r="J56" s="20"/>
      <c r="K56" s="20"/>
      <c r="L56" s="20"/>
      <c r="M56" s="20"/>
      <c r="N56" s="20"/>
      <c r="O56" s="20"/>
      <c r="P56" s="20"/>
      <c r="Q56" s="246">
        <f>'Rates in detail'!Q56</f>
        <v>-4.7200000000000002E-3</v>
      </c>
      <c r="R56" s="20">
        <f t="shared" si="5"/>
        <v>0.26333999999999985</v>
      </c>
      <c r="S56" s="90"/>
      <c r="T56" s="20">
        <f t="shared" si="3"/>
        <v>9.010000000000018E-3</v>
      </c>
      <c r="U56" s="266">
        <f t="shared" si="4"/>
        <v>3.5000000000000003E-2</v>
      </c>
    </row>
    <row r="57" spans="1:21" x14ac:dyDescent="0.2">
      <c r="A57" s="43">
        <f t="shared" si="6"/>
        <v>51</v>
      </c>
      <c r="B57" s="63"/>
      <c r="C57" s="18" t="s">
        <v>10</v>
      </c>
      <c r="D57" s="20">
        <f>+'Rates in detail'!D57</f>
        <v>0.23218000000000003</v>
      </c>
      <c r="E57" s="20">
        <f>'Rates in detail'!E57</f>
        <v>9.1599999999999997E-3</v>
      </c>
      <c r="F57" s="20">
        <f>+'Rates in detail'!J57-'Rates in detail'!F57</f>
        <v>0</v>
      </c>
      <c r="G57" s="20">
        <f>+'Rates in detail'!K57+'Rates in detail'!L57-'Rates in detail'!G57-'Rates in detail'!H57</f>
        <v>0</v>
      </c>
      <c r="H57" s="20">
        <f t="shared" si="2"/>
        <v>0.24134000000000003</v>
      </c>
      <c r="I57" s="20">
        <f>+'Rates in detail'!O57-'Rates in detail'!N57</f>
        <v>0</v>
      </c>
      <c r="J57" s="20"/>
      <c r="K57" s="20"/>
      <c r="L57" s="20"/>
      <c r="M57" s="20"/>
      <c r="N57" s="20"/>
      <c r="O57" s="20"/>
      <c r="P57" s="20"/>
      <c r="Q57" s="246">
        <f>'Rates in detail'!Q57</f>
        <v>-3.15E-3</v>
      </c>
      <c r="R57" s="20">
        <f t="shared" si="5"/>
        <v>0.23819000000000001</v>
      </c>
      <c r="S57" s="90"/>
      <c r="T57" s="20">
        <f t="shared" si="3"/>
        <v>6.0099999999999876E-3</v>
      </c>
      <c r="U57" s="266">
        <f t="shared" si="4"/>
        <v>2.5999999999999999E-2</v>
      </c>
    </row>
    <row r="58" spans="1:21" x14ac:dyDescent="0.2">
      <c r="A58" s="43">
        <f t="shared" si="6"/>
        <v>52</v>
      </c>
      <c r="B58" s="68"/>
      <c r="C58" s="22" t="s">
        <v>11</v>
      </c>
      <c r="D58" s="14">
        <f>+'Rates in detail'!D58</f>
        <v>0.20451999999999992</v>
      </c>
      <c r="E58" s="14">
        <f>'Rates in detail'!E58</f>
        <v>0</v>
      </c>
      <c r="F58" s="14">
        <f>+'Rates in detail'!J58-'Rates in detail'!F58</f>
        <v>0</v>
      </c>
      <c r="G58" s="14">
        <f>+'Rates in detail'!K58+'Rates in detail'!L58-'Rates in detail'!G58-'Rates in detail'!H58</f>
        <v>0</v>
      </c>
      <c r="H58" s="14">
        <f t="shared" si="2"/>
        <v>0.20451999999999992</v>
      </c>
      <c r="I58" s="14">
        <f>+'Rates in detail'!O58-'Rates in detail'!N58</f>
        <v>0</v>
      </c>
      <c r="J58" s="14"/>
      <c r="K58" s="14"/>
      <c r="L58" s="14"/>
      <c r="M58" s="14"/>
      <c r="N58" s="14"/>
      <c r="O58" s="14"/>
      <c r="P58" s="14"/>
      <c r="Q58" s="224">
        <f>'Rates in detail'!Q58</f>
        <v>-1.1800000000000001E-3</v>
      </c>
      <c r="R58" s="14">
        <f t="shared" si="5"/>
        <v>0.20333999999999994</v>
      </c>
      <c r="S58" s="90"/>
      <c r="T58" s="14">
        <f t="shared" si="3"/>
        <v>-1.1799999999999866E-3</v>
      </c>
      <c r="U58" s="266">
        <f t="shared" si="4"/>
        <v>-6.0000000000000001E-3</v>
      </c>
    </row>
    <row r="59" spans="1:21" x14ac:dyDescent="0.2">
      <c r="A59" s="43">
        <f t="shared" si="6"/>
        <v>53</v>
      </c>
      <c r="B59" s="63" t="s">
        <v>130</v>
      </c>
      <c r="C59" s="18" t="s">
        <v>6</v>
      </c>
      <c r="D59" s="69">
        <f>+'Rates in detail'!D59</f>
        <v>0.11796999999999999</v>
      </c>
      <c r="E59" s="69">
        <f>'Rates in detail'!E59</f>
        <v>2.581E-2</v>
      </c>
      <c r="F59" s="69">
        <f>+'Rates in detail'!J59-'Rates in detail'!F59</f>
        <v>0</v>
      </c>
      <c r="G59" s="69">
        <f>+'Rates in detail'!K59+'Rates in detail'!L59-'Rates in detail'!G59-'Rates in detail'!H59</f>
        <v>0</v>
      </c>
      <c r="H59" s="69">
        <f t="shared" si="2"/>
        <v>0.14377999999999999</v>
      </c>
      <c r="I59" s="69">
        <f>+'Rates in detail'!O59-'Rates in detail'!N59</f>
        <v>0</v>
      </c>
      <c r="J59" s="69"/>
      <c r="K59" s="69"/>
      <c r="L59" s="69"/>
      <c r="M59" s="69"/>
      <c r="N59" s="69"/>
      <c r="O59" s="69"/>
      <c r="P59" s="69"/>
      <c r="Q59" s="71">
        <f>'Rates in detail'!Q59</f>
        <v>-5.6699999999999997E-3</v>
      </c>
      <c r="R59" s="69">
        <f t="shared" si="5"/>
        <v>0.13810999999999998</v>
      </c>
      <c r="S59" s="90"/>
      <c r="T59" s="69">
        <f t="shared" si="3"/>
        <v>2.0139999999999991E-2</v>
      </c>
      <c r="U59" s="266">
        <f t="shared" si="4"/>
        <v>0.17100000000000001</v>
      </c>
    </row>
    <row r="60" spans="1:21" x14ac:dyDescent="0.2">
      <c r="A60" s="43">
        <f t="shared" si="6"/>
        <v>54</v>
      </c>
      <c r="B60" s="63"/>
      <c r="C60" s="18" t="s">
        <v>7</v>
      </c>
      <c r="D60" s="71">
        <f>+'Rates in detail'!D60</f>
        <v>0.1056</v>
      </c>
      <c r="E60" s="71">
        <f>'Rates in detail'!E60</f>
        <v>2.3029999999999998E-2</v>
      </c>
      <c r="F60" s="71">
        <f>+'Rates in detail'!J60-'Rates in detail'!F60</f>
        <v>0</v>
      </c>
      <c r="G60" s="71">
        <f>+'Rates in detail'!K60+'Rates in detail'!L60-'Rates in detail'!G60-'Rates in detail'!H60</f>
        <v>0</v>
      </c>
      <c r="H60" s="71">
        <f t="shared" si="2"/>
        <v>0.12862999999999999</v>
      </c>
      <c r="I60" s="71">
        <f>+'Rates in detail'!O60-'Rates in detail'!N60</f>
        <v>0</v>
      </c>
      <c r="J60" s="71"/>
      <c r="K60" s="71"/>
      <c r="L60" s="71"/>
      <c r="M60" s="71"/>
      <c r="N60" s="71"/>
      <c r="O60" s="71"/>
      <c r="P60" s="71"/>
      <c r="Q60" s="71">
        <f>'Rates in detail'!Q60</f>
        <v>-5.0799999999999994E-3</v>
      </c>
      <c r="R60" s="71">
        <f t="shared" si="5"/>
        <v>0.12354999999999999</v>
      </c>
      <c r="S60" s="90"/>
      <c r="T60" s="71">
        <f t="shared" si="3"/>
        <v>1.7949999999999994E-2</v>
      </c>
      <c r="U60" s="266">
        <f t="shared" si="4"/>
        <v>0.17</v>
      </c>
    </row>
    <row r="61" spans="1:21" x14ac:dyDescent="0.2">
      <c r="A61" s="43">
        <f t="shared" si="6"/>
        <v>55</v>
      </c>
      <c r="B61" s="63"/>
      <c r="C61" s="18" t="s">
        <v>8</v>
      </c>
      <c r="D61" s="71">
        <f>+'Rates in detail'!D61</f>
        <v>8.0979999999999996E-2</v>
      </c>
      <c r="E61" s="71">
        <f>'Rates in detail'!E61</f>
        <v>1.7569999999999999E-2</v>
      </c>
      <c r="F61" s="71">
        <f>+'Rates in detail'!J61-'Rates in detail'!F61</f>
        <v>0</v>
      </c>
      <c r="G61" s="71">
        <f>+'Rates in detail'!K61+'Rates in detail'!L61-'Rates in detail'!G61-'Rates in detail'!H61</f>
        <v>0</v>
      </c>
      <c r="H61" s="71">
        <f t="shared" si="2"/>
        <v>9.8549999999999999E-2</v>
      </c>
      <c r="I61" s="71">
        <f>+'Rates in detail'!O61-'Rates in detail'!N61</f>
        <v>0</v>
      </c>
      <c r="J61" s="71"/>
      <c r="K61" s="71"/>
      <c r="L61" s="71"/>
      <c r="M61" s="71"/>
      <c r="N61" s="71"/>
      <c r="O61" s="71"/>
      <c r="P61" s="71"/>
      <c r="Q61" s="71">
        <f>'Rates in detail'!Q61</f>
        <v>-3.8899999999999998E-3</v>
      </c>
      <c r="R61" s="71">
        <f t="shared" si="5"/>
        <v>9.4659999999999994E-2</v>
      </c>
      <c r="S61" s="90"/>
      <c r="T61" s="71">
        <f t="shared" si="3"/>
        <v>1.3679999999999998E-2</v>
      </c>
      <c r="U61" s="266">
        <f t="shared" si="4"/>
        <v>0.16900000000000001</v>
      </c>
    </row>
    <row r="62" spans="1:21" x14ac:dyDescent="0.2">
      <c r="A62" s="43">
        <f t="shared" si="6"/>
        <v>56</v>
      </c>
      <c r="B62" s="63"/>
      <c r="C62" s="18" t="s">
        <v>9</v>
      </c>
      <c r="D62" s="71">
        <f>+'Rates in detail'!D62</f>
        <v>6.479E-2</v>
      </c>
      <c r="E62" s="71">
        <f>'Rates in detail'!E62</f>
        <v>1.401E-2</v>
      </c>
      <c r="F62" s="71">
        <f>+'Rates in detail'!J62-'Rates in detail'!F62</f>
        <v>0</v>
      </c>
      <c r="G62" s="71">
        <f>+'Rates in detail'!K62+'Rates in detail'!L62-'Rates in detail'!G62-'Rates in detail'!H62</f>
        <v>0</v>
      </c>
      <c r="H62" s="71">
        <f t="shared" si="2"/>
        <v>7.8799999999999995E-2</v>
      </c>
      <c r="I62" s="71">
        <f>+'Rates in detail'!O62-'Rates in detail'!N62</f>
        <v>0</v>
      </c>
      <c r="J62" s="71"/>
      <c r="K62" s="71"/>
      <c r="L62" s="71"/>
      <c r="M62" s="71"/>
      <c r="N62" s="71"/>
      <c r="O62" s="71"/>
      <c r="P62" s="71"/>
      <c r="Q62" s="71">
        <f>'Rates in detail'!Q62</f>
        <v>-3.1200000000000004E-3</v>
      </c>
      <c r="R62" s="71">
        <f t="shared" si="5"/>
        <v>7.5679999999999997E-2</v>
      </c>
      <c r="S62" s="90"/>
      <c r="T62" s="71">
        <f t="shared" si="3"/>
        <v>1.0889999999999997E-2</v>
      </c>
      <c r="U62" s="266">
        <f t="shared" si="4"/>
        <v>0.16800000000000001</v>
      </c>
    </row>
    <row r="63" spans="1:21" x14ac:dyDescent="0.2">
      <c r="A63" s="43">
        <f t="shared" si="6"/>
        <v>57</v>
      </c>
      <c r="B63" s="63"/>
      <c r="C63" s="18" t="s">
        <v>10</v>
      </c>
      <c r="D63" s="71">
        <f>+'Rates in detail'!D63</f>
        <v>4.3190000000000006E-2</v>
      </c>
      <c r="E63" s="71">
        <f>'Rates in detail'!E63</f>
        <v>9.3399999999999993E-3</v>
      </c>
      <c r="F63" s="71">
        <f>+'Rates in detail'!J63-'Rates in detail'!F63</f>
        <v>0</v>
      </c>
      <c r="G63" s="71">
        <f>+'Rates in detail'!K63+'Rates in detail'!L63-'Rates in detail'!G63-'Rates in detail'!H63</f>
        <v>0</v>
      </c>
      <c r="H63" s="71">
        <f t="shared" si="2"/>
        <v>5.2530000000000007E-2</v>
      </c>
      <c r="I63" s="71">
        <f>+'Rates in detail'!O63-'Rates in detail'!N63</f>
        <v>0</v>
      </c>
      <c r="J63" s="71"/>
      <c r="K63" s="71"/>
      <c r="L63" s="71"/>
      <c r="M63" s="71"/>
      <c r="N63" s="71"/>
      <c r="O63" s="71"/>
      <c r="P63" s="71"/>
      <c r="Q63" s="71">
        <f>'Rates in detail'!Q63</f>
        <v>-2.0799999999999998E-3</v>
      </c>
      <c r="R63" s="71">
        <f t="shared" si="5"/>
        <v>5.0450000000000009E-2</v>
      </c>
      <c r="S63" s="90"/>
      <c r="T63" s="71">
        <f t="shared" si="3"/>
        <v>7.2600000000000026E-3</v>
      </c>
      <c r="U63" s="266">
        <f t="shared" si="4"/>
        <v>0.16800000000000001</v>
      </c>
    </row>
    <row r="64" spans="1:21" x14ac:dyDescent="0.2">
      <c r="A64" s="43">
        <f t="shared" si="6"/>
        <v>58</v>
      </c>
      <c r="B64" s="68"/>
      <c r="C64" s="22" t="s">
        <v>11</v>
      </c>
      <c r="D64" s="24">
        <f>+'Rates in detail'!D64</f>
        <v>1.619E-2</v>
      </c>
      <c r="E64" s="24">
        <f>'Rates in detail'!E64</f>
        <v>8.0000000000000007E-5</v>
      </c>
      <c r="F64" s="24">
        <f>+'Rates in detail'!J64-'Rates in detail'!F64</f>
        <v>0</v>
      </c>
      <c r="G64" s="24">
        <f>+'Rates in detail'!K64+'Rates in detail'!L64-'Rates in detail'!G64-'Rates in detail'!H64</f>
        <v>0</v>
      </c>
      <c r="H64" s="24">
        <f t="shared" si="2"/>
        <v>1.627E-2</v>
      </c>
      <c r="I64" s="24">
        <f>+'Rates in detail'!O64-'Rates in detail'!N64</f>
        <v>0</v>
      </c>
      <c r="J64" s="24"/>
      <c r="K64" s="24"/>
      <c r="L64" s="24"/>
      <c r="M64" s="24"/>
      <c r="N64" s="24"/>
      <c r="O64" s="24"/>
      <c r="P64" s="24"/>
      <c r="Q64" s="24">
        <f>'Rates in detail'!Q64</f>
        <v>-7.8000000000000009E-4</v>
      </c>
      <c r="R64" s="24">
        <f t="shared" si="5"/>
        <v>1.549E-2</v>
      </c>
      <c r="S64" s="90"/>
      <c r="T64" s="24">
        <f t="shared" si="3"/>
        <v>-6.9999999999999923E-4</v>
      </c>
      <c r="U64" s="266">
        <f t="shared" si="4"/>
        <v>-4.2999999999999997E-2</v>
      </c>
    </row>
    <row r="65" spans="1:21" x14ac:dyDescent="0.2">
      <c r="A65" s="43">
        <f t="shared" si="6"/>
        <v>59</v>
      </c>
      <c r="B65" s="68" t="s">
        <v>131</v>
      </c>
      <c r="C65" s="21"/>
      <c r="D65" s="23">
        <f>+'Rates in detail'!D65</f>
        <v>4.9800000000000001E-3</v>
      </c>
      <c r="E65" s="23">
        <f>'Rates in detail'!E65</f>
        <v>0</v>
      </c>
      <c r="F65" s="23">
        <f>+'Rates in detail'!J65-'Rates in detail'!F65</f>
        <v>0</v>
      </c>
      <c r="G65" s="23">
        <f>+'Rates in detail'!K65+'Rates in detail'!L65-'Rates in detail'!G65-'Rates in detail'!H65</f>
        <v>0</v>
      </c>
      <c r="H65" s="23">
        <f t="shared" si="2"/>
        <v>4.9800000000000001E-3</v>
      </c>
      <c r="I65" s="23">
        <f>+'Rates in detail'!O65-'Rates in detail'!N65</f>
        <v>0</v>
      </c>
      <c r="J65" s="23"/>
      <c r="K65" s="23"/>
      <c r="L65" s="23"/>
      <c r="M65" s="23"/>
      <c r="N65" s="23"/>
      <c r="O65" s="23"/>
      <c r="P65" s="23"/>
      <c r="Q65" s="23">
        <f>'Rates in detail'!Q65</f>
        <v>-2.5000000000000001E-4</v>
      </c>
      <c r="R65" s="23">
        <f t="shared" si="5"/>
        <v>4.7299999999999998E-3</v>
      </c>
      <c r="S65" s="90"/>
      <c r="T65" s="23">
        <f t="shared" si="3"/>
        <v>-2.5000000000000022E-4</v>
      </c>
      <c r="U65" s="266">
        <f t="shared" si="4"/>
        <v>-0.05</v>
      </c>
    </row>
    <row r="66" spans="1:21" x14ac:dyDescent="0.2">
      <c r="A66" s="43">
        <f t="shared" si="6"/>
        <v>60</v>
      </c>
      <c r="B66" s="16" t="s">
        <v>132</v>
      </c>
      <c r="C66" s="13"/>
      <c r="D66" s="24">
        <f>+'Rates in detail'!D66</f>
        <v>4.9800000000000001E-3</v>
      </c>
      <c r="E66" s="24">
        <f>'Rates in detail'!E66</f>
        <v>0</v>
      </c>
      <c r="F66" s="24">
        <f>+'Rates in detail'!J66-'Rates in detail'!F66</f>
        <v>0</v>
      </c>
      <c r="G66" s="24">
        <f>+'Rates in detail'!K66+'Rates in detail'!L66-'Rates in detail'!G66-'Rates in detail'!H66</f>
        <v>0</v>
      </c>
      <c r="H66" s="24">
        <f t="shared" si="2"/>
        <v>4.9800000000000001E-3</v>
      </c>
      <c r="I66" s="24">
        <f>+'Rates in detail'!O66-'Rates in detail'!N66</f>
        <v>0</v>
      </c>
      <c r="J66" s="24"/>
      <c r="K66" s="24"/>
      <c r="L66" s="24"/>
      <c r="M66" s="24"/>
      <c r="N66" s="24"/>
      <c r="O66" s="24"/>
      <c r="P66" s="24"/>
      <c r="Q66" s="24">
        <f>'Rates in detail'!Q66</f>
        <v>-2.5000000000000001E-4</v>
      </c>
      <c r="R66" s="24">
        <f t="shared" si="5"/>
        <v>4.7299999999999998E-3</v>
      </c>
      <c r="S66" s="90"/>
      <c r="T66" s="24">
        <f t="shared" si="3"/>
        <v>-2.5000000000000022E-4</v>
      </c>
      <c r="U66" s="266">
        <f t="shared" si="4"/>
        <v>-0.05</v>
      </c>
    </row>
    <row r="67" spans="1:21" x14ac:dyDescent="0.2">
      <c r="A67" s="43">
        <f t="shared" si="6"/>
        <v>61</v>
      </c>
      <c r="B67" s="15" t="s">
        <v>166</v>
      </c>
      <c r="C67" s="13"/>
      <c r="D67" s="25"/>
      <c r="E67" s="25"/>
      <c r="F67" s="25"/>
      <c r="G67" s="25"/>
      <c r="H67" s="25"/>
      <c r="I67" s="25"/>
      <c r="J67" s="25"/>
      <c r="K67" s="25"/>
      <c r="L67" s="25"/>
      <c r="M67" s="25"/>
      <c r="N67" s="25"/>
      <c r="O67" s="25"/>
      <c r="P67" s="25"/>
      <c r="Q67" s="24"/>
      <c r="R67" s="25"/>
      <c r="S67" s="90"/>
      <c r="T67" s="25"/>
      <c r="U67" s="266"/>
    </row>
    <row r="68" spans="1:21" x14ac:dyDescent="0.2">
      <c r="A68" s="43">
        <f t="shared" si="6"/>
        <v>62</v>
      </c>
    </row>
    <row r="69" spans="1:21" ht="13.5" thickBot="1" x14ac:dyDescent="0.25">
      <c r="A69" s="43">
        <f t="shared" si="6"/>
        <v>63</v>
      </c>
      <c r="B69" s="26" t="s">
        <v>133</v>
      </c>
      <c r="T69" s="3"/>
    </row>
    <row r="70" spans="1:21" ht="13.5" thickBot="1" x14ac:dyDescent="0.25">
      <c r="A70" s="43">
        <f t="shared" si="6"/>
        <v>64</v>
      </c>
      <c r="B70" s="88" t="s">
        <v>134</v>
      </c>
      <c r="C70" s="28"/>
      <c r="D70" s="84" t="s">
        <v>329</v>
      </c>
      <c r="E70" s="84"/>
      <c r="F70" s="91"/>
      <c r="G70" s="91"/>
      <c r="H70" s="92"/>
      <c r="I70" s="92"/>
      <c r="J70" s="92"/>
      <c r="K70" s="92"/>
      <c r="L70" s="92"/>
      <c r="M70" s="92"/>
      <c r="N70" s="92"/>
      <c r="O70" s="92"/>
      <c r="P70" s="92"/>
      <c r="Q70" s="309"/>
      <c r="R70" s="92"/>
      <c r="T70" s="3"/>
    </row>
    <row r="71" spans="1:21" ht="13.5" thickBot="1" x14ac:dyDescent="0.25">
      <c r="A71" s="43">
        <f t="shared" si="6"/>
        <v>65</v>
      </c>
      <c r="T71" s="3"/>
    </row>
    <row r="72" spans="1:21" ht="13.5" thickBot="1" x14ac:dyDescent="0.25">
      <c r="A72" s="43">
        <f t="shared" si="6"/>
        <v>66</v>
      </c>
      <c r="B72" s="88" t="s">
        <v>142</v>
      </c>
      <c r="C72" s="28"/>
      <c r="D72" s="29"/>
      <c r="E72" s="29"/>
      <c r="F72" s="30" t="s">
        <v>238</v>
      </c>
      <c r="G72" s="256" t="s">
        <v>239</v>
      </c>
      <c r="H72" s="29"/>
      <c r="I72" s="30" t="s">
        <v>240</v>
      </c>
      <c r="J72" s="30"/>
      <c r="K72" s="30"/>
      <c r="L72" s="30"/>
      <c r="M72" s="30"/>
      <c r="N72" s="30"/>
      <c r="O72" s="30"/>
      <c r="P72" s="30"/>
      <c r="Q72" s="30"/>
      <c r="R72" s="30" t="s">
        <v>286</v>
      </c>
      <c r="T72" s="3"/>
    </row>
    <row r="73" spans="1:21" x14ac:dyDescent="0.2">
      <c r="A73" s="43">
        <f t="shared" si="6"/>
        <v>67</v>
      </c>
      <c r="T73" s="3"/>
    </row>
    <row r="74" spans="1:21" x14ac:dyDescent="0.2">
      <c r="A74" s="43">
        <f t="shared" si="6"/>
        <v>68</v>
      </c>
      <c r="B74" s="310" t="s">
        <v>311</v>
      </c>
      <c r="C74" s="311"/>
      <c r="D74" s="311"/>
      <c r="E74" s="311"/>
      <c r="F74" s="311"/>
      <c r="G74" s="311"/>
      <c r="H74" s="311"/>
      <c r="I74" s="311"/>
      <c r="J74" s="311"/>
      <c r="K74" s="311"/>
      <c r="L74" s="311"/>
      <c r="M74" s="311"/>
      <c r="N74" s="311"/>
      <c r="O74" s="311"/>
      <c r="P74" s="311"/>
      <c r="Q74" s="444"/>
      <c r="R74" s="311"/>
      <c r="T74" s="3"/>
    </row>
    <row r="75" spans="1:21" x14ac:dyDescent="0.2">
      <c r="A75" s="43"/>
      <c r="B75" s="311"/>
      <c r="C75" s="311"/>
      <c r="D75" s="311"/>
      <c r="E75" s="311"/>
      <c r="F75" s="311"/>
      <c r="G75" s="311"/>
      <c r="H75" s="311"/>
      <c r="I75" s="311"/>
      <c r="J75" s="311"/>
      <c r="K75" s="311"/>
      <c r="L75" s="311"/>
      <c r="M75" s="311"/>
      <c r="N75" s="311"/>
      <c r="O75" s="311"/>
      <c r="P75" s="311"/>
      <c r="Q75" s="444"/>
      <c r="R75" s="311"/>
      <c r="T75" s="3"/>
    </row>
  </sheetData>
  <phoneticPr fontId="3" type="noConversion"/>
  <printOptions horizontalCentered="1"/>
  <pageMargins left="0.5" right="0.5" top="0.5" bottom="0.5" header="0.25" footer="0.25"/>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M85"/>
  <sheetViews>
    <sheetView showGridLines="0" tabSelected="1" zoomScale="130" zoomScaleNormal="130" workbookViewId="0">
      <pane xSplit="3" ySplit="12" topLeftCell="D13" activePane="bottomRight" state="frozen"/>
      <selection activeCell="Q32" sqref="Q32"/>
      <selection pane="topRight" activeCell="Q32" sqref="Q32"/>
      <selection pane="bottomLeft" activeCell="Q32" sqref="Q32"/>
      <selection pane="bottomRight" activeCell="E13" sqref="E13"/>
    </sheetView>
  </sheetViews>
  <sheetFormatPr defaultColWidth="9.33203125" defaultRowHeight="12.75" outlineLevelCol="1" x14ac:dyDescent="0.2"/>
  <cols>
    <col min="1" max="1" width="6.83203125" style="3" customWidth="1"/>
    <col min="2" max="2" width="19" style="2" customWidth="1"/>
    <col min="3" max="3" width="10.33203125" style="2" customWidth="1"/>
    <col min="4" max="5" width="14.83203125" style="163" customWidth="1"/>
    <col min="6" max="9" width="14.83203125" style="2" customWidth="1"/>
    <col min="10" max="11" width="14.83203125" style="180" customWidth="1"/>
    <col min="12" max="13" width="14.83203125" style="2" customWidth="1"/>
    <col min="14" max="14" width="17.1640625" style="163" customWidth="1"/>
    <col min="15" max="15" width="17.6640625" style="163" customWidth="1"/>
    <col min="16" max="16" width="14.83203125" style="2" customWidth="1"/>
    <col min="17" max="17" width="17.1640625" style="163" customWidth="1"/>
    <col min="18" max="18" width="15.83203125" style="2" customWidth="1"/>
    <col min="19" max="19" width="25.5" style="163" hidden="1" customWidth="1" outlineLevel="1"/>
    <col min="20" max="20" width="16.6640625" style="163" hidden="1" customWidth="1" outlineLevel="1"/>
    <col min="21" max="21" width="17.6640625" style="3" hidden="1" customWidth="1" outlineLevel="1"/>
    <col min="22" max="22" width="18" style="3" bestFit="1" customWidth="1" collapsed="1"/>
    <col min="23" max="23" width="16.5" style="3" hidden="1" customWidth="1" outlineLevel="1"/>
    <col min="24" max="24" width="0" style="3" hidden="1" customWidth="1" outlineLevel="1"/>
    <col min="25" max="25" width="16.83203125" style="181" hidden="1" customWidth="1" outlineLevel="1"/>
    <col min="26" max="28" width="16.83203125" style="3" hidden="1" customWidth="1" outlineLevel="1"/>
    <col min="29" max="29" width="17.33203125" style="182" hidden="1" customWidth="1" outlineLevel="1"/>
    <col min="30" max="30" width="12.5" style="182" hidden="1" customWidth="1" outlineLevel="1"/>
    <col min="31" max="31" width="17.83203125" style="3" hidden="1" customWidth="1" outlineLevel="1"/>
    <col min="32" max="32" width="5.83203125" style="3" hidden="1" customWidth="1" outlineLevel="1"/>
    <col min="33" max="33" width="15.5" style="3" hidden="1" customWidth="1" outlineLevel="1"/>
    <col min="34" max="34" width="9.33203125" style="3" collapsed="1"/>
    <col min="35" max="35" width="13.6640625" style="3" customWidth="1"/>
    <col min="36" max="36" width="9.33203125" style="3"/>
    <col min="37" max="37" width="12.6640625" style="3" customWidth="1"/>
    <col min="38" max="16384" width="9.33203125" style="3"/>
  </cols>
  <sheetData>
    <row r="1" spans="1:39" x14ac:dyDescent="0.2">
      <c r="A1" s="179" t="str">
        <f>+'Washington volumes'!A1</f>
        <v>NW Natural</v>
      </c>
      <c r="W1" s="250" t="s">
        <v>235</v>
      </c>
      <c r="X1" s="247"/>
      <c r="Y1" s="248"/>
      <c r="Z1" s="247"/>
      <c r="AA1" s="247"/>
      <c r="AB1" s="247"/>
      <c r="AC1" s="249"/>
      <c r="AD1" s="249"/>
      <c r="AE1" s="247"/>
      <c r="AF1" s="247"/>
      <c r="AG1" s="247"/>
      <c r="AH1" s="247"/>
      <c r="AI1" s="247"/>
    </row>
    <row r="2" spans="1:39" ht="13.5" thickBot="1" x14ac:dyDescent="0.25">
      <c r="A2" s="179" t="str">
        <f>+'Washington volumes'!A2</f>
        <v>Rates &amp; Regulatory Affairs</v>
      </c>
      <c r="E2" s="313"/>
      <c r="F2" s="79"/>
      <c r="H2" s="79"/>
      <c r="I2" s="79"/>
      <c r="J2" s="183"/>
    </row>
    <row r="3" spans="1:39" ht="13.5" thickBot="1" x14ac:dyDescent="0.25">
      <c r="A3" s="179" t="str">
        <f>+'Washington volumes'!A3</f>
        <v>2019 WA GRC</v>
      </c>
      <c r="E3" s="313"/>
      <c r="F3" s="79"/>
      <c r="J3" s="184"/>
      <c r="O3" s="313"/>
      <c r="V3" s="316"/>
      <c r="Y3" s="241" t="s">
        <v>232</v>
      </c>
      <c r="Z3" s="242"/>
      <c r="AA3" s="242"/>
      <c r="AB3" s="242"/>
      <c r="AC3" s="243"/>
      <c r="AE3" s="233" t="s">
        <v>230</v>
      </c>
      <c r="AF3" s="233"/>
      <c r="AG3" s="233"/>
    </row>
    <row r="4" spans="1:39" x14ac:dyDescent="0.2">
      <c r="A4" s="179" t="s">
        <v>145</v>
      </c>
      <c r="E4" s="313"/>
      <c r="F4" s="79"/>
      <c r="I4" s="79"/>
      <c r="J4" s="183"/>
      <c r="M4" s="79"/>
      <c r="O4" s="313"/>
      <c r="R4" s="79"/>
      <c r="V4" s="316"/>
    </row>
    <row r="5" spans="1:39" x14ac:dyDescent="0.2">
      <c r="E5" s="313"/>
      <c r="F5" s="79"/>
      <c r="I5" s="79"/>
      <c r="J5" s="281"/>
      <c r="M5" s="284"/>
      <c r="N5" s="313"/>
      <c r="V5" s="316"/>
      <c r="AE5" s="185" t="s">
        <v>204</v>
      </c>
      <c r="AG5" s="185" t="s">
        <v>205</v>
      </c>
    </row>
    <row r="6" spans="1:39" x14ac:dyDescent="0.2">
      <c r="E6" s="313"/>
      <c r="F6" s="79"/>
      <c r="I6" s="79"/>
      <c r="T6" s="313"/>
      <c r="V6" s="316"/>
      <c r="AE6" s="185" t="s">
        <v>207</v>
      </c>
      <c r="AG6" s="185" t="s">
        <v>206</v>
      </c>
    </row>
    <row r="7" spans="1:39" x14ac:dyDescent="0.2">
      <c r="A7" s="43">
        <v>1</v>
      </c>
      <c r="E7" s="313"/>
      <c r="F7" s="79"/>
      <c r="G7" s="5" t="s">
        <v>25</v>
      </c>
      <c r="H7" s="5" t="s">
        <v>25</v>
      </c>
      <c r="I7" s="466">
        <f>I15-N15</f>
        <v>0.4935799999999998</v>
      </c>
      <c r="J7" s="129"/>
      <c r="K7" s="186" t="s">
        <v>31</v>
      </c>
      <c r="L7" s="5" t="s">
        <v>31</v>
      </c>
      <c r="M7" s="5"/>
      <c r="N7" s="164" t="s">
        <v>25</v>
      </c>
      <c r="O7" s="164" t="s">
        <v>31</v>
      </c>
      <c r="Q7" s="164" t="s">
        <v>31</v>
      </c>
      <c r="R7" s="6">
        <v>43800</v>
      </c>
      <c r="S7" s="245"/>
      <c r="T7" s="464"/>
      <c r="V7" s="316"/>
      <c r="AE7" s="185" t="s">
        <v>208</v>
      </c>
    </row>
    <row r="8" spans="1:39" x14ac:dyDescent="0.2">
      <c r="A8" s="43">
        <f>+A7+1</f>
        <v>2</v>
      </c>
      <c r="D8" s="245">
        <f>+'Avg Bill by RS'!I8</f>
        <v>43405</v>
      </c>
      <c r="E8" s="445" t="s">
        <v>338</v>
      </c>
      <c r="F8" s="5" t="s">
        <v>25</v>
      </c>
      <c r="G8" s="5" t="s">
        <v>26</v>
      </c>
      <c r="H8" s="5" t="s">
        <v>26</v>
      </c>
      <c r="I8" s="35"/>
      <c r="J8" s="186" t="s">
        <v>31</v>
      </c>
      <c r="K8" s="187" t="s">
        <v>32</v>
      </c>
      <c r="L8" s="6" t="s">
        <v>32</v>
      </c>
      <c r="M8" s="5"/>
      <c r="N8" s="164" t="s">
        <v>26</v>
      </c>
      <c r="O8" s="245" t="s">
        <v>32</v>
      </c>
      <c r="P8" s="5" t="s">
        <v>26</v>
      </c>
      <c r="Q8" s="245" t="s">
        <v>32</v>
      </c>
      <c r="R8" s="5" t="s">
        <v>32</v>
      </c>
      <c r="S8" s="164"/>
      <c r="T8" s="164"/>
      <c r="V8" s="316"/>
      <c r="Z8" s="188"/>
      <c r="AA8" s="188"/>
      <c r="AB8" s="188"/>
      <c r="AC8" s="189"/>
      <c r="AD8" s="189"/>
      <c r="AE8" s="188"/>
      <c r="AF8" s="188"/>
      <c r="AG8" s="188"/>
      <c r="AI8" s="190"/>
      <c r="AK8" s="290"/>
      <c r="AL8" s="291"/>
      <c r="AM8" s="291"/>
    </row>
    <row r="9" spans="1:39" x14ac:dyDescent="0.2">
      <c r="A9" s="43">
        <f t="shared" ref="A9:A57" si="0">+A8+1</f>
        <v>3</v>
      </c>
      <c r="D9" s="164" t="s">
        <v>23</v>
      </c>
      <c r="E9" s="164" t="s">
        <v>209</v>
      </c>
      <c r="F9" s="5" t="s">
        <v>26</v>
      </c>
      <c r="G9" s="5" t="s">
        <v>28</v>
      </c>
      <c r="H9" s="5" t="s">
        <v>30</v>
      </c>
      <c r="I9" s="5"/>
      <c r="J9" s="187" t="s">
        <v>32</v>
      </c>
      <c r="K9" s="186" t="s">
        <v>28</v>
      </c>
      <c r="L9" s="5" t="s">
        <v>30</v>
      </c>
      <c r="M9" s="5"/>
      <c r="N9" s="164" t="s">
        <v>48</v>
      </c>
      <c r="O9" s="164" t="s">
        <v>48</v>
      </c>
      <c r="P9" s="164" t="s">
        <v>317</v>
      </c>
      <c r="Q9" s="164" t="s">
        <v>317</v>
      </c>
      <c r="R9" s="5" t="s">
        <v>168</v>
      </c>
      <c r="S9" s="164"/>
      <c r="T9" s="164"/>
      <c r="U9" s="465"/>
      <c r="V9" s="20"/>
      <c r="Y9" s="238"/>
      <c r="Z9" s="239" t="s">
        <v>233</v>
      </c>
      <c r="AA9" s="10"/>
      <c r="AB9" s="239" t="s">
        <v>48</v>
      </c>
      <c r="AC9" s="239" t="s">
        <v>23</v>
      </c>
      <c r="AD9" s="239"/>
      <c r="AE9" s="10"/>
      <c r="AF9" s="8"/>
      <c r="AG9" s="10"/>
      <c r="AI9" s="190"/>
    </row>
    <row r="10" spans="1:39" s="8" customFormat="1" ht="13.5" thickBot="1" x14ac:dyDescent="0.25">
      <c r="A10" s="43">
        <f t="shared" si="0"/>
        <v>4</v>
      </c>
      <c r="B10" s="212"/>
      <c r="C10" s="212"/>
      <c r="D10" s="136" t="s">
        <v>24</v>
      </c>
      <c r="E10" s="136" t="s">
        <v>339</v>
      </c>
      <c r="F10" s="85" t="s">
        <v>27</v>
      </c>
      <c r="G10" s="85" t="s">
        <v>29</v>
      </c>
      <c r="H10" s="85" t="s">
        <v>29</v>
      </c>
      <c r="I10" s="85" t="s">
        <v>167</v>
      </c>
      <c r="J10" s="191" t="s">
        <v>27</v>
      </c>
      <c r="K10" s="191" t="s">
        <v>29</v>
      </c>
      <c r="L10" s="85" t="s">
        <v>29</v>
      </c>
      <c r="M10" s="85" t="s">
        <v>167</v>
      </c>
      <c r="N10" s="136" t="s">
        <v>54</v>
      </c>
      <c r="O10" s="136" t="s">
        <v>54</v>
      </c>
      <c r="P10" s="136" t="s">
        <v>54</v>
      </c>
      <c r="Q10" s="136" t="s">
        <v>24</v>
      </c>
      <c r="R10" s="85" t="s">
        <v>169</v>
      </c>
      <c r="S10" s="134"/>
      <c r="T10" s="134"/>
      <c r="Y10" s="238" t="s">
        <v>209</v>
      </c>
      <c r="Z10" s="239" t="s">
        <v>234</v>
      </c>
      <c r="AA10" s="239" t="s">
        <v>210</v>
      </c>
      <c r="AB10" s="239" t="s">
        <v>175</v>
      </c>
      <c r="AC10" s="239" t="s">
        <v>45</v>
      </c>
      <c r="AD10" s="239"/>
      <c r="AE10" s="10" t="s">
        <v>174</v>
      </c>
      <c r="AG10" s="10" t="s">
        <v>231</v>
      </c>
      <c r="AI10" s="190"/>
      <c r="AK10" s="10"/>
    </row>
    <row r="11" spans="1:39" s="8" customFormat="1" ht="13.5" thickBot="1" x14ac:dyDescent="0.25">
      <c r="A11" s="43">
        <f t="shared" si="0"/>
        <v>5</v>
      </c>
      <c r="B11" s="2"/>
      <c r="C11" s="2"/>
      <c r="D11" s="307"/>
      <c r="E11" s="307"/>
      <c r="F11" s="9"/>
      <c r="G11" s="9"/>
      <c r="H11" s="9"/>
      <c r="I11" s="10" t="s">
        <v>341</v>
      </c>
      <c r="J11" s="186"/>
      <c r="K11" s="186"/>
      <c r="L11" s="5"/>
      <c r="M11" s="5" t="s">
        <v>342</v>
      </c>
      <c r="N11" s="164"/>
      <c r="O11" s="164"/>
      <c r="P11" s="5"/>
      <c r="Q11" s="164"/>
      <c r="R11" s="5" t="s">
        <v>343</v>
      </c>
      <c r="S11" s="500" t="s">
        <v>353</v>
      </c>
      <c r="T11" s="501"/>
      <c r="U11" s="502"/>
      <c r="Y11" s="191"/>
      <c r="Z11" s="240" t="s">
        <v>45</v>
      </c>
      <c r="AA11" s="240" t="s">
        <v>45</v>
      </c>
      <c r="AB11" s="240"/>
      <c r="AC11" s="189"/>
      <c r="AD11" s="189"/>
      <c r="AE11" s="12" t="s">
        <v>24</v>
      </c>
      <c r="AF11" s="12"/>
      <c r="AG11" s="12" t="s">
        <v>177</v>
      </c>
      <c r="AK11" s="290"/>
    </row>
    <row r="12" spans="1:39" s="8" customFormat="1" x14ac:dyDescent="0.2">
      <c r="A12" s="43">
        <f t="shared" si="0"/>
        <v>6</v>
      </c>
      <c r="B12" s="55" t="s">
        <v>2</v>
      </c>
      <c r="C12" s="55" t="s">
        <v>3</v>
      </c>
      <c r="D12" s="223" t="s">
        <v>68</v>
      </c>
      <c r="E12" s="223" t="s">
        <v>69</v>
      </c>
      <c r="F12" s="12" t="s">
        <v>16</v>
      </c>
      <c r="G12" s="12" t="s">
        <v>70</v>
      </c>
      <c r="H12" s="12" t="s">
        <v>71</v>
      </c>
      <c r="I12" s="12" t="s">
        <v>72</v>
      </c>
      <c r="J12" s="192" t="s">
        <v>73</v>
      </c>
      <c r="K12" s="192" t="s">
        <v>74</v>
      </c>
      <c r="L12" s="12" t="s">
        <v>75</v>
      </c>
      <c r="M12" s="12" t="s">
        <v>76</v>
      </c>
      <c r="N12" s="223" t="s">
        <v>77</v>
      </c>
      <c r="O12" s="223" t="s">
        <v>78</v>
      </c>
      <c r="P12" s="12" t="s">
        <v>79</v>
      </c>
      <c r="Q12" s="223" t="s">
        <v>80</v>
      </c>
      <c r="R12" s="12" t="s">
        <v>81</v>
      </c>
      <c r="S12" s="451" t="s">
        <v>354</v>
      </c>
      <c r="T12" s="8" t="s">
        <v>355</v>
      </c>
      <c r="U12" s="452" t="s">
        <v>356</v>
      </c>
      <c r="W12" s="55" t="s">
        <v>2</v>
      </c>
      <c r="X12" s="55" t="s">
        <v>3</v>
      </c>
      <c r="Y12" s="193"/>
      <c r="Z12" s="194"/>
      <c r="AA12" s="194"/>
      <c r="AB12" s="194"/>
      <c r="AC12" s="195"/>
      <c r="AD12" s="244" t="s">
        <v>225</v>
      </c>
      <c r="AE12" s="8" t="s">
        <v>312</v>
      </c>
      <c r="AG12" s="10" t="s">
        <v>178</v>
      </c>
      <c r="AK12" s="290"/>
    </row>
    <row r="13" spans="1:39" x14ac:dyDescent="0.2">
      <c r="A13" s="43">
        <f t="shared" si="0"/>
        <v>7</v>
      </c>
      <c r="B13" s="16" t="s">
        <v>4</v>
      </c>
      <c r="C13" s="13"/>
      <c r="D13" s="354">
        <v>1.02918</v>
      </c>
      <c r="E13" s="354">
        <v>0.22772999999999999</v>
      </c>
      <c r="F13" s="360">
        <v>0.22356000000000001</v>
      </c>
      <c r="G13" s="360">
        <v>0.1113</v>
      </c>
      <c r="H13" s="361">
        <v>0</v>
      </c>
      <c r="I13" s="14">
        <f>+D13+E13-SUM(F13:H13)</f>
        <v>0.92205000000000004</v>
      </c>
      <c r="J13" s="196">
        <f>+Inputs!B8</f>
        <v>0.22356000000000001</v>
      </c>
      <c r="K13" s="196">
        <f>+Inputs!B10</f>
        <v>0.1113</v>
      </c>
      <c r="L13" s="14">
        <v>0</v>
      </c>
      <c r="M13" s="14">
        <f>SUM(I13:L13)</f>
        <v>1.25691</v>
      </c>
      <c r="N13" s="224">
        <f>+Temporaries!D13</f>
        <v>9.8399999999999876E-3</v>
      </c>
      <c r="O13" s="224">
        <f>+Temporaries!AD13</f>
        <v>9.8399999999999876E-3</v>
      </c>
      <c r="P13" s="14">
        <v>0</v>
      </c>
      <c r="Q13" s="224">
        <f>'Allocation = % of margin'!AB13+'Allocation = % of margin'!AE13+'Allocation = % of margin'!AH13</f>
        <v>-4.0289999999999999E-2</v>
      </c>
      <c r="R13" s="14">
        <f t="shared" ref="R13:R44" si="1">+M13-N13+O13+Q13</f>
        <v>1.21662</v>
      </c>
      <c r="S13" s="457">
        <f>Y13-Q13</f>
        <v>0.91221000000000019</v>
      </c>
      <c r="T13" s="450">
        <f>E13*'Washington volumes'!E13</f>
        <v>44521.214999999997</v>
      </c>
      <c r="U13" s="454">
        <f>('Avg Bill by RS'!G13-'Avg Bill by RS'!H13)*'Washington volumes'!H13*12</f>
        <v>36443.72</v>
      </c>
      <c r="V13" s="316"/>
      <c r="W13" s="16" t="s">
        <v>4</v>
      </c>
      <c r="X13" s="16"/>
      <c r="Y13" s="251">
        <f t="shared" ref="Y13:Y44" si="2">+R13-J13-K13-L13-O13</f>
        <v>0.87192000000000014</v>
      </c>
      <c r="Z13" s="252">
        <f t="shared" ref="Z13:Z60" si="3">+K13</f>
        <v>0.1113</v>
      </c>
      <c r="AA13" s="252">
        <f t="shared" ref="AA13:AA60" si="4">+J13</f>
        <v>0.22356000000000001</v>
      </c>
      <c r="AB13" s="252">
        <f t="shared" ref="AB13:AB44" si="5">+O13</f>
        <v>9.8399999999999876E-3</v>
      </c>
      <c r="AC13" s="253">
        <f>+SUM(Y13:AB13)</f>
        <v>1.2166200000000003</v>
      </c>
      <c r="AD13" s="197">
        <f>+AC13-R13</f>
        <v>0</v>
      </c>
      <c r="AE13" s="79">
        <f t="shared" ref="AE13:AE44" si="6">+R13-O13</f>
        <v>1.20678</v>
      </c>
      <c r="AG13" s="198">
        <f t="shared" ref="AG13:AG44" si="7">AE13-J13</f>
        <v>0.98321999999999998</v>
      </c>
      <c r="AI13" s="312"/>
      <c r="AK13" s="290"/>
    </row>
    <row r="14" spans="1:39" x14ac:dyDescent="0.2">
      <c r="A14" s="43">
        <f t="shared" si="0"/>
        <v>8</v>
      </c>
      <c r="B14" s="16" t="s">
        <v>5</v>
      </c>
      <c r="C14" s="13"/>
      <c r="D14" s="354">
        <v>1.0187299999999997</v>
      </c>
      <c r="E14" s="354">
        <v>0.22814000000000001</v>
      </c>
      <c r="F14" s="224">
        <f>+$F$13</f>
        <v>0.22356000000000001</v>
      </c>
      <c r="G14" s="224">
        <f>+$G$13</f>
        <v>0.1113</v>
      </c>
      <c r="H14" s="361">
        <v>0</v>
      </c>
      <c r="I14" s="14">
        <f t="shared" ref="I14:I66" si="8">+D14+E14-SUM(F14:H14)</f>
        <v>0.91200999999999977</v>
      </c>
      <c r="J14" s="196">
        <f t="shared" ref="J14:J20" si="9">+$J$13</f>
        <v>0.22356000000000001</v>
      </c>
      <c r="K14" s="196">
        <f>+$K$13</f>
        <v>0.1113</v>
      </c>
      <c r="L14" s="14">
        <v>0</v>
      </c>
      <c r="M14" s="14">
        <f t="shared" ref="M14:M66" si="10">SUM(I14:L14)</f>
        <v>1.2468699999999997</v>
      </c>
      <c r="N14" s="224">
        <f>+Temporaries!D14</f>
        <v>-1.9999999999999879E-4</v>
      </c>
      <c r="O14" s="224">
        <f>+Temporaries!AD14</f>
        <v>-1.9999999999999879E-4</v>
      </c>
      <c r="P14" s="14">
        <v>0</v>
      </c>
      <c r="Q14" s="224">
        <f>'Allocation = % of margin'!AB14+'Allocation = % of margin'!AE14+'Allocation = % of margin'!AH14</f>
        <v>-2.8720000000000002E-2</v>
      </c>
      <c r="R14" s="14">
        <f t="shared" si="1"/>
        <v>1.2181499999999996</v>
      </c>
      <c r="S14" s="457">
        <f t="shared" ref="S14:S66" si="11">Y14-Q14</f>
        <v>0.91220999999999963</v>
      </c>
      <c r="T14" s="450">
        <f>E14*'Washington volumes'!E14</f>
        <v>10387.89862</v>
      </c>
      <c r="U14" s="454">
        <f>('Avg Bill by RS'!G14-'Avg Bill by RS'!H14)*'Washington volumes'!H14*12</f>
        <v>1563.79</v>
      </c>
      <c r="V14" s="465"/>
      <c r="W14" s="16" t="s">
        <v>5</v>
      </c>
      <c r="X14" s="16"/>
      <c r="Y14" s="251">
        <f t="shared" si="2"/>
        <v>0.88348999999999966</v>
      </c>
      <c r="Z14" s="252">
        <f t="shared" si="3"/>
        <v>0.1113</v>
      </c>
      <c r="AA14" s="252">
        <f t="shared" si="4"/>
        <v>0.22356000000000001</v>
      </c>
      <c r="AB14" s="252">
        <f t="shared" si="5"/>
        <v>-1.9999999999999879E-4</v>
      </c>
      <c r="AC14" s="253">
        <f t="shared" ref="AC14:AC67" si="12">+SUM(Y14:AB14)</f>
        <v>1.2181499999999996</v>
      </c>
      <c r="AD14" s="197">
        <f t="shared" ref="AD14:AD67" si="13">+AC14-R14</f>
        <v>0</v>
      </c>
      <c r="AE14" s="79">
        <f t="shared" si="6"/>
        <v>1.2183499999999996</v>
      </c>
      <c r="AG14" s="198">
        <f t="shared" si="7"/>
        <v>0.99478999999999962</v>
      </c>
      <c r="AI14" s="8"/>
      <c r="AK14" s="290"/>
    </row>
    <row r="15" spans="1:39" x14ac:dyDescent="0.2">
      <c r="A15" s="43">
        <f t="shared" si="0"/>
        <v>9</v>
      </c>
      <c r="B15" s="16" t="s">
        <v>14</v>
      </c>
      <c r="C15" s="13"/>
      <c r="D15" s="354">
        <v>0.73545999999999978</v>
      </c>
      <c r="E15" s="354">
        <v>7.9039999999999999E-2</v>
      </c>
      <c r="F15" s="224">
        <f t="shared" ref="F15:F22" si="14">+$F$13</f>
        <v>0.22356000000000001</v>
      </c>
      <c r="G15" s="224">
        <f>+$G$13</f>
        <v>0.1113</v>
      </c>
      <c r="H15" s="361">
        <v>0</v>
      </c>
      <c r="I15" s="14">
        <f t="shared" si="8"/>
        <v>0.47963999999999979</v>
      </c>
      <c r="J15" s="196">
        <f t="shared" si="9"/>
        <v>0.22356000000000001</v>
      </c>
      <c r="K15" s="196">
        <f>+$K$13</f>
        <v>0.1113</v>
      </c>
      <c r="L15" s="14">
        <v>0</v>
      </c>
      <c r="M15" s="14">
        <f t="shared" si="10"/>
        <v>0.81449999999999978</v>
      </c>
      <c r="N15" s="224">
        <f>+Temporaries!D15</f>
        <v>-1.3939999999999994E-2</v>
      </c>
      <c r="O15" s="224">
        <f>+Temporaries!AD15</f>
        <v>-1.3939999999999994E-2</v>
      </c>
      <c r="P15" s="14">
        <v>0</v>
      </c>
      <c r="Q15" s="224">
        <f>'Allocation = % of margin'!AB15+'Allocation = % of margin'!AE15+'Allocation = % of margin'!AH15</f>
        <v>-2.198E-2</v>
      </c>
      <c r="R15" s="14">
        <f t="shared" si="1"/>
        <v>0.79251999999999978</v>
      </c>
      <c r="S15" s="457">
        <f t="shared" si="11"/>
        <v>0.4935799999999998</v>
      </c>
      <c r="T15" s="450">
        <f>E15*'Washington volumes'!E15</f>
        <v>3965687.27776</v>
      </c>
      <c r="U15" s="454">
        <f>('Avg Bill by RS'!G15-'Avg Bill by RS'!H15)*'Washington volumes'!H15*12</f>
        <v>1791452</v>
      </c>
      <c r="V15" s="465"/>
      <c r="W15" s="16" t="s">
        <v>14</v>
      </c>
      <c r="X15" s="16"/>
      <c r="Y15" s="251">
        <f t="shared" si="2"/>
        <v>0.4715999999999998</v>
      </c>
      <c r="Z15" s="252">
        <f t="shared" si="3"/>
        <v>0.1113</v>
      </c>
      <c r="AA15" s="252">
        <f t="shared" si="4"/>
        <v>0.22356000000000001</v>
      </c>
      <c r="AB15" s="252">
        <f t="shared" si="5"/>
        <v>-1.3939999999999994E-2</v>
      </c>
      <c r="AC15" s="253">
        <f t="shared" si="12"/>
        <v>0.79251999999999978</v>
      </c>
      <c r="AD15" s="197">
        <f t="shared" si="13"/>
        <v>0</v>
      </c>
      <c r="AE15" s="79">
        <f t="shared" si="6"/>
        <v>0.80645999999999973</v>
      </c>
      <c r="AG15" s="198">
        <f t="shared" si="7"/>
        <v>0.58289999999999975</v>
      </c>
      <c r="AI15" s="8"/>
      <c r="AK15" s="290"/>
    </row>
    <row r="16" spans="1:39" x14ac:dyDescent="0.2">
      <c r="A16" s="43">
        <f t="shared" si="0"/>
        <v>10</v>
      </c>
      <c r="B16" s="16" t="s">
        <v>12</v>
      </c>
      <c r="C16" s="13"/>
      <c r="D16" s="354">
        <v>0.7353400000000001</v>
      </c>
      <c r="E16" s="354">
        <v>6.0269999999999997E-2</v>
      </c>
      <c r="F16" s="224">
        <f t="shared" si="14"/>
        <v>0.22356000000000001</v>
      </c>
      <c r="G16" s="224">
        <f>+$G$13</f>
        <v>0.1113</v>
      </c>
      <c r="H16" s="361">
        <v>0</v>
      </c>
      <c r="I16" s="14">
        <f t="shared" si="8"/>
        <v>0.46075000000000016</v>
      </c>
      <c r="J16" s="196">
        <f t="shared" si="9"/>
        <v>0.22356000000000001</v>
      </c>
      <c r="K16" s="196">
        <f>+$K$13</f>
        <v>0.1113</v>
      </c>
      <c r="L16" s="14">
        <v>0</v>
      </c>
      <c r="M16" s="14">
        <f t="shared" si="10"/>
        <v>0.79561000000000015</v>
      </c>
      <c r="N16" s="224">
        <f>+Temporaries!D16</f>
        <v>-1.8099999999999991E-2</v>
      </c>
      <c r="O16" s="224">
        <f>+Temporaries!AD16</f>
        <v>-1.8099999999999991E-2</v>
      </c>
      <c r="P16" s="14">
        <v>0</v>
      </c>
      <c r="Q16" s="224">
        <f>'Allocation = % of margin'!AB16+'Allocation = % of margin'!AE16+'Allocation = % of margin'!AH16</f>
        <v>-1.959E-2</v>
      </c>
      <c r="R16" s="14">
        <f t="shared" si="1"/>
        <v>0.77602000000000015</v>
      </c>
      <c r="S16" s="457">
        <f t="shared" si="11"/>
        <v>0.47885000000000016</v>
      </c>
      <c r="T16" s="450">
        <f>E16*'Washington volumes'!E16</f>
        <v>1018103.4412499999</v>
      </c>
      <c r="U16" s="454">
        <f>('Avg Bill by RS'!G16-'Avg Bill by RS'!H16)*'Washington volumes'!H16*12</f>
        <v>504594.99999999994</v>
      </c>
      <c r="V16" s="465"/>
      <c r="W16" s="16" t="s">
        <v>12</v>
      </c>
      <c r="X16" s="16"/>
      <c r="Y16" s="251">
        <f t="shared" si="2"/>
        <v>0.45926000000000017</v>
      </c>
      <c r="Z16" s="252">
        <f t="shared" si="3"/>
        <v>0.1113</v>
      </c>
      <c r="AA16" s="252">
        <f t="shared" si="4"/>
        <v>0.22356000000000001</v>
      </c>
      <c r="AB16" s="252">
        <f t="shared" si="5"/>
        <v>-1.8099999999999991E-2</v>
      </c>
      <c r="AC16" s="253">
        <f t="shared" si="12"/>
        <v>0.77602000000000015</v>
      </c>
      <c r="AD16" s="197">
        <f t="shared" si="13"/>
        <v>0</v>
      </c>
      <c r="AE16" s="79">
        <f t="shared" si="6"/>
        <v>0.79412000000000016</v>
      </c>
      <c r="AG16" s="198">
        <f t="shared" si="7"/>
        <v>0.57056000000000018</v>
      </c>
      <c r="AI16" s="8"/>
      <c r="AK16" s="290"/>
    </row>
    <row r="17" spans="1:37" x14ac:dyDescent="0.2">
      <c r="A17" s="43">
        <f t="shared" si="0"/>
        <v>11</v>
      </c>
      <c r="B17" s="16" t="s">
        <v>13</v>
      </c>
      <c r="C17" s="13"/>
      <c r="D17" s="354">
        <v>0.70457999999999954</v>
      </c>
      <c r="E17" s="354">
        <v>6.0400000000000002E-2</v>
      </c>
      <c r="F17" s="224">
        <f t="shared" si="14"/>
        <v>0.22356000000000001</v>
      </c>
      <c r="G17" s="224">
        <f>+$G$13</f>
        <v>0.1113</v>
      </c>
      <c r="H17" s="258"/>
      <c r="I17" s="14">
        <f t="shared" si="8"/>
        <v>0.43011999999999956</v>
      </c>
      <c r="J17" s="196">
        <f t="shared" si="9"/>
        <v>0.22356000000000001</v>
      </c>
      <c r="K17" s="196">
        <f>+$K$13</f>
        <v>0.1113</v>
      </c>
      <c r="L17" s="14">
        <v>0</v>
      </c>
      <c r="M17" s="14">
        <f t="shared" si="10"/>
        <v>0.76497999999999955</v>
      </c>
      <c r="N17" s="224">
        <f>+Temporaries!D17</f>
        <v>-4.8729999999999996E-2</v>
      </c>
      <c r="O17" s="224">
        <f>+Temporaries!AD17</f>
        <v>-4.8729999999999996E-2</v>
      </c>
      <c r="P17" s="14">
        <v>0</v>
      </c>
      <c r="Q17" s="224">
        <f>'Allocation = % of margin'!AB17+'Allocation = % of margin'!AE17+'Allocation = % of margin'!AH17</f>
        <v>-1.6570000000000001E-2</v>
      </c>
      <c r="R17" s="14">
        <f t="shared" si="1"/>
        <v>0.74840999999999958</v>
      </c>
      <c r="S17" s="457">
        <f t="shared" si="11"/>
        <v>0.47884999999999955</v>
      </c>
      <c r="T17" s="450">
        <f>E17*'Washington volumes'!E17</f>
        <v>28904.903200000001</v>
      </c>
      <c r="U17" s="454">
        <f>('Avg Bill by RS'!G17-'Avg Bill by RS'!H17)*'Washington volumes'!H17*12</f>
        <v>2296</v>
      </c>
      <c r="V17" s="465"/>
      <c r="W17" s="16" t="s">
        <v>13</v>
      </c>
      <c r="X17" s="16"/>
      <c r="Y17" s="251">
        <f t="shared" si="2"/>
        <v>0.46227999999999958</v>
      </c>
      <c r="Z17" s="252">
        <f t="shared" si="3"/>
        <v>0.1113</v>
      </c>
      <c r="AA17" s="252">
        <f t="shared" si="4"/>
        <v>0.22356000000000001</v>
      </c>
      <c r="AB17" s="252">
        <f t="shared" si="5"/>
        <v>-4.8729999999999996E-2</v>
      </c>
      <c r="AC17" s="253">
        <f t="shared" si="12"/>
        <v>0.74840999999999958</v>
      </c>
      <c r="AD17" s="197">
        <f t="shared" si="13"/>
        <v>0</v>
      </c>
      <c r="AE17" s="79">
        <f t="shared" si="6"/>
        <v>0.79713999999999952</v>
      </c>
      <c r="AG17" s="198">
        <f t="shared" si="7"/>
        <v>0.57357999999999953</v>
      </c>
      <c r="AI17" s="8"/>
      <c r="AK17" s="290"/>
    </row>
    <row r="18" spans="1:37" x14ac:dyDescent="0.2">
      <c r="A18" s="43">
        <f t="shared" si="0"/>
        <v>12</v>
      </c>
      <c r="B18" s="68">
        <v>27</v>
      </c>
      <c r="C18" s="21"/>
      <c r="D18" s="354">
        <v>0.56221999999999983</v>
      </c>
      <c r="E18" s="354">
        <v>0.13478999999999999</v>
      </c>
      <c r="F18" s="224">
        <f t="shared" si="14"/>
        <v>0.22356000000000001</v>
      </c>
      <c r="G18" s="224">
        <f>+$G$13</f>
        <v>0.1113</v>
      </c>
      <c r="H18" s="258"/>
      <c r="I18" s="14">
        <f t="shared" si="8"/>
        <v>0.36214999999999981</v>
      </c>
      <c r="J18" s="196">
        <f t="shared" si="9"/>
        <v>0.22356000000000001</v>
      </c>
      <c r="K18" s="196">
        <f>+$K$13</f>
        <v>0.1113</v>
      </c>
      <c r="L18" s="14">
        <v>0</v>
      </c>
      <c r="M18" s="14">
        <f t="shared" si="10"/>
        <v>0.6970099999999998</v>
      </c>
      <c r="N18" s="224">
        <f>+Temporaries!D18</f>
        <v>-2.6839999999999999E-2</v>
      </c>
      <c r="O18" s="224">
        <f>+Temporaries!AD18</f>
        <v>-2.6839999999999999E-2</v>
      </c>
      <c r="P18" s="14">
        <v>0</v>
      </c>
      <c r="Q18" s="224">
        <f>'Allocation = % of margin'!AB18+'Allocation = % of margin'!AE18+'Allocation = % of margin'!AH18</f>
        <v>-1.5990000000000001E-2</v>
      </c>
      <c r="R18" s="14">
        <f t="shared" si="1"/>
        <v>0.68101999999999985</v>
      </c>
      <c r="S18" s="457">
        <f t="shared" si="11"/>
        <v>0.38898999999999984</v>
      </c>
      <c r="T18" s="450">
        <f>E18*'Washington volumes'!E18</f>
        <v>69701.391689999989</v>
      </c>
      <c r="U18" s="454">
        <f>('Avg Bill by RS'!G18-'Avg Bill by RS'!H18)*'Washington volumes'!H18*12</f>
        <v>28314</v>
      </c>
      <c r="V18" s="465"/>
      <c r="W18" s="68">
        <v>27</v>
      </c>
      <c r="X18" s="68"/>
      <c r="Y18" s="251">
        <f t="shared" si="2"/>
        <v>0.37299999999999983</v>
      </c>
      <c r="Z18" s="252">
        <f t="shared" si="3"/>
        <v>0.1113</v>
      </c>
      <c r="AA18" s="252">
        <f t="shared" si="4"/>
        <v>0.22356000000000001</v>
      </c>
      <c r="AB18" s="252">
        <f t="shared" si="5"/>
        <v>-2.6839999999999999E-2</v>
      </c>
      <c r="AC18" s="253">
        <f t="shared" si="12"/>
        <v>0.68101999999999985</v>
      </c>
      <c r="AD18" s="197">
        <f t="shared" si="13"/>
        <v>0</v>
      </c>
      <c r="AE18" s="79">
        <f t="shared" si="6"/>
        <v>0.70785999999999982</v>
      </c>
      <c r="AG18" s="198">
        <f t="shared" si="7"/>
        <v>0.48429999999999984</v>
      </c>
      <c r="AI18" s="8"/>
      <c r="AK18" s="290"/>
    </row>
    <row r="19" spans="1:37" x14ac:dyDescent="0.2">
      <c r="A19" s="43">
        <f t="shared" si="0"/>
        <v>13</v>
      </c>
      <c r="B19" s="63" t="s">
        <v>242</v>
      </c>
      <c r="C19" s="18" t="s">
        <v>6</v>
      </c>
      <c r="D19" s="356">
        <v>0.4992600000000002</v>
      </c>
      <c r="E19" s="356">
        <v>7.1480000000000002E-2</v>
      </c>
      <c r="F19" s="246">
        <f t="shared" si="14"/>
        <v>0.22356000000000001</v>
      </c>
      <c r="G19" s="357"/>
      <c r="H19" s="259"/>
      <c r="I19" s="20">
        <f t="shared" si="8"/>
        <v>0.34718000000000027</v>
      </c>
      <c r="J19" s="201">
        <f t="shared" si="9"/>
        <v>0.22356000000000001</v>
      </c>
      <c r="K19" s="201"/>
      <c r="L19" s="20"/>
      <c r="M19" s="20">
        <f t="shared" si="10"/>
        <v>0.57074000000000025</v>
      </c>
      <c r="N19" s="246">
        <f>+Temporaries!D19</f>
        <v>-2.5939999999999998E-2</v>
      </c>
      <c r="O19" s="246">
        <f>+Temporaries!AD19</f>
        <v>-2.5939999999999998E-2</v>
      </c>
      <c r="P19" s="20">
        <v>0</v>
      </c>
      <c r="Q19" s="246">
        <f>'Allocation = % of margin'!AB19+'Allocation = % of margin'!AE19+'Allocation = % of margin'!AH19</f>
        <v>-1.447E-2</v>
      </c>
      <c r="R19" s="20">
        <f t="shared" si="1"/>
        <v>0.55627000000000026</v>
      </c>
      <c r="S19" s="457">
        <f t="shared" si="11"/>
        <v>0.37312000000000028</v>
      </c>
      <c r="T19" s="450">
        <f>E19*'Washington volumes'!E19</f>
        <v>131907.05132443877</v>
      </c>
      <c r="U19" s="86"/>
      <c r="V19" s="465"/>
      <c r="W19" s="63" t="s">
        <v>242</v>
      </c>
      <c r="X19" s="200" t="s">
        <v>6</v>
      </c>
      <c r="Y19" s="251">
        <f t="shared" si="2"/>
        <v>0.3586500000000003</v>
      </c>
      <c r="Z19" s="252">
        <f t="shared" si="3"/>
        <v>0</v>
      </c>
      <c r="AA19" s="252">
        <f t="shared" si="4"/>
        <v>0.22356000000000001</v>
      </c>
      <c r="AB19" s="252">
        <f t="shared" si="5"/>
        <v>-2.5939999999999998E-2</v>
      </c>
      <c r="AC19" s="253">
        <f t="shared" si="12"/>
        <v>0.55627000000000038</v>
      </c>
      <c r="AD19" s="197">
        <f t="shared" si="13"/>
        <v>0</v>
      </c>
      <c r="AE19" s="79">
        <f t="shared" si="6"/>
        <v>0.58221000000000023</v>
      </c>
      <c r="AG19" s="198">
        <f t="shared" si="7"/>
        <v>0.35865000000000025</v>
      </c>
      <c r="AI19" s="8"/>
      <c r="AK19" s="290"/>
    </row>
    <row r="20" spans="1:37" x14ac:dyDescent="0.2">
      <c r="A20" s="43">
        <f t="shared" si="0"/>
        <v>14</v>
      </c>
      <c r="B20" s="68"/>
      <c r="C20" s="22" t="s">
        <v>7</v>
      </c>
      <c r="D20" s="354">
        <v>0.46018000000000003</v>
      </c>
      <c r="E20" s="354">
        <v>6.2920000000000004E-2</v>
      </c>
      <c r="F20" s="224">
        <f t="shared" si="14"/>
        <v>0.22356000000000001</v>
      </c>
      <c r="G20" s="355"/>
      <c r="H20" s="258"/>
      <c r="I20" s="14">
        <f t="shared" si="8"/>
        <v>0.29954000000000003</v>
      </c>
      <c r="J20" s="196">
        <f t="shared" si="9"/>
        <v>0.22356000000000001</v>
      </c>
      <c r="K20" s="196"/>
      <c r="L20" s="14"/>
      <c r="M20" s="14">
        <f t="shared" si="10"/>
        <v>0.52310000000000001</v>
      </c>
      <c r="N20" s="224">
        <f>+Temporaries!D20</f>
        <v>-2.9169999999999995E-2</v>
      </c>
      <c r="O20" s="224">
        <f>+Temporaries!AD20</f>
        <v>-2.9169999999999995E-2</v>
      </c>
      <c r="P20" s="14">
        <v>0</v>
      </c>
      <c r="Q20" s="224">
        <f>'Allocation = % of margin'!AB20+'Allocation = % of margin'!AE20+'Allocation = % of margin'!AH20</f>
        <v>-1.274E-2</v>
      </c>
      <c r="R20" s="14">
        <f t="shared" si="1"/>
        <v>0.51036000000000004</v>
      </c>
      <c r="S20" s="457">
        <f t="shared" si="11"/>
        <v>0.32871</v>
      </c>
      <c r="T20" s="450">
        <f>E20*'Washington volumes'!E20</f>
        <v>114657.25790787075</v>
      </c>
      <c r="U20" s="86"/>
      <c r="V20" s="465"/>
      <c r="W20" s="68"/>
      <c r="X20" s="202" t="s">
        <v>7</v>
      </c>
      <c r="Y20" s="251">
        <f t="shared" si="2"/>
        <v>0.31597000000000003</v>
      </c>
      <c r="Z20" s="252">
        <f t="shared" si="3"/>
        <v>0</v>
      </c>
      <c r="AA20" s="252">
        <f t="shared" si="4"/>
        <v>0.22356000000000001</v>
      </c>
      <c r="AB20" s="252">
        <f t="shared" si="5"/>
        <v>-2.9169999999999995E-2</v>
      </c>
      <c r="AC20" s="253">
        <f t="shared" si="12"/>
        <v>0.51036000000000004</v>
      </c>
      <c r="AD20" s="197">
        <f t="shared" si="13"/>
        <v>0</v>
      </c>
      <c r="AE20" s="79">
        <f t="shared" si="6"/>
        <v>0.53953000000000007</v>
      </c>
      <c r="AG20" s="198">
        <f t="shared" si="7"/>
        <v>0.31597000000000008</v>
      </c>
      <c r="AI20" s="8"/>
      <c r="AK20" s="290"/>
    </row>
    <row r="21" spans="1:37" x14ac:dyDescent="0.2">
      <c r="A21" s="43">
        <f t="shared" si="0"/>
        <v>15</v>
      </c>
      <c r="B21" s="63" t="s">
        <v>243</v>
      </c>
      <c r="C21" s="18" t="s">
        <v>6</v>
      </c>
      <c r="D21" s="356">
        <v>0.51518999999999993</v>
      </c>
      <c r="E21" s="356">
        <v>7.1709999999999996E-2</v>
      </c>
      <c r="F21" s="246">
        <f t="shared" si="14"/>
        <v>0.22356000000000001</v>
      </c>
      <c r="G21" s="357"/>
      <c r="H21" s="259"/>
      <c r="I21" s="20">
        <f t="shared" si="8"/>
        <v>0.36334</v>
      </c>
      <c r="J21" s="201">
        <f>+$J$13</f>
        <v>0.22356000000000001</v>
      </c>
      <c r="K21" s="201"/>
      <c r="L21" s="81"/>
      <c r="M21" s="20">
        <f>SUM(I21:L21)</f>
        <v>0.58689999999999998</v>
      </c>
      <c r="N21" s="246">
        <f>+Temporaries!D21</f>
        <v>-9.779999999999997E-3</v>
      </c>
      <c r="O21" s="246">
        <f>+Temporaries!AD21</f>
        <v>-9.779999999999997E-3</v>
      </c>
      <c r="P21" s="20">
        <v>0</v>
      </c>
      <c r="Q21" s="246">
        <f>'Allocation = % of margin'!AB21+'Allocation = % of margin'!AE21+'Allocation = % of margin'!AH21</f>
        <v>-1.5519999999999999E-2</v>
      </c>
      <c r="R21" s="20">
        <f t="shared" si="1"/>
        <v>0.57138</v>
      </c>
      <c r="S21" s="457">
        <f t="shared" si="11"/>
        <v>0.37312000000000001</v>
      </c>
      <c r="T21" s="450">
        <f>E21*'Washington volumes'!E21</f>
        <v>0</v>
      </c>
      <c r="U21" s="86"/>
      <c r="V21" s="465"/>
      <c r="W21" s="63" t="s">
        <v>243</v>
      </c>
      <c r="X21" s="18" t="s">
        <v>6</v>
      </c>
      <c r="Y21" s="251">
        <f t="shared" si="2"/>
        <v>0.35760000000000003</v>
      </c>
      <c r="Z21" s="252">
        <f t="shared" si="3"/>
        <v>0</v>
      </c>
      <c r="AA21" s="252">
        <f t="shared" si="4"/>
        <v>0.22356000000000001</v>
      </c>
      <c r="AB21" s="252">
        <f t="shared" si="5"/>
        <v>-9.779999999999997E-3</v>
      </c>
      <c r="AC21" s="253">
        <f t="shared" si="12"/>
        <v>0.57138</v>
      </c>
      <c r="AD21" s="197">
        <f t="shared" si="13"/>
        <v>0</v>
      </c>
      <c r="AE21" s="79">
        <f t="shared" si="6"/>
        <v>0.58116000000000001</v>
      </c>
      <c r="AG21" s="198">
        <f t="shared" si="7"/>
        <v>0.35760000000000003</v>
      </c>
      <c r="AI21" s="8"/>
      <c r="AK21" s="290"/>
    </row>
    <row r="22" spans="1:37" x14ac:dyDescent="0.2">
      <c r="A22" s="43">
        <f t="shared" si="0"/>
        <v>16</v>
      </c>
      <c r="B22" s="68"/>
      <c r="C22" s="22" t="s">
        <v>7</v>
      </c>
      <c r="D22" s="354">
        <v>0.47625999999999991</v>
      </c>
      <c r="E22" s="354">
        <v>6.3149999999999998E-2</v>
      </c>
      <c r="F22" s="224">
        <f t="shared" si="14"/>
        <v>0.22356000000000001</v>
      </c>
      <c r="G22" s="355"/>
      <c r="H22" s="258"/>
      <c r="I22" s="14">
        <f t="shared" si="8"/>
        <v>0.31584999999999996</v>
      </c>
      <c r="J22" s="196">
        <f>+$J$13</f>
        <v>0.22356000000000001</v>
      </c>
      <c r="K22" s="196"/>
      <c r="L22" s="14"/>
      <c r="M22" s="14">
        <f>SUM(I22:L22)</f>
        <v>0.53940999999999995</v>
      </c>
      <c r="N22" s="224">
        <f>+Temporaries!D22</f>
        <v>-1.286E-2</v>
      </c>
      <c r="O22" s="224">
        <f>+Temporaries!AD22</f>
        <v>-1.286E-2</v>
      </c>
      <c r="P22" s="14">
        <v>0</v>
      </c>
      <c r="Q22" s="224">
        <f>'Allocation = % of margin'!AB22+'Allocation = % of margin'!AE22+'Allocation = % of margin'!AH22</f>
        <v>-1.3679999999999999E-2</v>
      </c>
      <c r="R22" s="14">
        <f t="shared" si="1"/>
        <v>0.52572999999999992</v>
      </c>
      <c r="S22" s="457">
        <f t="shared" si="11"/>
        <v>0.32870999999999995</v>
      </c>
      <c r="T22" s="450">
        <f>E22*'Washington volumes'!E22</f>
        <v>0</v>
      </c>
      <c r="U22" s="86"/>
      <c r="V22" s="465"/>
      <c r="W22" s="68"/>
      <c r="X22" s="22" t="s">
        <v>7</v>
      </c>
      <c r="Y22" s="251">
        <f t="shared" si="2"/>
        <v>0.31502999999999992</v>
      </c>
      <c r="Z22" s="252">
        <f t="shared" si="3"/>
        <v>0</v>
      </c>
      <c r="AA22" s="252">
        <f t="shared" si="4"/>
        <v>0.22356000000000001</v>
      </c>
      <c r="AB22" s="252">
        <f t="shared" si="5"/>
        <v>-1.286E-2</v>
      </c>
      <c r="AC22" s="253">
        <f t="shared" si="12"/>
        <v>0.52572999999999992</v>
      </c>
      <c r="AD22" s="197">
        <f t="shared" si="13"/>
        <v>0</v>
      </c>
      <c r="AE22" s="79">
        <f t="shared" si="6"/>
        <v>0.5385899999999999</v>
      </c>
      <c r="AG22" s="198">
        <f t="shared" si="7"/>
        <v>0.31502999999999992</v>
      </c>
      <c r="AI22" s="8"/>
      <c r="AK22" s="290"/>
    </row>
    <row r="23" spans="1:37" x14ac:dyDescent="0.2">
      <c r="A23" s="43">
        <f t="shared" si="0"/>
        <v>17</v>
      </c>
      <c r="B23" s="63" t="s">
        <v>126</v>
      </c>
      <c r="C23" s="18" t="s">
        <v>6</v>
      </c>
      <c r="D23" s="356">
        <v>0.30018999999999996</v>
      </c>
      <c r="E23" s="356">
        <v>7.2349999999999998E-2</v>
      </c>
      <c r="F23" s="246">
        <v>0</v>
      </c>
      <c r="G23" s="357"/>
      <c r="H23" s="259"/>
      <c r="I23" s="20">
        <f t="shared" si="8"/>
        <v>0.37253999999999998</v>
      </c>
      <c r="J23" s="201">
        <v>0</v>
      </c>
      <c r="K23" s="201"/>
      <c r="L23" s="20"/>
      <c r="M23" s="20">
        <f t="shared" si="10"/>
        <v>0.37253999999999998</v>
      </c>
      <c r="N23" s="246">
        <f>+Temporaries!D23</f>
        <v>-5.8E-4</v>
      </c>
      <c r="O23" s="246">
        <f>+Temporaries!AD23</f>
        <v>-5.8E-4</v>
      </c>
      <c r="P23" s="20">
        <v>0</v>
      </c>
      <c r="Q23" s="246">
        <f>'Allocation = % of margin'!AB23+'Allocation = % of margin'!AE23+'Allocation = % of margin'!AH23</f>
        <v>-1.5810000000000001E-2</v>
      </c>
      <c r="R23" s="20">
        <f t="shared" si="1"/>
        <v>0.35672999999999999</v>
      </c>
      <c r="S23" s="457">
        <f t="shared" si="11"/>
        <v>0.37312000000000001</v>
      </c>
      <c r="T23" s="450">
        <f>E23*'Washington volumes'!E23</f>
        <v>27007.097399999999</v>
      </c>
      <c r="U23" s="86"/>
      <c r="V23" s="465"/>
      <c r="W23" s="63" t="s">
        <v>126</v>
      </c>
      <c r="X23" s="200" t="s">
        <v>6</v>
      </c>
      <c r="Y23" s="251">
        <f t="shared" si="2"/>
        <v>0.35731000000000002</v>
      </c>
      <c r="Z23" s="252">
        <f t="shared" si="3"/>
        <v>0</v>
      </c>
      <c r="AA23" s="252">
        <f t="shared" si="4"/>
        <v>0</v>
      </c>
      <c r="AB23" s="252">
        <f t="shared" si="5"/>
        <v>-5.8E-4</v>
      </c>
      <c r="AC23" s="253">
        <f t="shared" si="12"/>
        <v>0.35672999999999999</v>
      </c>
      <c r="AD23" s="197">
        <f t="shared" si="13"/>
        <v>0</v>
      </c>
      <c r="AE23" s="79">
        <f t="shared" si="6"/>
        <v>0.35731000000000002</v>
      </c>
      <c r="AG23" s="198">
        <f t="shared" si="7"/>
        <v>0.35731000000000002</v>
      </c>
      <c r="AI23" s="8"/>
      <c r="AK23" s="290"/>
    </row>
    <row r="24" spans="1:37" x14ac:dyDescent="0.2">
      <c r="A24" s="43">
        <f t="shared" si="0"/>
        <v>18</v>
      </c>
      <c r="B24" s="68"/>
      <c r="C24" s="22" t="s">
        <v>7</v>
      </c>
      <c r="D24" s="354">
        <v>0.26449</v>
      </c>
      <c r="E24" s="354">
        <v>6.3710000000000003E-2</v>
      </c>
      <c r="F24" s="224">
        <v>0</v>
      </c>
      <c r="G24" s="355"/>
      <c r="H24" s="258"/>
      <c r="I24" s="14">
        <f t="shared" si="8"/>
        <v>0.32819999999999999</v>
      </c>
      <c r="J24" s="196">
        <v>0</v>
      </c>
      <c r="K24" s="196"/>
      <c r="L24" s="14"/>
      <c r="M24" s="14">
        <f t="shared" si="10"/>
        <v>0.32819999999999999</v>
      </c>
      <c r="N24" s="224">
        <f>+Temporaries!D24</f>
        <v>-5.1000000000000004E-4</v>
      </c>
      <c r="O24" s="224">
        <f>+Temporaries!AD24</f>
        <v>-5.1000000000000004E-4</v>
      </c>
      <c r="P24" s="14">
        <v>0</v>
      </c>
      <c r="Q24" s="224">
        <f>'Allocation = % of margin'!AB24+'Allocation = % of margin'!AE24+'Allocation = % of margin'!AH24</f>
        <v>-1.3930000000000001E-2</v>
      </c>
      <c r="R24" s="14">
        <f t="shared" si="1"/>
        <v>0.31426999999999999</v>
      </c>
      <c r="S24" s="457">
        <f t="shared" si="11"/>
        <v>0.32871</v>
      </c>
      <c r="T24" s="450">
        <f>E24*'Washington volumes'!E24</f>
        <v>37598.520210000002</v>
      </c>
      <c r="U24" s="86"/>
      <c r="V24" s="465"/>
      <c r="W24" s="68"/>
      <c r="X24" s="202" t="s">
        <v>7</v>
      </c>
      <c r="Y24" s="251">
        <f t="shared" si="2"/>
        <v>0.31478</v>
      </c>
      <c r="Z24" s="252">
        <f t="shared" si="3"/>
        <v>0</v>
      </c>
      <c r="AA24" s="252">
        <f t="shared" si="4"/>
        <v>0</v>
      </c>
      <c r="AB24" s="252">
        <f t="shared" si="5"/>
        <v>-5.1000000000000004E-4</v>
      </c>
      <c r="AC24" s="253">
        <f t="shared" si="12"/>
        <v>0.31426999999999999</v>
      </c>
      <c r="AD24" s="197">
        <f t="shared" si="13"/>
        <v>0</v>
      </c>
      <c r="AE24" s="79">
        <f t="shared" si="6"/>
        <v>0.31478</v>
      </c>
      <c r="AG24" s="198">
        <f t="shared" si="7"/>
        <v>0.31478</v>
      </c>
      <c r="AI24" s="8"/>
      <c r="AK24" s="290"/>
    </row>
    <row r="25" spans="1:37" x14ac:dyDescent="0.2">
      <c r="A25" s="43">
        <f t="shared" si="0"/>
        <v>19</v>
      </c>
      <c r="B25" s="63" t="s">
        <v>244</v>
      </c>
      <c r="C25" s="18" t="s">
        <v>6</v>
      </c>
      <c r="D25" s="356">
        <v>0.47592000000000029</v>
      </c>
      <c r="E25" s="356">
        <v>7.1440000000000003E-2</v>
      </c>
      <c r="F25" s="246">
        <f>+$F$13</f>
        <v>0.22356000000000001</v>
      </c>
      <c r="G25" s="357"/>
      <c r="H25" s="259"/>
      <c r="I25" s="20">
        <f t="shared" si="8"/>
        <v>0.32380000000000031</v>
      </c>
      <c r="J25" s="201">
        <f>+$J$13</f>
        <v>0.22356000000000001</v>
      </c>
      <c r="K25" s="201"/>
      <c r="L25" s="20"/>
      <c r="M25" s="20">
        <f>SUM(I25:L25)</f>
        <v>0.54736000000000029</v>
      </c>
      <c r="N25" s="246">
        <f>+Temporaries!D25</f>
        <v>-4.9319999999999996E-2</v>
      </c>
      <c r="O25" s="246">
        <f>+Temporaries!AD25</f>
        <v>-4.9319999999999996E-2</v>
      </c>
      <c r="P25" s="20">
        <v>0</v>
      </c>
      <c r="Q25" s="246">
        <f>'Allocation = % of margin'!AB25+'Allocation = % of margin'!AE25+'Allocation = % of margin'!AH25</f>
        <v>-1.426E-2</v>
      </c>
      <c r="R25" s="20">
        <f t="shared" si="1"/>
        <v>0.53310000000000024</v>
      </c>
      <c r="S25" s="457">
        <f t="shared" si="11"/>
        <v>0.37312000000000023</v>
      </c>
      <c r="T25" s="450">
        <f>E25*'Washington volumes'!E25</f>
        <v>23011.374088</v>
      </c>
      <c r="U25" s="86"/>
      <c r="V25" s="465"/>
      <c r="W25" s="63" t="s">
        <v>244</v>
      </c>
      <c r="X25" s="200" t="s">
        <v>6</v>
      </c>
      <c r="Y25" s="251">
        <f t="shared" si="2"/>
        <v>0.35886000000000023</v>
      </c>
      <c r="Z25" s="252">
        <f t="shared" si="3"/>
        <v>0</v>
      </c>
      <c r="AA25" s="252">
        <f t="shared" si="4"/>
        <v>0.22356000000000001</v>
      </c>
      <c r="AB25" s="252">
        <f t="shared" si="5"/>
        <v>-4.9319999999999996E-2</v>
      </c>
      <c r="AC25" s="253">
        <f t="shared" si="12"/>
        <v>0.53310000000000024</v>
      </c>
      <c r="AD25" s="197">
        <f t="shared" si="13"/>
        <v>0</v>
      </c>
      <c r="AE25" s="79">
        <f t="shared" si="6"/>
        <v>0.58242000000000027</v>
      </c>
      <c r="AG25" s="198">
        <f t="shared" si="7"/>
        <v>0.35886000000000029</v>
      </c>
      <c r="AI25" s="8"/>
      <c r="AK25" s="290"/>
    </row>
    <row r="26" spans="1:37" x14ac:dyDescent="0.2">
      <c r="A26" s="43">
        <f t="shared" si="0"/>
        <v>20</v>
      </c>
      <c r="B26" s="68"/>
      <c r="C26" s="22" t="s">
        <v>7</v>
      </c>
      <c r="D26" s="354">
        <v>0.43959999999999988</v>
      </c>
      <c r="E26" s="354">
        <v>6.2890000000000001E-2</v>
      </c>
      <c r="F26" s="224">
        <f>+$F$13</f>
        <v>0.22356000000000001</v>
      </c>
      <c r="G26" s="355"/>
      <c r="H26" s="258"/>
      <c r="I26" s="14">
        <f t="shared" si="8"/>
        <v>0.2789299999999999</v>
      </c>
      <c r="J26" s="196">
        <f>+$J$13</f>
        <v>0.22356000000000001</v>
      </c>
      <c r="K26" s="196"/>
      <c r="L26" s="14"/>
      <c r="M26" s="14">
        <f>SUM(I26:L26)</f>
        <v>0.50248999999999988</v>
      </c>
      <c r="N26" s="224">
        <f>+Temporaries!D26</f>
        <v>-4.9779999999999998E-2</v>
      </c>
      <c r="O26" s="224">
        <f>+Temporaries!AD26</f>
        <v>-4.9779999999999998E-2</v>
      </c>
      <c r="P26" s="14">
        <v>0</v>
      </c>
      <c r="Q26" s="224">
        <f>'Allocation = % of margin'!AB26+'Allocation = % of margin'!AE26+'Allocation = % of margin'!AH26</f>
        <v>-1.256E-2</v>
      </c>
      <c r="R26" s="14">
        <f t="shared" si="1"/>
        <v>0.48992999999999987</v>
      </c>
      <c r="S26" s="457">
        <f t="shared" si="11"/>
        <v>0.32870999999999989</v>
      </c>
      <c r="T26" s="450">
        <f>E26*'Washington volumes'!E26</f>
        <v>21795.579762999994</v>
      </c>
      <c r="U26" s="86"/>
      <c r="V26" s="465"/>
      <c r="W26" s="68"/>
      <c r="X26" s="416" t="s">
        <v>7</v>
      </c>
      <c r="Y26" s="251">
        <f t="shared" si="2"/>
        <v>0.31614999999999988</v>
      </c>
      <c r="Z26" s="252">
        <f t="shared" si="3"/>
        <v>0</v>
      </c>
      <c r="AA26" s="252">
        <f t="shared" si="4"/>
        <v>0.22356000000000001</v>
      </c>
      <c r="AB26" s="252">
        <f t="shared" si="5"/>
        <v>-4.9779999999999998E-2</v>
      </c>
      <c r="AC26" s="253">
        <f t="shared" si="12"/>
        <v>0.48992999999999992</v>
      </c>
      <c r="AD26" s="197">
        <f t="shared" si="13"/>
        <v>0</v>
      </c>
      <c r="AE26" s="79">
        <f t="shared" si="6"/>
        <v>0.53970999999999991</v>
      </c>
      <c r="AG26" s="198">
        <f t="shared" si="7"/>
        <v>0.31614999999999993</v>
      </c>
      <c r="AI26" s="8"/>
      <c r="AK26" s="290"/>
    </row>
    <row r="27" spans="1:37" x14ac:dyDescent="0.2">
      <c r="A27" s="43">
        <f t="shared" si="0"/>
        <v>21</v>
      </c>
      <c r="B27" s="63" t="s">
        <v>245</v>
      </c>
      <c r="C27" s="18" t="s">
        <v>6</v>
      </c>
      <c r="D27" s="356">
        <v>0.49300000000000005</v>
      </c>
      <c r="E27" s="356">
        <v>7.1709999999999996E-2</v>
      </c>
      <c r="F27" s="246">
        <f>+$F$13</f>
        <v>0.22356000000000001</v>
      </c>
      <c r="G27" s="357"/>
      <c r="H27" s="259"/>
      <c r="I27" s="20">
        <f t="shared" si="8"/>
        <v>0.34115000000000006</v>
      </c>
      <c r="J27" s="201">
        <f t="shared" ref="J27:J40" si="15">+$J$13</f>
        <v>0.22356000000000001</v>
      </c>
      <c r="K27" s="201"/>
      <c r="L27" s="81"/>
      <c r="M27" s="20">
        <f t="shared" si="10"/>
        <v>0.56471000000000005</v>
      </c>
      <c r="N27" s="246">
        <f>+Temporaries!D27</f>
        <v>-3.1969999999999998E-2</v>
      </c>
      <c r="O27" s="246">
        <f>+Temporaries!AD27</f>
        <v>-3.1969999999999998E-2</v>
      </c>
      <c r="P27" s="20">
        <v>0</v>
      </c>
      <c r="Q27" s="246">
        <f>'Allocation = % of margin'!AB27+'Allocation = % of margin'!AE27+'Allocation = % of margin'!AH27</f>
        <v>-1.5519999999999999E-2</v>
      </c>
      <c r="R27" s="20">
        <f t="shared" si="1"/>
        <v>0.54919000000000007</v>
      </c>
      <c r="S27" s="457">
        <f t="shared" si="11"/>
        <v>0.37312000000000006</v>
      </c>
      <c r="T27" s="450">
        <f>E27*'Washington volumes'!E27</f>
        <v>0</v>
      </c>
      <c r="U27" s="86"/>
      <c r="V27" s="465"/>
      <c r="W27" s="63" t="s">
        <v>245</v>
      </c>
      <c r="X27" s="200" t="s">
        <v>6</v>
      </c>
      <c r="Y27" s="251">
        <f t="shared" si="2"/>
        <v>0.35760000000000008</v>
      </c>
      <c r="Z27" s="252">
        <f t="shared" si="3"/>
        <v>0</v>
      </c>
      <c r="AA27" s="252">
        <f t="shared" si="4"/>
        <v>0.22356000000000001</v>
      </c>
      <c r="AB27" s="252">
        <f t="shared" si="5"/>
        <v>-3.1969999999999998E-2</v>
      </c>
      <c r="AC27" s="253">
        <f t="shared" si="12"/>
        <v>0.54919000000000007</v>
      </c>
      <c r="AD27" s="197">
        <f t="shared" si="13"/>
        <v>0</v>
      </c>
      <c r="AE27" s="79">
        <f t="shared" si="6"/>
        <v>0.58116000000000012</v>
      </c>
      <c r="AG27" s="198">
        <f t="shared" si="7"/>
        <v>0.35760000000000014</v>
      </c>
      <c r="AI27" s="8"/>
      <c r="AK27" s="290"/>
    </row>
    <row r="28" spans="1:37" x14ac:dyDescent="0.2">
      <c r="A28" s="43">
        <f t="shared" si="0"/>
        <v>22</v>
      </c>
      <c r="B28" s="68"/>
      <c r="C28" s="22" t="s">
        <v>7</v>
      </c>
      <c r="D28" s="354">
        <v>0.45670999999999995</v>
      </c>
      <c r="E28" s="354">
        <v>6.3149999999999998E-2</v>
      </c>
      <c r="F28" s="224">
        <f>+$F$13</f>
        <v>0.22356000000000001</v>
      </c>
      <c r="G28" s="355"/>
      <c r="H28" s="258"/>
      <c r="I28" s="14">
        <f t="shared" si="8"/>
        <v>0.29630000000000001</v>
      </c>
      <c r="J28" s="196">
        <f t="shared" si="15"/>
        <v>0.22356000000000001</v>
      </c>
      <c r="K28" s="196"/>
      <c r="L28" s="14"/>
      <c r="M28" s="14">
        <f t="shared" si="10"/>
        <v>0.51985999999999999</v>
      </c>
      <c r="N28" s="224">
        <f>+Temporaries!D28</f>
        <v>-3.2409999999999994E-2</v>
      </c>
      <c r="O28" s="224">
        <f>+Temporaries!AD28</f>
        <v>-3.2409999999999994E-2</v>
      </c>
      <c r="P28" s="14">
        <v>0</v>
      </c>
      <c r="Q28" s="224">
        <f>'Allocation = % of margin'!AB28+'Allocation = % of margin'!AE28+'Allocation = % of margin'!AH28</f>
        <v>-1.3679999999999999E-2</v>
      </c>
      <c r="R28" s="14">
        <f t="shared" si="1"/>
        <v>0.50617999999999996</v>
      </c>
      <c r="S28" s="457">
        <f t="shared" si="11"/>
        <v>0.32871</v>
      </c>
      <c r="T28" s="450">
        <f>E28*'Washington volumes'!E28</f>
        <v>0</v>
      </c>
      <c r="U28" s="86"/>
      <c r="V28" s="465"/>
      <c r="W28" s="68"/>
      <c r="X28" s="202" t="s">
        <v>7</v>
      </c>
      <c r="Y28" s="251">
        <f t="shared" si="2"/>
        <v>0.31502999999999998</v>
      </c>
      <c r="Z28" s="252">
        <f t="shared" si="3"/>
        <v>0</v>
      </c>
      <c r="AA28" s="252">
        <f t="shared" si="4"/>
        <v>0.22356000000000001</v>
      </c>
      <c r="AB28" s="252">
        <f t="shared" si="5"/>
        <v>-3.2409999999999994E-2</v>
      </c>
      <c r="AC28" s="253">
        <f t="shared" si="12"/>
        <v>0.50618000000000007</v>
      </c>
      <c r="AD28" s="197">
        <f t="shared" si="13"/>
        <v>0</v>
      </c>
      <c r="AE28" s="79">
        <f t="shared" si="6"/>
        <v>0.5385899999999999</v>
      </c>
      <c r="AG28" s="198">
        <f t="shared" si="7"/>
        <v>0.31502999999999992</v>
      </c>
      <c r="AI28" s="8"/>
      <c r="AK28" s="290"/>
    </row>
    <row r="29" spans="1:37" x14ac:dyDescent="0.2">
      <c r="A29" s="43">
        <f t="shared" si="0"/>
        <v>23</v>
      </c>
      <c r="B29" s="63" t="s">
        <v>127</v>
      </c>
      <c r="C29" s="18" t="s">
        <v>6</v>
      </c>
      <c r="D29" s="356">
        <v>0.30433999999999994</v>
      </c>
      <c r="E29" s="356">
        <v>2.5219999999999999E-2</v>
      </c>
      <c r="F29" s="246">
        <f t="shared" ref="F29:F40" si="16">+$F$13</f>
        <v>0.22356000000000001</v>
      </c>
      <c r="G29" s="357"/>
      <c r="H29" s="259"/>
      <c r="I29" s="20">
        <f t="shared" si="8"/>
        <v>0.10599999999999996</v>
      </c>
      <c r="J29" s="201">
        <f t="shared" si="15"/>
        <v>0.22356000000000001</v>
      </c>
      <c r="K29" s="201"/>
      <c r="L29" s="20"/>
      <c r="M29" s="20">
        <f t="shared" si="10"/>
        <v>0.32955999999999996</v>
      </c>
      <c r="N29" s="246">
        <f>+Temporaries!D29</f>
        <v>-3.7989999999999996E-2</v>
      </c>
      <c r="O29" s="246">
        <f>+Temporaries!AD29</f>
        <v>-3.7989999999999996E-2</v>
      </c>
      <c r="P29" s="20">
        <v>0</v>
      </c>
      <c r="Q29" s="246">
        <f>'Allocation = % of margin'!AB29+'Allocation = % of margin'!AE29+'Allocation = % of margin'!AH29</f>
        <v>-9.4999999999999998E-3</v>
      </c>
      <c r="R29" s="20">
        <f t="shared" si="1"/>
        <v>0.32005999999999996</v>
      </c>
      <c r="S29" s="457">
        <f t="shared" si="11"/>
        <v>0.14398999999999995</v>
      </c>
      <c r="T29" s="450">
        <f>E29*'Washington volumes'!E29</f>
        <v>9458.1599494520779</v>
      </c>
      <c r="U29" s="86"/>
      <c r="V29" s="465"/>
      <c r="W29" s="63" t="s">
        <v>127</v>
      </c>
      <c r="X29" s="200" t="s">
        <v>6</v>
      </c>
      <c r="Y29" s="251">
        <f t="shared" si="2"/>
        <v>0.13448999999999994</v>
      </c>
      <c r="Z29" s="252">
        <f t="shared" si="3"/>
        <v>0</v>
      </c>
      <c r="AA29" s="252">
        <f t="shared" si="4"/>
        <v>0.22356000000000001</v>
      </c>
      <c r="AB29" s="252">
        <f t="shared" si="5"/>
        <v>-3.7989999999999996E-2</v>
      </c>
      <c r="AC29" s="253">
        <f t="shared" si="12"/>
        <v>0.32006000000000001</v>
      </c>
      <c r="AD29" s="197">
        <f t="shared" si="13"/>
        <v>0</v>
      </c>
      <c r="AE29" s="79">
        <f t="shared" si="6"/>
        <v>0.35804999999999998</v>
      </c>
      <c r="AG29" s="198">
        <f t="shared" si="7"/>
        <v>0.13448999999999997</v>
      </c>
      <c r="AI29" s="8"/>
      <c r="AK29" s="290"/>
    </row>
    <row r="30" spans="1:37" x14ac:dyDescent="0.2">
      <c r="A30" s="43">
        <f t="shared" si="0"/>
        <v>24</v>
      </c>
      <c r="B30" s="63"/>
      <c r="C30" s="18" t="s">
        <v>7</v>
      </c>
      <c r="D30" s="356">
        <v>0.29029999999999978</v>
      </c>
      <c r="E30" s="356">
        <v>2.2499999999999999E-2</v>
      </c>
      <c r="F30" s="246">
        <f t="shared" si="16"/>
        <v>0.22356000000000001</v>
      </c>
      <c r="G30" s="357"/>
      <c r="H30" s="259"/>
      <c r="I30" s="20">
        <f t="shared" si="8"/>
        <v>8.9239999999999792E-2</v>
      </c>
      <c r="J30" s="201">
        <f t="shared" si="15"/>
        <v>0.22356000000000001</v>
      </c>
      <c r="K30" s="201"/>
      <c r="L30" s="20"/>
      <c r="M30" s="20">
        <f t="shared" si="10"/>
        <v>0.3127999999999998</v>
      </c>
      <c r="N30" s="246">
        <f>+Temporaries!D30</f>
        <v>-3.9579999999999997E-2</v>
      </c>
      <c r="O30" s="246">
        <f>+Temporaries!AD30</f>
        <v>-3.9579999999999997E-2</v>
      </c>
      <c r="P30" s="20">
        <v>0</v>
      </c>
      <c r="Q30" s="246">
        <f>'Allocation = % of margin'!AB30+'Allocation = % of margin'!AE30+'Allocation = % of margin'!AH30</f>
        <v>-8.4899999999999993E-3</v>
      </c>
      <c r="R30" s="20">
        <f t="shared" si="1"/>
        <v>0.3043099999999998</v>
      </c>
      <c r="S30" s="457">
        <f t="shared" si="11"/>
        <v>0.1288199999999998</v>
      </c>
      <c r="T30" s="450">
        <f>E30*'Washington volumes'!E30</f>
        <v>6670.5418727567894</v>
      </c>
      <c r="U30" s="86"/>
      <c r="V30" s="465"/>
      <c r="W30" s="63"/>
      <c r="X30" s="200" t="s">
        <v>7</v>
      </c>
      <c r="Y30" s="251">
        <f t="shared" si="2"/>
        <v>0.1203299999999998</v>
      </c>
      <c r="Z30" s="252">
        <f t="shared" si="3"/>
        <v>0</v>
      </c>
      <c r="AA30" s="252">
        <f t="shared" si="4"/>
        <v>0.22356000000000001</v>
      </c>
      <c r="AB30" s="252">
        <f t="shared" si="5"/>
        <v>-3.9579999999999997E-2</v>
      </c>
      <c r="AC30" s="253">
        <f t="shared" si="12"/>
        <v>0.3043099999999998</v>
      </c>
      <c r="AD30" s="197">
        <f t="shared" si="13"/>
        <v>0</v>
      </c>
      <c r="AE30" s="79">
        <f t="shared" si="6"/>
        <v>0.34388999999999981</v>
      </c>
      <c r="AG30" s="198">
        <f t="shared" si="7"/>
        <v>0.1203299999999998</v>
      </c>
      <c r="AI30" s="8"/>
      <c r="AK30" s="290"/>
    </row>
    <row r="31" spans="1:37" x14ac:dyDescent="0.2">
      <c r="A31" s="43">
        <f t="shared" si="0"/>
        <v>25</v>
      </c>
      <c r="B31" s="63"/>
      <c r="C31" s="18" t="s">
        <v>8</v>
      </c>
      <c r="D31" s="356">
        <v>0.26236999999999994</v>
      </c>
      <c r="E31" s="356">
        <v>1.7149999999999999E-2</v>
      </c>
      <c r="F31" s="246">
        <f t="shared" si="16"/>
        <v>0.22356000000000001</v>
      </c>
      <c r="G31" s="357"/>
      <c r="H31" s="259"/>
      <c r="I31" s="20">
        <f t="shared" si="8"/>
        <v>5.5959999999999926E-2</v>
      </c>
      <c r="J31" s="201">
        <f t="shared" si="15"/>
        <v>0.22356000000000001</v>
      </c>
      <c r="K31" s="201"/>
      <c r="L31" s="20"/>
      <c r="M31" s="20">
        <f t="shared" si="10"/>
        <v>0.27951999999999994</v>
      </c>
      <c r="N31" s="246">
        <f>+Temporaries!D31</f>
        <v>-4.2729999999999997E-2</v>
      </c>
      <c r="O31" s="246">
        <f>+Temporaries!AD31</f>
        <v>-4.2729999999999997E-2</v>
      </c>
      <c r="P31" s="20">
        <v>0</v>
      </c>
      <c r="Q31" s="246">
        <f>'Allocation = % of margin'!AB31+'Allocation = % of margin'!AE31+'Allocation = % of margin'!AH31</f>
        <v>-6.5100000000000002E-3</v>
      </c>
      <c r="R31" s="20">
        <f t="shared" si="1"/>
        <v>0.27300999999999992</v>
      </c>
      <c r="S31" s="457">
        <f t="shared" si="11"/>
        <v>9.8689999999999903E-2</v>
      </c>
      <c r="T31" s="450">
        <f>E31*'Washington volumes'!E31</f>
        <v>1274.7123783612637</v>
      </c>
      <c r="U31" s="86"/>
      <c r="V31" s="465"/>
      <c r="W31" s="63"/>
      <c r="X31" s="200" t="s">
        <v>8</v>
      </c>
      <c r="Y31" s="251">
        <f t="shared" si="2"/>
        <v>9.2179999999999901E-2</v>
      </c>
      <c r="Z31" s="252">
        <f t="shared" si="3"/>
        <v>0</v>
      </c>
      <c r="AA31" s="252">
        <f t="shared" si="4"/>
        <v>0.22356000000000001</v>
      </c>
      <c r="AB31" s="252">
        <f t="shared" si="5"/>
        <v>-4.2729999999999997E-2</v>
      </c>
      <c r="AC31" s="253">
        <f t="shared" si="12"/>
        <v>0.27300999999999992</v>
      </c>
      <c r="AD31" s="197">
        <f t="shared" si="13"/>
        <v>0</v>
      </c>
      <c r="AE31" s="79">
        <f t="shared" si="6"/>
        <v>0.31573999999999991</v>
      </c>
      <c r="AG31" s="198">
        <f t="shared" si="7"/>
        <v>9.2179999999999901E-2</v>
      </c>
      <c r="AI31" s="8"/>
      <c r="AK31" s="290"/>
    </row>
    <row r="32" spans="1:37" x14ac:dyDescent="0.2">
      <c r="A32" s="43">
        <f t="shared" si="0"/>
        <v>26</v>
      </c>
      <c r="B32" s="63"/>
      <c r="C32" s="18" t="s">
        <v>9</v>
      </c>
      <c r="D32" s="356">
        <v>0.24398000000000022</v>
      </c>
      <c r="E32" s="356">
        <v>1.3679999999999999E-2</v>
      </c>
      <c r="F32" s="246">
        <f t="shared" si="16"/>
        <v>0.22356000000000001</v>
      </c>
      <c r="G32" s="357"/>
      <c r="H32" s="259"/>
      <c r="I32" s="20">
        <f t="shared" si="8"/>
        <v>3.4100000000000213E-2</v>
      </c>
      <c r="J32" s="201">
        <f t="shared" si="15"/>
        <v>0.22356000000000001</v>
      </c>
      <c r="K32" s="201"/>
      <c r="L32" s="20"/>
      <c r="M32" s="20">
        <f t="shared" si="10"/>
        <v>0.25766000000000022</v>
      </c>
      <c r="N32" s="246">
        <f>+Temporaries!D32</f>
        <v>-4.4809999999999996E-2</v>
      </c>
      <c r="O32" s="246">
        <f>+Temporaries!AD32</f>
        <v>-4.4809999999999996E-2</v>
      </c>
      <c r="P32" s="20">
        <v>0</v>
      </c>
      <c r="Q32" s="246">
        <f>'Allocation = % of margin'!AB32+'Allocation = % of margin'!AE32+'Allocation = % of margin'!AH32</f>
        <v>-5.2200000000000007E-3</v>
      </c>
      <c r="R32" s="20">
        <f t="shared" si="1"/>
        <v>0.25244000000000022</v>
      </c>
      <c r="S32" s="457">
        <f t="shared" si="11"/>
        <v>7.8910000000000202E-2</v>
      </c>
      <c r="T32" s="450">
        <f>E32*'Washington volumes'!E32</f>
        <v>16.369082118917873</v>
      </c>
      <c r="U32" s="86"/>
      <c r="V32" s="465"/>
      <c r="W32" s="63"/>
      <c r="X32" s="200" t="s">
        <v>9</v>
      </c>
      <c r="Y32" s="251">
        <f t="shared" si="2"/>
        <v>7.36900000000002E-2</v>
      </c>
      <c r="Z32" s="252">
        <f t="shared" si="3"/>
        <v>0</v>
      </c>
      <c r="AA32" s="252">
        <f t="shared" si="4"/>
        <v>0.22356000000000001</v>
      </c>
      <c r="AB32" s="252">
        <f t="shared" si="5"/>
        <v>-4.4809999999999996E-2</v>
      </c>
      <c r="AC32" s="253">
        <f t="shared" si="12"/>
        <v>0.25244000000000022</v>
      </c>
      <c r="AD32" s="197">
        <f t="shared" si="13"/>
        <v>0</v>
      </c>
      <c r="AE32" s="79">
        <f t="shared" si="6"/>
        <v>0.29725000000000024</v>
      </c>
      <c r="AG32" s="198">
        <f t="shared" si="7"/>
        <v>7.3690000000000228E-2</v>
      </c>
      <c r="AI32" s="8"/>
      <c r="AK32" s="290"/>
    </row>
    <row r="33" spans="1:37" x14ac:dyDescent="0.2">
      <c r="A33" s="43">
        <f t="shared" si="0"/>
        <v>27</v>
      </c>
      <c r="B33" s="63"/>
      <c r="C33" s="18" t="s">
        <v>10</v>
      </c>
      <c r="D33" s="356">
        <v>0.21944999999999995</v>
      </c>
      <c r="E33" s="356">
        <v>9.1299999999999992E-3</v>
      </c>
      <c r="F33" s="246">
        <f t="shared" si="16"/>
        <v>0.22356000000000001</v>
      </c>
      <c r="G33" s="357"/>
      <c r="H33" s="259"/>
      <c r="I33" s="20">
        <f t="shared" si="8"/>
        <v>5.0199999999999412E-3</v>
      </c>
      <c r="J33" s="201">
        <f t="shared" si="15"/>
        <v>0.22356000000000001</v>
      </c>
      <c r="K33" s="201"/>
      <c r="L33" s="20"/>
      <c r="M33" s="20">
        <f t="shared" si="10"/>
        <v>0.22857999999999995</v>
      </c>
      <c r="N33" s="246">
        <f>+Temporaries!D33</f>
        <v>-4.7589999999999993E-2</v>
      </c>
      <c r="O33" s="246">
        <f>+Temporaries!AD33</f>
        <v>-4.7589999999999993E-2</v>
      </c>
      <c r="P33" s="20">
        <v>0</v>
      </c>
      <c r="Q33" s="246">
        <f>'Allocation = % of margin'!AB33+'Allocation = % of margin'!AE33+'Allocation = % of margin'!AH33</f>
        <v>-3.4799999999999996E-3</v>
      </c>
      <c r="R33" s="20">
        <f t="shared" si="1"/>
        <v>0.22509999999999991</v>
      </c>
      <c r="S33" s="457">
        <f t="shared" si="11"/>
        <v>5.2609999999999893E-2</v>
      </c>
      <c r="T33" s="450">
        <f>E33*'Washington volumes'!E33</f>
        <v>0</v>
      </c>
      <c r="U33" s="86"/>
      <c r="V33" s="465"/>
      <c r="W33" s="63"/>
      <c r="X33" s="200" t="s">
        <v>10</v>
      </c>
      <c r="Y33" s="251">
        <f t="shared" si="2"/>
        <v>4.9129999999999896E-2</v>
      </c>
      <c r="Z33" s="252">
        <f t="shared" si="3"/>
        <v>0</v>
      </c>
      <c r="AA33" s="252">
        <f t="shared" si="4"/>
        <v>0.22356000000000001</v>
      </c>
      <c r="AB33" s="252">
        <f t="shared" si="5"/>
        <v>-4.7589999999999993E-2</v>
      </c>
      <c r="AC33" s="253">
        <f t="shared" si="12"/>
        <v>0.22509999999999988</v>
      </c>
      <c r="AD33" s="197">
        <f t="shared" si="13"/>
        <v>0</v>
      </c>
      <c r="AE33" s="79">
        <f t="shared" si="6"/>
        <v>0.27268999999999988</v>
      </c>
      <c r="AG33" s="198">
        <f t="shared" si="7"/>
        <v>4.9129999999999868E-2</v>
      </c>
      <c r="AI33" s="8"/>
      <c r="AK33" s="290"/>
    </row>
    <row r="34" spans="1:37" x14ac:dyDescent="0.2">
      <c r="A34" s="43">
        <f t="shared" si="0"/>
        <v>28</v>
      </c>
      <c r="B34" s="68"/>
      <c r="C34" s="22" t="s">
        <v>11</v>
      </c>
      <c r="D34" s="354">
        <v>0.18881000000000009</v>
      </c>
      <c r="E34" s="354">
        <v>0</v>
      </c>
      <c r="F34" s="224">
        <f t="shared" si="16"/>
        <v>0.22356000000000001</v>
      </c>
      <c r="G34" s="355"/>
      <c r="H34" s="258"/>
      <c r="I34" s="14">
        <f t="shared" si="8"/>
        <v>-3.474999999999992E-2</v>
      </c>
      <c r="J34" s="196">
        <f t="shared" si="15"/>
        <v>0.22356000000000001</v>
      </c>
      <c r="K34" s="196"/>
      <c r="L34" s="14"/>
      <c r="M34" s="14">
        <f t="shared" si="10"/>
        <v>0.18881000000000009</v>
      </c>
      <c r="N34" s="224">
        <f>+Temporaries!D34</f>
        <v>-5.1049999999999998E-2</v>
      </c>
      <c r="O34" s="224">
        <f>+Temporaries!AD34</f>
        <v>-5.1049999999999998E-2</v>
      </c>
      <c r="P34" s="14">
        <v>0</v>
      </c>
      <c r="Q34" s="224">
        <f>'Allocation = % of margin'!AB34+'Allocation = % of margin'!AE34+'Allocation = % of margin'!AH34</f>
        <v>-1.2999999999999999E-3</v>
      </c>
      <c r="R34" s="14">
        <f t="shared" si="1"/>
        <v>0.18751000000000009</v>
      </c>
      <c r="S34" s="457">
        <f t="shared" si="11"/>
        <v>1.6300000000000082E-2</v>
      </c>
      <c r="T34" s="450">
        <f>E34*'Washington volumes'!E34</f>
        <v>0</v>
      </c>
      <c r="U34" s="86"/>
      <c r="V34" s="465"/>
      <c r="W34" s="68"/>
      <c r="X34" s="202" t="s">
        <v>11</v>
      </c>
      <c r="Y34" s="251">
        <f t="shared" si="2"/>
        <v>1.5000000000000083E-2</v>
      </c>
      <c r="Z34" s="252">
        <f t="shared" si="3"/>
        <v>0</v>
      </c>
      <c r="AA34" s="252">
        <f t="shared" si="4"/>
        <v>0.22356000000000001</v>
      </c>
      <c r="AB34" s="252">
        <f t="shared" si="5"/>
        <v>-5.1049999999999998E-2</v>
      </c>
      <c r="AC34" s="253">
        <f t="shared" si="12"/>
        <v>0.18751000000000012</v>
      </c>
      <c r="AD34" s="197">
        <f t="shared" si="13"/>
        <v>0</v>
      </c>
      <c r="AE34" s="79">
        <f t="shared" si="6"/>
        <v>0.23856000000000011</v>
      </c>
      <c r="AG34" s="198">
        <f t="shared" si="7"/>
        <v>1.5000000000000097E-2</v>
      </c>
      <c r="AI34" s="8"/>
      <c r="AK34" s="290"/>
    </row>
    <row r="35" spans="1:37" x14ac:dyDescent="0.2">
      <c r="A35" s="43">
        <f t="shared" si="0"/>
        <v>29</v>
      </c>
      <c r="B35" s="63" t="s">
        <v>128</v>
      </c>
      <c r="C35" s="18" t="s">
        <v>6</v>
      </c>
      <c r="D35" s="356">
        <v>0.29139999999999999</v>
      </c>
      <c r="E35" s="356">
        <v>2.528E-2</v>
      </c>
      <c r="F35" s="246">
        <f t="shared" si="16"/>
        <v>0.22356000000000001</v>
      </c>
      <c r="G35" s="357"/>
      <c r="H35" s="259"/>
      <c r="I35" s="20">
        <f t="shared" si="8"/>
        <v>9.3120000000000008E-2</v>
      </c>
      <c r="J35" s="201">
        <f t="shared" si="15"/>
        <v>0.22356000000000001</v>
      </c>
      <c r="K35" s="201"/>
      <c r="L35" s="20"/>
      <c r="M35" s="20">
        <f t="shared" si="10"/>
        <v>0.31668000000000002</v>
      </c>
      <c r="N35" s="246">
        <f>+Temporaries!D35</f>
        <v>-5.0869999999999999E-2</v>
      </c>
      <c r="O35" s="246">
        <f>+Temporaries!AD35</f>
        <v>-5.0869999999999999E-2</v>
      </c>
      <c r="P35" s="20">
        <v>0</v>
      </c>
      <c r="Q35" s="246">
        <f>'Allocation = % of margin'!AB35+'Allocation = % of margin'!AE35+'Allocation = % of margin'!AH35</f>
        <v>-8.4200000000000004E-3</v>
      </c>
      <c r="R35" s="20">
        <f t="shared" si="1"/>
        <v>0.30826000000000009</v>
      </c>
      <c r="S35" s="457">
        <f t="shared" si="11"/>
        <v>0.14399000000000009</v>
      </c>
      <c r="T35" s="450">
        <f>E35*'Washington volumes'!E35</f>
        <v>28233.775871999998</v>
      </c>
      <c r="U35" s="86"/>
      <c r="V35" s="465"/>
      <c r="W35" s="63" t="s">
        <v>128</v>
      </c>
      <c r="X35" s="200" t="s">
        <v>6</v>
      </c>
      <c r="Y35" s="251">
        <f t="shared" si="2"/>
        <v>0.13557000000000008</v>
      </c>
      <c r="Z35" s="252">
        <f t="shared" si="3"/>
        <v>0</v>
      </c>
      <c r="AA35" s="252">
        <f t="shared" si="4"/>
        <v>0.22356000000000001</v>
      </c>
      <c r="AB35" s="252">
        <f t="shared" si="5"/>
        <v>-5.0869999999999999E-2</v>
      </c>
      <c r="AC35" s="253">
        <f t="shared" si="12"/>
        <v>0.30826000000000009</v>
      </c>
      <c r="AD35" s="197">
        <f t="shared" si="13"/>
        <v>0</v>
      </c>
      <c r="AE35" s="79">
        <f t="shared" si="6"/>
        <v>0.35913000000000006</v>
      </c>
      <c r="AG35" s="198">
        <f t="shared" si="7"/>
        <v>0.13557000000000005</v>
      </c>
      <c r="AI35" s="8"/>
      <c r="AK35" s="290"/>
    </row>
    <row r="36" spans="1:37" x14ac:dyDescent="0.2">
      <c r="A36" s="43">
        <f t="shared" si="0"/>
        <v>30</v>
      </c>
      <c r="B36" s="63"/>
      <c r="C36" s="18" t="s">
        <v>7</v>
      </c>
      <c r="D36" s="356">
        <v>0.27872000000000008</v>
      </c>
      <c r="E36" s="356">
        <v>2.256E-2</v>
      </c>
      <c r="F36" s="246">
        <f t="shared" si="16"/>
        <v>0.22356000000000001</v>
      </c>
      <c r="G36" s="357"/>
      <c r="H36" s="259"/>
      <c r="I36" s="20">
        <f t="shared" si="8"/>
        <v>7.7720000000000095E-2</v>
      </c>
      <c r="J36" s="201">
        <f t="shared" si="15"/>
        <v>0.22356000000000001</v>
      </c>
      <c r="K36" s="201"/>
      <c r="L36" s="20"/>
      <c r="M36" s="20">
        <f t="shared" si="10"/>
        <v>0.3012800000000001</v>
      </c>
      <c r="N36" s="246">
        <f>+Temporaries!D36</f>
        <v>-5.11E-2</v>
      </c>
      <c r="O36" s="246">
        <f>+Temporaries!AD36</f>
        <v>-5.11E-2</v>
      </c>
      <c r="P36" s="20">
        <v>0</v>
      </c>
      <c r="Q36" s="246">
        <f>'Allocation = % of margin'!AB36+'Allocation = % of margin'!AE36+'Allocation = % of margin'!AH36</f>
        <v>-7.5399999999999998E-3</v>
      </c>
      <c r="R36" s="20">
        <f t="shared" si="1"/>
        <v>0.29374000000000011</v>
      </c>
      <c r="S36" s="457">
        <f t="shared" si="11"/>
        <v>0.1288200000000001</v>
      </c>
      <c r="T36" s="450">
        <f>E36*'Washington volumes'!E36</f>
        <v>16213.389216</v>
      </c>
      <c r="U36" s="86"/>
      <c r="V36" s="465"/>
      <c r="W36" s="63"/>
      <c r="X36" s="200" t="s">
        <v>7</v>
      </c>
      <c r="Y36" s="251">
        <f t="shared" si="2"/>
        <v>0.12128000000000011</v>
      </c>
      <c r="Z36" s="252">
        <f t="shared" si="3"/>
        <v>0</v>
      </c>
      <c r="AA36" s="252">
        <f t="shared" si="4"/>
        <v>0.22356000000000001</v>
      </c>
      <c r="AB36" s="252">
        <f t="shared" si="5"/>
        <v>-5.11E-2</v>
      </c>
      <c r="AC36" s="253">
        <f t="shared" si="12"/>
        <v>0.29374000000000017</v>
      </c>
      <c r="AD36" s="197">
        <f t="shared" si="13"/>
        <v>0</v>
      </c>
      <c r="AE36" s="79">
        <f t="shared" si="6"/>
        <v>0.34484000000000009</v>
      </c>
      <c r="AG36" s="198">
        <f t="shared" si="7"/>
        <v>0.12128000000000008</v>
      </c>
      <c r="AI36" s="8"/>
      <c r="AK36" s="290"/>
    </row>
    <row r="37" spans="1:37" x14ac:dyDescent="0.2">
      <c r="A37" s="43">
        <f t="shared" si="0"/>
        <v>31</v>
      </c>
      <c r="B37" s="63"/>
      <c r="C37" s="18" t="s">
        <v>8</v>
      </c>
      <c r="D37" s="356">
        <v>0.25346999999999992</v>
      </c>
      <c r="E37" s="356">
        <v>1.72E-2</v>
      </c>
      <c r="F37" s="246">
        <f t="shared" si="16"/>
        <v>0.22356000000000001</v>
      </c>
      <c r="G37" s="357"/>
      <c r="H37" s="259"/>
      <c r="I37" s="20">
        <f t="shared" si="8"/>
        <v>4.7109999999999902E-2</v>
      </c>
      <c r="J37" s="201">
        <f t="shared" si="15"/>
        <v>0.22356000000000001</v>
      </c>
      <c r="K37" s="201"/>
      <c r="L37" s="20"/>
      <c r="M37" s="20">
        <f t="shared" si="10"/>
        <v>0.27066999999999991</v>
      </c>
      <c r="N37" s="246">
        <f>+Temporaries!D37</f>
        <v>-5.1579999999999994E-2</v>
      </c>
      <c r="O37" s="246">
        <f>+Temporaries!AD37</f>
        <v>-5.1579999999999994E-2</v>
      </c>
      <c r="P37" s="20">
        <v>0</v>
      </c>
      <c r="Q37" s="246">
        <f>'Allocation = % of margin'!AB37+'Allocation = % of margin'!AE37+'Allocation = % of margin'!AH37</f>
        <v>-5.7800000000000004E-3</v>
      </c>
      <c r="R37" s="20">
        <f t="shared" si="1"/>
        <v>0.2648899999999999</v>
      </c>
      <c r="S37" s="457">
        <f t="shared" si="11"/>
        <v>9.8689999999999889E-2</v>
      </c>
      <c r="T37" s="450">
        <f>E37*'Washington volumes'!E37</f>
        <v>1412.9541999999999</v>
      </c>
      <c r="U37" s="86"/>
      <c r="V37" s="465"/>
      <c r="W37" s="63"/>
      <c r="X37" s="200" t="s">
        <v>8</v>
      </c>
      <c r="Y37" s="251">
        <f t="shared" si="2"/>
        <v>9.2909999999999882E-2</v>
      </c>
      <c r="Z37" s="252">
        <f t="shared" si="3"/>
        <v>0</v>
      </c>
      <c r="AA37" s="252">
        <f t="shared" si="4"/>
        <v>0.22356000000000001</v>
      </c>
      <c r="AB37" s="252">
        <f t="shared" si="5"/>
        <v>-5.1579999999999994E-2</v>
      </c>
      <c r="AC37" s="253">
        <f t="shared" si="12"/>
        <v>0.2648899999999999</v>
      </c>
      <c r="AD37" s="197">
        <f t="shared" si="13"/>
        <v>0</v>
      </c>
      <c r="AE37" s="79">
        <f t="shared" si="6"/>
        <v>0.31646999999999992</v>
      </c>
      <c r="AG37" s="198">
        <f t="shared" si="7"/>
        <v>9.2909999999999909E-2</v>
      </c>
      <c r="AI37" s="8"/>
      <c r="AK37" s="290"/>
    </row>
    <row r="38" spans="1:37" x14ac:dyDescent="0.2">
      <c r="A38" s="43">
        <f t="shared" si="0"/>
        <v>32</v>
      </c>
      <c r="B38" s="63"/>
      <c r="C38" s="18" t="s">
        <v>9</v>
      </c>
      <c r="D38" s="356">
        <v>0.23686000000000018</v>
      </c>
      <c r="E38" s="356">
        <v>1.372E-2</v>
      </c>
      <c r="F38" s="246">
        <f t="shared" si="16"/>
        <v>0.22356000000000001</v>
      </c>
      <c r="G38" s="357"/>
      <c r="H38" s="259"/>
      <c r="I38" s="20">
        <f t="shared" si="8"/>
        <v>2.7020000000000183E-2</v>
      </c>
      <c r="J38" s="201">
        <f t="shared" si="15"/>
        <v>0.22356000000000001</v>
      </c>
      <c r="K38" s="201"/>
      <c r="L38" s="20"/>
      <c r="M38" s="20">
        <f t="shared" si="10"/>
        <v>0.25058000000000019</v>
      </c>
      <c r="N38" s="246">
        <f>+Temporaries!D38</f>
        <v>-5.1889999999999999E-2</v>
      </c>
      <c r="O38" s="246">
        <f>+Temporaries!AD38</f>
        <v>-5.1889999999999999E-2</v>
      </c>
      <c r="P38" s="20">
        <v>0</v>
      </c>
      <c r="Q38" s="246">
        <f>'Allocation = % of margin'!AB38+'Allocation = % of margin'!AE38+'Allocation = % of margin'!AH38</f>
        <v>-4.62E-3</v>
      </c>
      <c r="R38" s="20">
        <f t="shared" si="1"/>
        <v>0.24596000000000018</v>
      </c>
      <c r="S38" s="457">
        <f t="shared" si="11"/>
        <v>7.8910000000000161E-2</v>
      </c>
      <c r="T38" s="450">
        <f>E38*'Washington volumes'!E38</f>
        <v>0</v>
      </c>
      <c r="U38" s="86"/>
      <c r="V38" s="465"/>
      <c r="W38" s="63"/>
      <c r="X38" s="200" t="s">
        <v>9</v>
      </c>
      <c r="Y38" s="251">
        <f t="shared" si="2"/>
        <v>7.4290000000000161E-2</v>
      </c>
      <c r="Z38" s="252">
        <f t="shared" si="3"/>
        <v>0</v>
      </c>
      <c r="AA38" s="252">
        <f t="shared" si="4"/>
        <v>0.22356000000000001</v>
      </c>
      <c r="AB38" s="252">
        <f t="shared" si="5"/>
        <v>-5.1889999999999999E-2</v>
      </c>
      <c r="AC38" s="253">
        <f t="shared" si="12"/>
        <v>0.24596000000000018</v>
      </c>
      <c r="AD38" s="197">
        <f t="shared" si="13"/>
        <v>0</v>
      </c>
      <c r="AE38" s="79">
        <f t="shared" si="6"/>
        <v>0.29785000000000017</v>
      </c>
      <c r="AG38" s="198">
        <f t="shared" si="7"/>
        <v>7.4290000000000161E-2</v>
      </c>
      <c r="AI38" s="8"/>
      <c r="AK38" s="290"/>
    </row>
    <row r="39" spans="1:37" x14ac:dyDescent="0.2">
      <c r="A39" s="43">
        <f t="shared" si="0"/>
        <v>33</v>
      </c>
      <c r="B39" s="63"/>
      <c r="C39" s="18" t="s">
        <v>10</v>
      </c>
      <c r="D39" s="356">
        <v>0.2147300000000002</v>
      </c>
      <c r="E39" s="356">
        <v>9.1400000000000006E-3</v>
      </c>
      <c r="F39" s="246">
        <f t="shared" si="16"/>
        <v>0.22356000000000001</v>
      </c>
      <c r="G39" s="357"/>
      <c r="H39" s="259"/>
      <c r="I39" s="20">
        <f t="shared" si="8"/>
        <v>3.1000000000019901E-4</v>
      </c>
      <c r="J39" s="201">
        <f t="shared" si="15"/>
        <v>0.22356000000000001</v>
      </c>
      <c r="K39" s="201"/>
      <c r="L39" s="20"/>
      <c r="M39" s="20">
        <f t="shared" si="10"/>
        <v>0.22387000000000021</v>
      </c>
      <c r="N39" s="246">
        <f>+Temporaries!D39</f>
        <v>-5.2299999999999999E-2</v>
      </c>
      <c r="O39" s="246">
        <f>+Temporaries!AD39</f>
        <v>-5.2299999999999999E-2</v>
      </c>
      <c r="P39" s="20">
        <v>0</v>
      </c>
      <c r="Q39" s="246">
        <f>'Allocation = % of margin'!AB39+'Allocation = % of margin'!AE39+'Allocation = % of margin'!AH39</f>
        <v>-3.0800000000000003E-3</v>
      </c>
      <c r="R39" s="20">
        <f t="shared" si="1"/>
        <v>0.22079000000000018</v>
      </c>
      <c r="S39" s="457">
        <f t="shared" si="11"/>
        <v>5.2610000000000171E-2</v>
      </c>
      <c r="T39" s="450">
        <f>E39*'Washington volumes'!E39</f>
        <v>0</v>
      </c>
      <c r="U39" s="86"/>
      <c r="V39" s="465"/>
      <c r="W39" s="63"/>
      <c r="X39" s="200" t="s">
        <v>10</v>
      </c>
      <c r="Y39" s="251">
        <f t="shared" si="2"/>
        <v>4.9530000000000171E-2</v>
      </c>
      <c r="Z39" s="252">
        <f t="shared" si="3"/>
        <v>0</v>
      </c>
      <c r="AA39" s="252">
        <f t="shared" si="4"/>
        <v>0.22356000000000001</v>
      </c>
      <c r="AB39" s="252">
        <f t="shared" si="5"/>
        <v>-5.2299999999999999E-2</v>
      </c>
      <c r="AC39" s="253">
        <f t="shared" si="12"/>
        <v>0.22079000000000015</v>
      </c>
      <c r="AD39" s="197">
        <f t="shared" si="13"/>
        <v>0</v>
      </c>
      <c r="AE39" s="79">
        <f t="shared" si="6"/>
        <v>0.27309000000000017</v>
      </c>
      <c r="AG39" s="198">
        <f t="shared" si="7"/>
        <v>4.9530000000000157E-2</v>
      </c>
      <c r="AI39" s="8"/>
      <c r="AK39" s="290"/>
    </row>
    <row r="40" spans="1:37" x14ac:dyDescent="0.2">
      <c r="A40" s="43">
        <f t="shared" si="0"/>
        <v>34</v>
      </c>
      <c r="B40" s="68"/>
      <c r="C40" s="22" t="s">
        <v>11</v>
      </c>
      <c r="D40" s="354">
        <v>0.18703999999999993</v>
      </c>
      <c r="E40" s="354">
        <v>1.0000000000000001E-5</v>
      </c>
      <c r="F40" s="224">
        <f t="shared" si="16"/>
        <v>0.22356000000000001</v>
      </c>
      <c r="G40" s="355"/>
      <c r="H40" s="258"/>
      <c r="I40" s="14">
        <f t="shared" si="8"/>
        <v>-3.651000000000007E-2</v>
      </c>
      <c r="J40" s="196">
        <f t="shared" si="15"/>
        <v>0.22356000000000001</v>
      </c>
      <c r="K40" s="196"/>
      <c r="L40" s="14"/>
      <c r="M40" s="14">
        <f t="shared" si="10"/>
        <v>0.18704999999999994</v>
      </c>
      <c r="N40" s="224">
        <f>+Temporaries!D40</f>
        <v>-5.2809999999999996E-2</v>
      </c>
      <c r="O40" s="224">
        <f>+Temporaries!AD40</f>
        <v>-5.2809999999999996E-2</v>
      </c>
      <c r="P40" s="14">
        <v>0</v>
      </c>
      <c r="Q40" s="224">
        <f>'Allocation = % of margin'!AB40+'Allocation = % of margin'!AE40+'Allocation = % of margin'!AH40</f>
        <v>-1.15E-3</v>
      </c>
      <c r="R40" s="14">
        <f t="shared" si="1"/>
        <v>0.18589999999999993</v>
      </c>
      <c r="S40" s="457">
        <f t="shared" si="11"/>
        <v>1.6299999999999912E-2</v>
      </c>
      <c r="T40" s="450">
        <f>E40*'Washington volumes'!E40</f>
        <v>0</v>
      </c>
      <c r="U40" s="86"/>
      <c r="V40" s="465"/>
      <c r="W40" s="68"/>
      <c r="X40" s="202" t="s">
        <v>11</v>
      </c>
      <c r="Y40" s="251">
        <f t="shared" si="2"/>
        <v>1.5149999999999914E-2</v>
      </c>
      <c r="Z40" s="252">
        <f t="shared" si="3"/>
        <v>0</v>
      </c>
      <c r="AA40" s="252">
        <f t="shared" si="4"/>
        <v>0.22356000000000001</v>
      </c>
      <c r="AB40" s="252">
        <f t="shared" si="5"/>
        <v>-5.2809999999999996E-2</v>
      </c>
      <c r="AC40" s="253">
        <f t="shared" si="12"/>
        <v>0.18589999999999993</v>
      </c>
      <c r="AD40" s="197">
        <f t="shared" si="13"/>
        <v>0</v>
      </c>
      <c r="AE40" s="79">
        <f t="shared" si="6"/>
        <v>0.23870999999999992</v>
      </c>
      <c r="AG40" s="198">
        <f t="shared" si="7"/>
        <v>1.5149999999999914E-2</v>
      </c>
      <c r="AI40" s="8"/>
      <c r="AK40" s="290"/>
    </row>
    <row r="41" spans="1:37" x14ac:dyDescent="0.2">
      <c r="A41" s="43">
        <f t="shared" si="0"/>
        <v>35</v>
      </c>
      <c r="B41" s="63" t="s">
        <v>129</v>
      </c>
      <c r="C41" s="18" t="s">
        <v>6</v>
      </c>
      <c r="D41" s="356">
        <v>0.11795</v>
      </c>
      <c r="E41" s="356">
        <v>2.581E-2</v>
      </c>
      <c r="F41" s="246">
        <v>0</v>
      </c>
      <c r="G41" s="357"/>
      <c r="H41" s="259"/>
      <c r="I41" s="20">
        <f t="shared" si="8"/>
        <v>0.14376</v>
      </c>
      <c r="J41" s="201">
        <v>0</v>
      </c>
      <c r="K41" s="201"/>
      <c r="L41" s="20"/>
      <c r="M41" s="20">
        <f t="shared" si="10"/>
        <v>0.14376</v>
      </c>
      <c r="N41" s="246">
        <f>+Temporaries!D41</f>
        <v>-2.3000000000000001E-4</v>
      </c>
      <c r="O41" s="246">
        <f>+Temporaries!AD41</f>
        <v>-2.3000000000000001E-4</v>
      </c>
      <c r="P41" s="20">
        <v>0</v>
      </c>
      <c r="Q41" s="246">
        <f>'Allocation = % of margin'!AB41+'Allocation = % of margin'!AE41+'Allocation = % of margin'!AH41</f>
        <v>-6.3499999999999997E-3</v>
      </c>
      <c r="R41" s="20">
        <f t="shared" si="1"/>
        <v>0.13741</v>
      </c>
      <c r="S41" s="457">
        <f t="shared" si="11"/>
        <v>0.14399000000000001</v>
      </c>
      <c r="T41" s="450">
        <f>E41*'Washington volumes'!E41</f>
        <v>33954.990749999997</v>
      </c>
      <c r="U41" s="86"/>
      <c r="V41" s="465"/>
      <c r="W41" s="63" t="s">
        <v>129</v>
      </c>
      <c r="X41" s="200" t="s">
        <v>6</v>
      </c>
      <c r="Y41" s="251">
        <f t="shared" si="2"/>
        <v>0.13764000000000001</v>
      </c>
      <c r="Z41" s="252">
        <f t="shared" si="3"/>
        <v>0</v>
      </c>
      <c r="AA41" s="252">
        <f t="shared" si="4"/>
        <v>0</v>
      </c>
      <c r="AB41" s="252">
        <f t="shared" si="5"/>
        <v>-2.3000000000000001E-4</v>
      </c>
      <c r="AC41" s="253">
        <f t="shared" si="12"/>
        <v>0.13741</v>
      </c>
      <c r="AD41" s="197">
        <f t="shared" si="13"/>
        <v>0</v>
      </c>
      <c r="AE41" s="79">
        <f t="shared" si="6"/>
        <v>0.13764000000000001</v>
      </c>
      <c r="AG41" s="198">
        <f t="shared" si="7"/>
        <v>0.13764000000000001</v>
      </c>
      <c r="AI41" s="8"/>
      <c r="AK41" s="290"/>
    </row>
    <row r="42" spans="1:37" x14ac:dyDescent="0.2">
      <c r="A42" s="43">
        <f t="shared" si="0"/>
        <v>36</v>
      </c>
      <c r="B42" s="63"/>
      <c r="C42" s="18" t="s">
        <v>7</v>
      </c>
      <c r="D42" s="356">
        <v>0.10557999999999999</v>
      </c>
      <c r="E42" s="356">
        <v>2.3029999999999998E-2</v>
      </c>
      <c r="F42" s="246">
        <v>0</v>
      </c>
      <c r="G42" s="357"/>
      <c r="H42" s="259"/>
      <c r="I42" s="20">
        <f t="shared" si="8"/>
        <v>0.12861</v>
      </c>
      <c r="J42" s="201">
        <v>0</v>
      </c>
      <c r="K42" s="201"/>
      <c r="L42" s="20"/>
      <c r="M42" s="20">
        <f t="shared" si="10"/>
        <v>0.12861</v>
      </c>
      <c r="N42" s="246">
        <f>+Temporaries!D42</f>
        <v>-2.1000000000000001E-4</v>
      </c>
      <c r="O42" s="246">
        <f>+Temporaries!AD42</f>
        <v>-2.1000000000000001E-4</v>
      </c>
      <c r="P42" s="20">
        <v>0</v>
      </c>
      <c r="Q42" s="246">
        <f>'Allocation = % of margin'!AB42+'Allocation = % of margin'!AE42+'Allocation = % of margin'!AH42</f>
        <v>-5.6799999999999993E-3</v>
      </c>
      <c r="R42" s="20">
        <f t="shared" si="1"/>
        <v>0.12293</v>
      </c>
      <c r="S42" s="457">
        <f t="shared" si="11"/>
        <v>0.12881999999999999</v>
      </c>
      <c r="T42" s="450">
        <f>E42*'Washington volumes'!E42</f>
        <v>37315.762329999998</v>
      </c>
      <c r="U42" s="86"/>
      <c r="V42" s="465"/>
      <c r="W42" s="63"/>
      <c r="X42" s="200" t="s">
        <v>7</v>
      </c>
      <c r="Y42" s="251">
        <f t="shared" si="2"/>
        <v>0.12314</v>
      </c>
      <c r="Z42" s="252">
        <f t="shared" si="3"/>
        <v>0</v>
      </c>
      <c r="AA42" s="252">
        <f t="shared" si="4"/>
        <v>0</v>
      </c>
      <c r="AB42" s="252">
        <f t="shared" si="5"/>
        <v>-2.1000000000000001E-4</v>
      </c>
      <c r="AC42" s="253">
        <f t="shared" si="12"/>
        <v>0.12293</v>
      </c>
      <c r="AD42" s="197">
        <f t="shared" si="13"/>
        <v>0</v>
      </c>
      <c r="AE42" s="79">
        <f t="shared" si="6"/>
        <v>0.12314</v>
      </c>
      <c r="AG42" s="198">
        <f t="shared" si="7"/>
        <v>0.12314</v>
      </c>
      <c r="AI42" s="8"/>
      <c r="AK42" s="290"/>
    </row>
    <row r="43" spans="1:37" x14ac:dyDescent="0.2">
      <c r="A43" s="43">
        <f t="shared" si="0"/>
        <v>37</v>
      </c>
      <c r="B43" s="63"/>
      <c r="C43" s="18" t="s">
        <v>8</v>
      </c>
      <c r="D43" s="356">
        <v>8.0960000000000004E-2</v>
      </c>
      <c r="E43" s="356">
        <v>1.7569999999999999E-2</v>
      </c>
      <c r="F43" s="246">
        <v>0</v>
      </c>
      <c r="G43" s="357"/>
      <c r="H43" s="259"/>
      <c r="I43" s="20">
        <f t="shared" si="8"/>
        <v>9.8530000000000006E-2</v>
      </c>
      <c r="J43" s="201">
        <v>0</v>
      </c>
      <c r="K43" s="201"/>
      <c r="L43" s="20"/>
      <c r="M43" s="20">
        <f t="shared" si="10"/>
        <v>9.8530000000000006E-2</v>
      </c>
      <c r="N43" s="246">
        <f>+Temporaries!D43</f>
        <v>-1.6000000000000001E-4</v>
      </c>
      <c r="O43" s="246">
        <f>+Temporaries!AD43</f>
        <v>-1.6000000000000001E-4</v>
      </c>
      <c r="P43" s="20">
        <v>0</v>
      </c>
      <c r="Q43" s="246">
        <f>'Allocation = % of margin'!AB43+'Allocation = % of margin'!AE43+'Allocation = % of margin'!AH43</f>
        <v>-4.3599999999999993E-3</v>
      </c>
      <c r="R43" s="20">
        <f t="shared" si="1"/>
        <v>9.4170000000000004E-2</v>
      </c>
      <c r="S43" s="457">
        <f t="shared" si="11"/>
        <v>9.869E-2</v>
      </c>
      <c r="T43" s="450">
        <f>E43*'Washington volumes'!E43</f>
        <v>20159.06249</v>
      </c>
      <c r="U43" s="86"/>
      <c r="V43" s="465"/>
      <c r="W43" s="63"/>
      <c r="X43" s="200" t="s">
        <v>8</v>
      </c>
      <c r="Y43" s="251">
        <f t="shared" si="2"/>
        <v>9.4329999999999997E-2</v>
      </c>
      <c r="Z43" s="252">
        <f t="shared" si="3"/>
        <v>0</v>
      </c>
      <c r="AA43" s="252">
        <f t="shared" si="4"/>
        <v>0</v>
      </c>
      <c r="AB43" s="252">
        <f t="shared" si="5"/>
        <v>-1.6000000000000001E-4</v>
      </c>
      <c r="AC43" s="253">
        <f t="shared" si="12"/>
        <v>9.4170000000000004E-2</v>
      </c>
      <c r="AD43" s="197">
        <f t="shared" si="13"/>
        <v>0</v>
      </c>
      <c r="AE43" s="79">
        <f t="shared" si="6"/>
        <v>9.4329999999999997E-2</v>
      </c>
      <c r="AG43" s="198">
        <f t="shared" si="7"/>
        <v>9.4329999999999997E-2</v>
      </c>
      <c r="AI43" s="8"/>
      <c r="AK43" s="290"/>
    </row>
    <row r="44" spans="1:37" x14ac:dyDescent="0.2">
      <c r="A44" s="43">
        <f t="shared" si="0"/>
        <v>38</v>
      </c>
      <c r="B44" s="63"/>
      <c r="C44" s="18" t="s">
        <v>9</v>
      </c>
      <c r="D44" s="356">
        <v>6.4769999999999994E-2</v>
      </c>
      <c r="E44" s="356">
        <v>1.401E-2</v>
      </c>
      <c r="F44" s="246">
        <v>0</v>
      </c>
      <c r="G44" s="357"/>
      <c r="H44" s="259"/>
      <c r="I44" s="20">
        <f t="shared" si="8"/>
        <v>7.8779999999999989E-2</v>
      </c>
      <c r="J44" s="201">
        <v>0</v>
      </c>
      <c r="K44" s="201"/>
      <c r="L44" s="20"/>
      <c r="M44" s="20">
        <f t="shared" si="10"/>
        <v>7.8779999999999989E-2</v>
      </c>
      <c r="N44" s="246">
        <f>+Temporaries!D44</f>
        <v>-1.2999999999999999E-4</v>
      </c>
      <c r="O44" s="246">
        <f>+Temporaries!AD44</f>
        <v>-1.2999999999999999E-4</v>
      </c>
      <c r="P44" s="20">
        <v>0</v>
      </c>
      <c r="Q44" s="246">
        <f>'Allocation = % of margin'!AB44+'Allocation = % of margin'!AE44+'Allocation = % of margin'!AH44</f>
        <v>-3.49E-3</v>
      </c>
      <c r="R44" s="20">
        <f t="shared" si="1"/>
        <v>7.5289999999999996E-2</v>
      </c>
      <c r="S44" s="457">
        <f t="shared" si="11"/>
        <v>7.8910000000000008E-2</v>
      </c>
      <c r="T44" s="450">
        <f>E44*'Washington volumes'!E44</f>
        <v>23309.838</v>
      </c>
      <c r="U44" s="86"/>
      <c r="V44" s="465"/>
      <c r="W44" s="63"/>
      <c r="X44" s="200" t="s">
        <v>9</v>
      </c>
      <c r="Y44" s="251">
        <f t="shared" si="2"/>
        <v>7.5420000000000001E-2</v>
      </c>
      <c r="Z44" s="252">
        <f t="shared" si="3"/>
        <v>0</v>
      </c>
      <c r="AA44" s="252">
        <f t="shared" si="4"/>
        <v>0</v>
      </c>
      <c r="AB44" s="252">
        <f t="shared" si="5"/>
        <v>-1.2999999999999999E-4</v>
      </c>
      <c r="AC44" s="253">
        <f t="shared" si="12"/>
        <v>7.5289999999999996E-2</v>
      </c>
      <c r="AD44" s="197">
        <f t="shared" si="13"/>
        <v>0</v>
      </c>
      <c r="AE44" s="79">
        <f t="shared" si="6"/>
        <v>7.5420000000000001E-2</v>
      </c>
      <c r="AG44" s="198">
        <f t="shared" si="7"/>
        <v>7.5420000000000001E-2</v>
      </c>
      <c r="AI44" s="8"/>
      <c r="AK44" s="290"/>
    </row>
    <row r="45" spans="1:37" x14ac:dyDescent="0.2">
      <c r="A45" s="43">
        <f t="shared" si="0"/>
        <v>39</v>
      </c>
      <c r="B45" s="63"/>
      <c r="C45" s="18" t="s">
        <v>10</v>
      </c>
      <c r="D45" s="356">
        <v>4.3180000000000003E-2</v>
      </c>
      <c r="E45" s="356">
        <v>9.3399999999999993E-3</v>
      </c>
      <c r="F45" s="246">
        <v>0</v>
      </c>
      <c r="G45" s="357"/>
      <c r="H45" s="259"/>
      <c r="I45" s="20">
        <f t="shared" si="8"/>
        <v>5.2520000000000004E-2</v>
      </c>
      <c r="J45" s="201">
        <v>0</v>
      </c>
      <c r="K45" s="201"/>
      <c r="L45" s="20"/>
      <c r="M45" s="20">
        <f t="shared" si="10"/>
        <v>5.2520000000000004E-2</v>
      </c>
      <c r="N45" s="246">
        <f>+Temporaries!D45</f>
        <v>-9.0000000000000006E-5</v>
      </c>
      <c r="O45" s="246">
        <f>+Temporaries!AD45</f>
        <v>-9.0000000000000006E-5</v>
      </c>
      <c r="P45" s="20">
        <v>0</v>
      </c>
      <c r="Q45" s="246">
        <f>'Allocation = % of margin'!AB45+'Allocation = % of margin'!AE45+'Allocation = % of margin'!AH45</f>
        <v>-2.32E-3</v>
      </c>
      <c r="R45" s="20">
        <f t="shared" ref="R45:R66" si="17">+M45-N45+O45+Q45</f>
        <v>5.0200000000000002E-2</v>
      </c>
      <c r="S45" s="457">
        <f t="shared" si="11"/>
        <v>5.2610000000000004E-2</v>
      </c>
      <c r="T45" s="450">
        <f>E45*'Washington volumes'!E45</f>
        <v>3317.9602799999998</v>
      </c>
      <c r="U45" s="86"/>
      <c r="V45" s="465"/>
      <c r="W45" s="63"/>
      <c r="X45" s="200" t="s">
        <v>10</v>
      </c>
      <c r="Y45" s="251">
        <f t="shared" ref="Y45:Y67" si="18">+R45-J45-K45-L45-O45</f>
        <v>5.0290000000000001E-2</v>
      </c>
      <c r="Z45" s="252">
        <f t="shared" si="3"/>
        <v>0</v>
      </c>
      <c r="AA45" s="252">
        <f t="shared" si="4"/>
        <v>0</v>
      </c>
      <c r="AB45" s="252">
        <f t="shared" ref="AB45:AB67" si="19">+O45</f>
        <v>-9.0000000000000006E-5</v>
      </c>
      <c r="AC45" s="253">
        <f t="shared" si="12"/>
        <v>5.0200000000000002E-2</v>
      </c>
      <c r="AD45" s="197">
        <f t="shared" si="13"/>
        <v>0</v>
      </c>
      <c r="AE45" s="79">
        <f t="shared" ref="AE45:AE67" si="20">+R45-O45</f>
        <v>5.0290000000000001E-2</v>
      </c>
      <c r="AG45" s="198">
        <f t="shared" ref="AG45:AG67" si="21">AE45-J45</f>
        <v>5.0290000000000001E-2</v>
      </c>
      <c r="AI45" s="8"/>
      <c r="AK45" s="290"/>
    </row>
    <row r="46" spans="1:37" x14ac:dyDescent="0.2">
      <c r="A46" s="43">
        <f t="shared" si="0"/>
        <v>40</v>
      </c>
      <c r="B46" s="68"/>
      <c r="C46" s="22" t="s">
        <v>11</v>
      </c>
      <c r="D46" s="354">
        <v>1.619E-2</v>
      </c>
      <c r="E46" s="354">
        <v>8.0000000000000007E-5</v>
      </c>
      <c r="F46" s="224">
        <v>0</v>
      </c>
      <c r="G46" s="355"/>
      <c r="H46" s="258"/>
      <c r="I46" s="14">
        <f t="shared" si="8"/>
        <v>1.627E-2</v>
      </c>
      <c r="J46" s="196">
        <v>0</v>
      </c>
      <c r="K46" s="196"/>
      <c r="L46" s="14"/>
      <c r="M46" s="14">
        <f t="shared" si="10"/>
        <v>1.627E-2</v>
      </c>
      <c r="N46" s="224">
        <f>+Temporaries!D46</f>
        <v>-3.0000000000000001E-5</v>
      </c>
      <c r="O46" s="224">
        <f>+Temporaries!AD46</f>
        <v>-3.0000000000000001E-5</v>
      </c>
      <c r="P46" s="14">
        <v>0</v>
      </c>
      <c r="Q46" s="224">
        <f>'Allocation = % of margin'!AB46+'Allocation = % of margin'!AE46+'Allocation = % of margin'!AH46</f>
        <v>-8.699999999999999E-4</v>
      </c>
      <c r="R46" s="14">
        <f t="shared" si="17"/>
        <v>1.54E-2</v>
      </c>
      <c r="S46" s="457">
        <f t="shared" si="11"/>
        <v>1.6300000000000002E-2</v>
      </c>
      <c r="T46" s="450">
        <f>E46*'Washington volumes'!E46</f>
        <v>0</v>
      </c>
      <c r="U46" s="86"/>
      <c r="V46" s="465"/>
      <c r="W46" s="68"/>
      <c r="X46" s="202" t="s">
        <v>11</v>
      </c>
      <c r="Y46" s="251">
        <f t="shared" si="18"/>
        <v>1.5430000000000001E-2</v>
      </c>
      <c r="Z46" s="252">
        <f t="shared" si="3"/>
        <v>0</v>
      </c>
      <c r="AA46" s="252">
        <f t="shared" si="4"/>
        <v>0</v>
      </c>
      <c r="AB46" s="252">
        <f t="shared" si="19"/>
        <v>-3.0000000000000001E-5</v>
      </c>
      <c r="AC46" s="253">
        <f t="shared" si="12"/>
        <v>1.54E-2</v>
      </c>
      <c r="AD46" s="197">
        <f t="shared" si="13"/>
        <v>0</v>
      </c>
      <c r="AE46" s="79">
        <f t="shared" si="20"/>
        <v>1.5430000000000001E-2</v>
      </c>
      <c r="AG46" s="198">
        <f t="shared" si="21"/>
        <v>1.5430000000000001E-2</v>
      </c>
      <c r="AI46" s="8"/>
      <c r="AK46" s="290"/>
    </row>
    <row r="47" spans="1:37" x14ac:dyDescent="0.2">
      <c r="A47" s="43">
        <f t="shared" si="0"/>
        <v>41</v>
      </c>
      <c r="B47" s="63" t="s">
        <v>246</v>
      </c>
      <c r="C47" s="18" t="s">
        <v>6</v>
      </c>
      <c r="D47" s="356">
        <v>0.31897999999999999</v>
      </c>
      <c r="E47" s="356">
        <v>2.5430000000000001E-2</v>
      </c>
      <c r="F47" s="246">
        <f t="shared" ref="F47:F58" si="22">+$F$13</f>
        <v>0.22356000000000001</v>
      </c>
      <c r="G47" s="357"/>
      <c r="H47" s="259"/>
      <c r="I47" s="20">
        <f t="shared" si="8"/>
        <v>0.12084999999999999</v>
      </c>
      <c r="J47" s="201">
        <f t="shared" ref="J47:J52" si="23">+$J$13</f>
        <v>0.22356000000000001</v>
      </c>
      <c r="K47" s="201"/>
      <c r="L47" s="20"/>
      <c r="M47" s="20">
        <f t="shared" ref="M47:M52" si="24">SUM(I47:L47)</f>
        <v>0.34440999999999999</v>
      </c>
      <c r="N47" s="246">
        <f>+Temporaries!D47</f>
        <v>-2.3139999999999997E-2</v>
      </c>
      <c r="O47" s="246">
        <f>+Temporaries!AD47</f>
        <v>-2.3139999999999997E-2</v>
      </c>
      <c r="P47" s="20">
        <v>0</v>
      </c>
      <c r="Q47" s="246">
        <f>'Allocation = % of margin'!AB47+'Allocation = % of margin'!AE47+'Allocation = % of margin'!AH47</f>
        <v>-6.6099999999999996E-3</v>
      </c>
      <c r="R47" s="20">
        <f t="shared" si="17"/>
        <v>0.33779999999999999</v>
      </c>
      <c r="S47" s="457">
        <f t="shared" si="11"/>
        <v>0.14398999999999998</v>
      </c>
      <c r="T47" s="450">
        <f>E47*'Washington volumes'!E47</f>
        <v>6103.5703443002949</v>
      </c>
      <c r="U47" s="86"/>
      <c r="V47" s="465"/>
      <c r="W47" s="63" t="s">
        <v>246</v>
      </c>
      <c r="X47" s="18" t="s">
        <v>6</v>
      </c>
      <c r="Y47" s="251">
        <f t="shared" si="18"/>
        <v>0.13737999999999997</v>
      </c>
      <c r="Z47" s="252">
        <f t="shared" si="3"/>
        <v>0</v>
      </c>
      <c r="AA47" s="252">
        <f t="shared" si="4"/>
        <v>0.22356000000000001</v>
      </c>
      <c r="AB47" s="252">
        <f t="shared" si="19"/>
        <v>-2.3139999999999997E-2</v>
      </c>
      <c r="AC47" s="253">
        <f t="shared" si="12"/>
        <v>0.33779999999999999</v>
      </c>
      <c r="AD47" s="197">
        <f t="shared" si="13"/>
        <v>0</v>
      </c>
      <c r="AE47" s="79">
        <f t="shared" si="20"/>
        <v>0.36093999999999998</v>
      </c>
      <c r="AG47" s="198">
        <f t="shared" si="21"/>
        <v>0.13737999999999997</v>
      </c>
      <c r="AI47" s="8"/>
      <c r="AK47" s="290"/>
    </row>
    <row r="48" spans="1:37" x14ac:dyDescent="0.2">
      <c r="A48" s="43">
        <f t="shared" si="0"/>
        <v>42</v>
      </c>
      <c r="B48" s="63"/>
      <c r="C48" s="18" t="s">
        <v>7</v>
      </c>
      <c r="D48" s="356">
        <v>0.30522999999999989</v>
      </c>
      <c r="E48" s="356">
        <v>2.2700000000000001E-2</v>
      </c>
      <c r="F48" s="246">
        <f t="shared" si="22"/>
        <v>0.22356000000000001</v>
      </c>
      <c r="G48" s="357"/>
      <c r="H48" s="259"/>
      <c r="I48" s="20">
        <f t="shared" si="8"/>
        <v>0.10436999999999988</v>
      </c>
      <c r="J48" s="201">
        <f t="shared" si="23"/>
        <v>0.22356000000000001</v>
      </c>
      <c r="K48" s="201"/>
      <c r="L48" s="20"/>
      <c r="M48" s="20">
        <f t="shared" si="24"/>
        <v>0.32792999999999989</v>
      </c>
      <c r="N48" s="246">
        <f>+Temporaries!D48</f>
        <v>-2.445E-2</v>
      </c>
      <c r="O48" s="246">
        <f>+Temporaries!AD48</f>
        <v>-2.445E-2</v>
      </c>
      <c r="P48" s="20">
        <v>0</v>
      </c>
      <c r="Q48" s="246">
        <f>'Allocation = % of margin'!AB48+'Allocation = % of margin'!AE48+'Allocation = % of margin'!AH48</f>
        <v>-5.9199999999999999E-3</v>
      </c>
      <c r="R48" s="20">
        <f t="shared" si="17"/>
        <v>0.32200999999999996</v>
      </c>
      <c r="S48" s="457">
        <f t="shared" si="11"/>
        <v>0.12881999999999996</v>
      </c>
      <c r="T48" s="450">
        <f>E48*'Washington volumes'!E48</f>
        <v>10718.674780760492</v>
      </c>
      <c r="U48" s="86"/>
      <c r="V48" s="465"/>
      <c r="W48" s="63"/>
      <c r="X48" s="18" t="s">
        <v>7</v>
      </c>
      <c r="Y48" s="251">
        <f t="shared" si="18"/>
        <v>0.12289999999999995</v>
      </c>
      <c r="Z48" s="252">
        <f t="shared" si="3"/>
        <v>0</v>
      </c>
      <c r="AA48" s="252">
        <f t="shared" si="4"/>
        <v>0.22356000000000001</v>
      </c>
      <c r="AB48" s="252">
        <f t="shared" si="19"/>
        <v>-2.445E-2</v>
      </c>
      <c r="AC48" s="253">
        <f t="shared" si="12"/>
        <v>0.32201000000000002</v>
      </c>
      <c r="AD48" s="197">
        <f t="shared" si="13"/>
        <v>0</v>
      </c>
      <c r="AE48" s="79">
        <f t="shared" si="20"/>
        <v>0.34645999999999999</v>
      </c>
      <c r="AG48" s="198">
        <f t="shared" si="21"/>
        <v>0.12289999999999998</v>
      </c>
      <c r="AI48" s="8"/>
      <c r="AK48" s="290"/>
    </row>
    <row r="49" spans="1:37" x14ac:dyDescent="0.2">
      <c r="A49" s="43">
        <f t="shared" si="0"/>
        <v>43</v>
      </c>
      <c r="B49" s="63"/>
      <c r="C49" s="18" t="s">
        <v>8</v>
      </c>
      <c r="D49" s="356">
        <v>0.27787000000000012</v>
      </c>
      <c r="E49" s="356">
        <v>1.7309999999999999E-2</v>
      </c>
      <c r="F49" s="246">
        <f t="shared" si="22"/>
        <v>0.22356000000000001</v>
      </c>
      <c r="G49" s="357"/>
      <c r="H49" s="259"/>
      <c r="I49" s="20">
        <f t="shared" si="8"/>
        <v>7.16200000000001E-2</v>
      </c>
      <c r="J49" s="201">
        <f t="shared" si="23"/>
        <v>0.22356000000000001</v>
      </c>
      <c r="K49" s="201"/>
      <c r="L49" s="20"/>
      <c r="M49" s="20">
        <f t="shared" si="24"/>
        <v>0.29518000000000011</v>
      </c>
      <c r="N49" s="246">
        <f>+Temporaries!D49</f>
        <v>-2.7069999999999997E-2</v>
      </c>
      <c r="O49" s="246">
        <f>+Temporaries!AD49</f>
        <v>-2.7069999999999997E-2</v>
      </c>
      <c r="P49" s="20">
        <v>0</v>
      </c>
      <c r="Q49" s="246">
        <f>'Allocation = % of margin'!AB49+'Allocation = % of margin'!AE49+'Allocation = % of margin'!AH49</f>
        <v>-4.5300000000000002E-3</v>
      </c>
      <c r="R49" s="20">
        <f t="shared" si="17"/>
        <v>0.29065000000000013</v>
      </c>
      <c r="S49" s="457">
        <f t="shared" si="11"/>
        <v>9.8690000000000125E-2</v>
      </c>
      <c r="T49" s="450">
        <f>E49*'Washington volumes'!E49</f>
        <v>4276.9547999999995</v>
      </c>
      <c r="U49" s="86"/>
      <c r="V49" s="465"/>
      <c r="W49" s="63"/>
      <c r="X49" s="18" t="s">
        <v>8</v>
      </c>
      <c r="Y49" s="251">
        <f t="shared" si="18"/>
        <v>9.4160000000000119E-2</v>
      </c>
      <c r="Z49" s="252">
        <f t="shared" si="3"/>
        <v>0</v>
      </c>
      <c r="AA49" s="252">
        <f t="shared" si="4"/>
        <v>0.22356000000000001</v>
      </c>
      <c r="AB49" s="252">
        <f t="shared" si="19"/>
        <v>-2.7069999999999997E-2</v>
      </c>
      <c r="AC49" s="253">
        <f t="shared" si="12"/>
        <v>0.29065000000000013</v>
      </c>
      <c r="AD49" s="197">
        <f t="shared" si="13"/>
        <v>0</v>
      </c>
      <c r="AE49" s="79">
        <f t="shared" si="20"/>
        <v>0.31772000000000011</v>
      </c>
      <c r="AG49" s="198">
        <f t="shared" si="21"/>
        <v>9.4160000000000105E-2</v>
      </c>
      <c r="AI49" s="8"/>
      <c r="AK49" s="290"/>
    </row>
    <row r="50" spans="1:37" x14ac:dyDescent="0.2">
      <c r="A50" s="43">
        <f t="shared" si="0"/>
        <v>44</v>
      </c>
      <c r="B50" s="63"/>
      <c r="C50" s="18" t="s">
        <v>9</v>
      </c>
      <c r="D50" s="356">
        <v>0.25987999999999994</v>
      </c>
      <c r="E50" s="356">
        <v>1.3809999999999999E-2</v>
      </c>
      <c r="F50" s="246">
        <f t="shared" si="22"/>
        <v>0.22356000000000001</v>
      </c>
      <c r="G50" s="357"/>
      <c r="H50" s="259"/>
      <c r="I50" s="20">
        <f t="shared" si="8"/>
        <v>5.0129999999999925E-2</v>
      </c>
      <c r="J50" s="201">
        <f t="shared" si="23"/>
        <v>0.22356000000000001</v>
      </c>
      <c r="K50" s="201"/>
      <c r="L50" s="20"/>
      <c r="M50" s="20">
        <f t="shared" si="24"/>
        <v>0.27368999999999993</v>
      </c>
      <c r="N50" s="246">
        <f>+Temporaries!D50</f>
        <v>-2.8779999999999997E-2</v>
      </c>
      <c r="O50" s="246">
        <f>+Temporaries!AD50</f>
        <v>-2.8779999999999997E-2</v>
      </c>
      <c r="P50" s="20">
        <v>0</v>
      </c>
      <c r="Q50" s="246">
        <f>'Allocation = % of margin'!AB50+'Allocation = % of margin'!AE50+'Allocation = % of margin'!AH50</f>
        <v>-3.64E-3</v>
      </c>
      <c r="R50" s="20">
        <f t="shared" si="17"/>
        <v>0.27004999999999996</v>
      </c>
      <c r="S50" s="457">
        <f t="shared" si="11"/>
        <v>7.8909999999999952E-2</v>
      </c>
      <c r="T50" s="450">
        <f>E50*'Washington volumes'!E50</f>
        <v>717.33282999999994</v>
      </c>
      <c r="U50" s="86"/>
      <c r="V50" s="465"/>
      <c r="W50" s="63"/>
      <c r="X50" s="18" t="s">
        <v>9</v>
      </c>
      <c r="Y50" s="251">
        <f t="shared" si="18"/>
        <v>7.5269999999999948E-2</v>
      </c>
      <c r="Z50" s="252">
        <f t="shared" si="3"/>
        <v>0</v>
      </c>
      <c r="AA50" s="252">
        <f t="shared" si="4"/>
        <v>0.22356000000000001</v>
      </c>
      <c r="AB50" s="252">
        <f t="shared" si="19"/>
        <v>-2.8779999999999997E-2</v>
      </c>
      <c r="AC50" s="253">
        <f t="shared" si="12"/>
        <v>0.27004999999999996</v>
      </c>
      <c r="AD50" s="197">
        <f t="shared" si="13"/>
        <v>0</v>
      </c>
      <c r="AE50" s="79">
        <f t="shared" si="20"/>
        <v>0.29882999999999993</v>
      </c>
      <c r="AG50" s="198">
        <f t="shared" si="21"/>
        <v>7.526999999999992E-2</v>
      </c>
      <c r="AI50" s="8"/>
      <c r="AK50" s="290"/>
    </row>
    <row r="51" spans="1:37" x14ac:dyDescent="0.2">
      <c r="A51" s="43">
        <f t="shared" si="0"/>
        <v>45</v>
      </c>
      <c r="B51" s="63"/>
      <c r="C51" s="18" t="s">
        <v>10</v>
      </c>
      <c r="D51" s="356">
        <v>0.23588000000000003</v>
      </c>
      <c r="E51" s="356">
        <v>9.2099999999999994E-3</v>
      </c>
      <c r="F51" s="246">
        <f t="shared" si="22"/>
        <v>0.22356000000000001</v>
      </c>
      <c r="G51" s="357"/>
      <c r="H51" s="259"/>
      <c r="I51" s="20">
        <f t="shared" si="8"/>
        <v>2.1530000000000021E-2</v>
      </c>
      <c r="J51" s="201">
        <f t="shared" si="23"/>
        <v>0.22356000000000001</v>
      </c>
      <c r="K51" s="201"/>
      <c r="L51" s="20"/>
      <c r="M51" s="20">
        <f t="shared" si="24"/>
        <v>0.24509000000000003</v>
      </c>
      <c r="N51" s="246">
        <f>+Temporaries!D51</f>
        <v>-3.1079999999999997E-2</v>
      </c>
      <c r="O51" s="246">
        <f>+Temporaries!AD51</f>
        <v>-3.1079999999999997E-2</v>
      </c>
      <c r="P51" s="20">
        <v>0</v>
      </c>
      <c r="Q51" s="246">
        <f>'Allocation = % of margin'!AB51+'Allocation = % of margin'!AE51+'Allocation = % of margin'!AH51</f>
        <v>-2.4199999999999998E-3</v>
      </c>
      <c r="R51" s="20">
        <f t="shared" si="17"/>
        <v>0.24267000000000002</v>
      </c>
      <c r="S51" s="457">
        <f t="shared" si="11"/>
        <v>5.2610000000000011E-2</v>
      </c>
      <c r="T51" s="450">
        <f>E51*'Washington volumes'!E51</f>
        <v>0</v>
      </c>
      <c r="U51" s="86"/>
      <c r="V51" s="465"/>
      <c r="W51" s="63"/>
      <c r="X51" s="18" t="s">
        <v>10</v>
      </c>
      <c r="Y51" s="251">
        <f t="shared" si="18"/>
        <v>5.0190000000000012E-2</v>
      </c>
      <c r="Z51" s="252">
        <f t="shared" si="3"/>
        <v>0</v>
      </c>
      <c r="AA51" s="252">
        <f t="shared" si="4"/>
        <v>0.22356000000000001</v>
      </c>
      <c r="AB51" s="252">
        <f t="shared" si="19"/>
        <v>-3.1079999999999997E-2</v>
      </c>
      <c r="AC51" s="253">
        <f t="shared" si="12"/>
        <v>0.24267000000000005</v>
      </c>
      <c r="AD51" s="197">
        <f t="shared" si="13"/>
        <v>0</v>
      </c>
      <c r="AE51" s="79">
        <f t="shared" si="20"/>
        <v>0.27375000000000005</v>
      </c>
      <c r="AG51" s="198">
        <f t="shared" si="21"/>
        <v>5.019000000000004E-2</v>
      </c>
      <c r="AI51" s="8"/>
      <c r="AK51" s="290"/>
    </row>
    <row r="52" spans="1:37" x14ac:dyDescent="0.2">
      <c r="A52" s="43">
        <f t="shared" si="0"/>
        <v>46</v>
      </c>
      <c r="B52" s="68"/>
      <c r="C52" s="22" t="s">
        <v>11</v>
      </c>
      <c r="D52" s="354">
        <v>0.20589999999999992</v>
      </c>
      <c r="E52" s="354">
        <v>2.0000000000000002E-5</v>
      </c>
      <c r="F52" s="224">
        <f t="shared" si="22"/>
        <v>0.22356000000000001</v>
      </c>
      <c r="G52" s="355"/>
      <c r="H52" s="258"/>
      <c r="I52" s="14">
        <f t="shared" si="8"/>
        <v>-1.76400000000001E-2</v>
      </c>
      <c r="J52" s="196">
        <f t="shared" si="23"/>
        <v>0.22356000000000001</v>
      </c>
      <c r="K52" s="196"/>
      <c r="L52" s="14"/>
      <c r="M52" s="14">
        <f t="shared" si="24"/>
        <v>0.20591999999999991</v>
      </c>
      <c r="N52" s="224">
        <f>+Temporaries!D52</f>
        <v>-3.3939999999999998E-2</v>
      </c>
      <c r="O52" s="224">
        <f>+Temporaries!AD52</f>
        <v>-3.3939999999999998E-2</v>
      </c>
      <c r="P52" s="14">
        <v>0</v>
      </c>
      <c r="Q52" s="224">
        <f>'Allocation = % of margin'!AB52+'Allocation = % of margin'!AE52+'Allocation = % of margin'!AH52</f>
        <v>-9.1E-4</v>
      </c>
      <c r="R52" s="14">
        <f t="shared" si="17"/>
        <v>0.20500999999999991</v>
      </c>
      <c r="S52" s="457">
        <f t="shared" si="11"/>
        <v>1.6299999999999905E-2</v>
      </c>
      <c r="T52" s="450">
        <f>E52*'Washington volumes'!E52</f>
        <v>0</v>
      </c>
      <c r="U52" s="86"/>
      <c r="V52" s="465"/>
      <c r="W52" s="68"/>
      <c r="X52" s="22" t="s">
        <v>11</v>
      </c>
      <c r="Y52" s="251">
        <f t="shared" si="18"/>
        <v>1.5389999999999904E-2</v>
      </c>
      <c r="Z52" s="252">
        <f t="shared" si="3"/>
        <v>0</v>
      </c>
      <c r="AA52" s="252">
        <f t="shared" si="4"/>
        <v>0.22356000000000001</v>
      </c>
      <c r="AB52" s="252">
        <f t="shared" si="19"/>
        <v>-3.3939999999999998E-2</v>
      </c>
      <c r="AC52" s="253">
        <f t="shared" si="12"/>
        <v>0.20500999999999991</v>
      </c>
      <c r="AD52" s="197">
        <f t="shared" si="13"/>
        <v>0</v>
      </c>
      <c r="AE52" s="79">
        <f t="shared" si="20"/>
        <v>0.23894999999999991</v>
      </c>
      <c r="AG52" s="198">
        <f t="shared" si="21"/>
        <v>1.5389999999999904E-2</v>
      </c>
      <c r="AI52" s="8"/>
      <c r="AK52" s="290"/>
    </row>
    <row r="53" spans="1:37" x14ac:dyDescent="0.2">
      <c r="A53" s="43">
        <f t="shared" si="0"/>
        <v>47</v>
      </c>
      <c r="B53" s="63" t="s">
        <v>247</v>
      </c>
      <c r="C53" s="18" t="s">
        <v>6</v>
      </c>
      <c r="D53" s="356">
        <v>0.30886999999999998</v>
      </c>
      <c r="E53" s="356">
        <v>2.529E-2</v>
      </c>
      <c r="F53" s="246">
        <f t="shared" si="22"/>
        <v>0.22356000000000001</v>
      </c>
      <c r="G53" s="357"/>
      <c r="H53" s="259"/>
      <c r="I53" s="20">
        <f t="shared" si="8"/>
        <v>0.11059999999999995</v>
      </c>
      <c r="J53" s="201">
        <f t="shared" ref="J53:J58" si="25">+$J$13</f>
        <v>0.22356000000000001</v>
      </c>
      <c r="K53" s="201"/>
      <c r="L53" s="20"/>
      <c r="M53" s="20">
        <f t="shared" si="10"/>
        <v>0.33415999999999996</v>
      </c>
      <c r="N53" s="246">
        <f>+Temporaries!D53</f>
        <v>-3.3389999999999996E-2</v>
      </c>
      <c r="O53" s="246">
        <f>+Temporaries!AD53</f>
        <v>-3.3389999999999996E-2</v>
      </c>
      <c r="P53" s="20">
        <v>0</v>
      </c>
      <c r="Q53" s="246">
        <f>'Allocation = % of margin'!AB53+'Allocation = % of margin'!AE53+'Allocation = % of margin'!AH53</f>
        <v>-8.6E-3</v>
      </c>
      <c r="R53" s="20">
        <f t="shared" si="17"/>
        <v>0.32555999999999996</v>
      </c>
      <c r="S53" s="457">
        <f t="shared" si="11"/>
        <v>0.14398999999999995</v>
      </c>
      <c r="T53" s="450">
        <f>E53*'Washington volumes'!E53</f>
        <v>4350.0174945593999</v>
      </c>
      <c r="U53" s="86"/>
      <c r="V53" s="465"/>
      <c r="W53" s="63" t="s">
        <v>247</v>
      </c>
      <c r="X53" s="200" t="s">
        <v>6</v>
      </c>
      <c r="Y53" s="251">
        <f t="shared" si="18"/>
        <v>0.13538999999999995</v>
      </c>
      <c r="Z53" s="252">
        <f t="shared" si="3"/>
        <v>0</v>
      </c>
      <c r="AA53" s="252">
        <f t="shared" si="4"/>
        <v>0.22356000000000001</v>
      </c>
      <c r="AB53" s="252">
        <f t="shared" si="19"/>
        <v>-3.3389999999999996E-2</v>
      </c>
      <c r="AC53" s="253">
        <f t="shared" si="12"/>
        <v>0.32556000000000002</v>
      </c>
      <c r="AD53" s="197">
        <f t="shared" si="13"/>
        <v>0</v>
      </c>
      <c r="AE53" s="79">
        <f t="shared" si="20"/>
        <v>0.35894999999999994</v>
      </c>
      <c r="AG53" s="198">
        <f t="shared" si="21"/>
        <v>0.13538999999999993</v>
      </c>
      <c r="AI53" s="8"/>
      <c r="AK53" s="290"/>
    </row>
    <row r="54" spans="1:37" x14ac:dyDescent="0.2">
      <c r="A54" s="43">
        <f t="shared" si="0"/>
        <v>48</v>
      </c>
      <c r="B54" s="63"/>
      <c r="C54" s="18" t="s">
        <v>7</v>
      </c>
      <c r="D54" s="356">
        <v>0.29617999999999989</v>
      </c>
      <c r="E54" s="356">
        <v>2.257E-2</v>
      </c>
      <c r="F54" s="246">
        <f t="shared" si="22"/>
        <v>0.22356000000000001</v>
      </c>
      <c r="G54" s="357"/>
      <c r="H54" s="259"/>
      <c r="I54" s="20">
        <f t="shared" si="8"/>
        <v>9.5189999999999858E-2</v>
      </c>
      <c r="J54" s="201">
        <f t="shared" si="25"/>
        <v>0.22356000000000001</v>
      </c>
      <c r="K54" s="201"/>
      <c r="L54" s="20"/>
      <c r="M54" s="20">
        <f t="shared" si="10"/>
        <v>0.31874999999999987</v>
      </c>
      <c r="N54" s="246">
        <f>+Temporaries!D54</f>
        <v>-3.363E-2</v>
      </c>
      <c r="O54" s="246">
        <f>+Temporaries!AD54</f>
        <v>-3.363E-2</v>
      </c>
      <c r="P54" s="20">
        <v>0</v>
      </c>
      <c r="Q54" s="246">
        <f>'Allocation = % of margin'!AB54+'Allocation = % of margin'!AE54+'Allocation = % of margin'!AH54</f>
        <v>-7.6900000000000007E-3</v>
      </c>
      <c r="R54" s="20">
        <f t="shared" si="17"/>
        <v>0.31105999999999989</v>
      </c>
      <c r="S54" s="457">
        <f t="shared" si="11"/>
        <v>0.12881999999999988</v>
      </c>
      <c r="T54" s="450">
        <f>E54*'Washington volumes'!E54</f>
        <v>3068.7680503628076</v>
      </c>
      <c r="U54" s="86"/>
      <c r="V54" s="465"/>
      <c r="W54" s="63"/>
      <c r="X54" s="200" t="s">
        <v>7</v>
      </c>
      <c r="Y54" s="251">
        <f t="shared" si="18"/>
        <v>0.12112999999999988</v>
      </c>
      <c r="Z54" s="252">
        <f t="shared" si="3"/>
        <v>0</v>
      </c>
      <c r="AA54" s="252">
        <f t="shared" si="4"/>
        <v>0.22356000000000001</v>
      </c>
      <c r="AB54" s="252">
        <f t="shared" si="19"/>
        <v>-3.363E-2</v>
      </c>
      <c r="AC54" s="253">
        <f t="shared" si="12"/>
        <v>0.31105999999999989</v>
      </c>
      <c r="AD54" s="197">
        <f t="shared" si="13"/>
        <v>0</v>
      </c>
      <c r="AE54" s="79">
        <f t="shared" si="20"/>
        <v>0.34468999999999989</v>
      </c>
      <c r="AG54" s="198">
        <f t="shared" si="21"/>
        <v>0.12112999999999988</v>
      </c>
      <c r="AI54" s="8"/>
      <c r="AK54" s="290"/>
    </row>
    <row r="55" spans="1:37" x14ac:dyDescent="0.2">
      <c r="A55" s="43">
        <f t="shared" si="0"/>
        <v>49</v>
      </c>
      <c r="B55" s="63"/>
      <c r="C55" s="18" t="s">
        <v>8</v>
      </c>
      <c r="D55" s="356">
        <v>0.27094000000000007</v>
      </c>
      <c r="E55" s="356">
        <v>1.721E-2</v>
      </c>
      <c r="F55" s="246">
        <f t="shared" si="22"/>
        <v>0.22356000000000001</v>
      </c>
      <c r="G55" s="357"/>
      <c r="H55" s="259"/>
      <c r="I55" s="20">
        <f t="shared" si="8"/>
        <v>6.4590000000000064E-2</v>
      </c>
      <c r="J55" s="201">
        <f t="shared" si="25"/>
        <v>0.22356000000000001</v>
      </c>
      <c r="K55" s="201"/>
      <c r="L55" s="20"/>
      <c r="M55" s="20">
        <f t="shared" si="10"/>
        <v>0.28815000000000007</v>
      </c>
      <c r="N55" s="246">
        <f>+Temporaries!D55</f>
        <v>-3.4099999999999998E-2</v>
      </c>
      <c r="O55" s="246">
        <f>+Temporaries!AD55</f>
        <v>-3.4099999999999998E-2</v>
      </c>
      <c r="P55" s="20">
        <v>0</v>
      </c>
      <c r="Q55" s="246">
        <f>'Allocation = % of margin'!AB55+'Allocation = % of margin'!AE55+'Allocation = % of margin'!AH55</f>
        <v>-5.8999999999999999E-3</v>
      </c>
      <c r="R55" s="20">
        <f t="shared" si="17"/>
        <v>0.28225000000000006</v>
      </c>
      <c r="S55" s="457">
        <f t="shared" si="11"/>
        <v>9.8690000000000042E-2</v>
      </c>
      <c r="T55" s="450">
        <f>E55*'Washington volumes'!E55</f>
        <v>0</v>
      </c>
      <c r="U55" s="86"/>
      <c r="V55" s="465"/>
      <c r="W55" s="63"/>
      <c r="X55" s="200" t="s">
        <v>8</v>
      </c>
      <c r="Y55" s="251">
        <f t="shared" si="18"/>
        <v>9.2790000000000039E-2</v>
      </c>
      <c r="Z55" s="252">
        <f t="shared" si="3"/>
        <v>0</v>
      </c>
      <c r="AA55" s="252">
        <f t="shared" si="4"/>
        <v>0.22356000000000001</v>
      </c>
      <c r="AB55" s="252">
        <f t="shared" si="19"/>
        <v>-3.4099999999999998E-2</v>
      </c>
      <c r="AC55" s="253">
        <f t="shared" si="12"/>
        <v>0.28225</v>
      </c>
      <c r="AD55" s="197">
        <f t="shared" si="13"/>
        <v>0</v>
      </c>
      <c r="AE55" s="79">
        <f t="shared" si="20"/>
        <v>0.31635000000000008</v>
      </c>
      <c r="AG55" s="198">
        <f t="shared" si="21"/>
        <v>9.2790000000000067E-2</v>
      </c>
      <c r="AI55" s="8"/>
      <c r="AK55" s="290"/>
    </row>
    <row r="56" spans="1:37" x14ac:dyDescent="0.2">
      <c r="A56" s="43">
        <f t="shared" si="0"/>
        <v>50</v>
      </c>
      <c r="B56" s="63"/>
      <c r="C56" s="18" t="s">
        <v>9</v>
      </c>
      <c r="D56" s="356">
        <v>0.25432999999999983</v>
      </c>
      <c r="E56" s="356">
        <v>1.3729999999999999E-2</v>
      </c>
      <c r="F56" s="246">
        <f t="shared" si="22"/>
        <v>0.22356000000000001</v>
      </c>
      <c r="G56" s="357"/>
      <c r="H56" s="259"/>
      <c r="I56" s="20">
        <f t="shared" si="8"/>
        <v>4.4499999999999845E-2</v>
      </c>
      <c r="J56" s="201">
        <f t="shared" si="25"/>
        <v>0.22356000000000001</v>
      </c>
      <c r="K56" s="201"/>
      <c r="L56" s="20"/>
      <c r="M56" s="20">
        <f t="shared" si="10"/>
        <v>0.26805999999999985</v>
      </c>
      <c r="N56" s="246">
        <f>+Temporaries!D56</f>
        <v>-3.4409999999999996E-2</v>
      </c>
      <c r="O56" s="246">
        <f>+Temporaries!AD56</f>
        <v>-3.4409999999999996E-2</v>
      </c>
      <c r="P56" s="20">
        <v>0</v>
      </c>
      <c r="Q56" s="246">
        <f>'Allocation = % of margin'!AB56+'Allocation = % of margin'!AE56+'Allocation = % of margin'!AH56</f>
        <v>-4.7200000000000002E-3</v>
      </c>
      <c r="R56" s="20">
        <f t="shared" si="17"/>
        <v>0.26333999999999985</v>
      </c>
      <c r="S56" s="457">
        <f t="shared" si="11"/>
        <v>7.8909999999999841E-2</v>
      </c>
      <c r="T56" s="450">
        <f>E56*'Washington volumes'!E56</f>
        <v>0</v>
      </c>
      <c r="U56" s="86"/>
      <c r="V56" s="465"/>
      <c r="W56" s="63"/>
      <c r="X56" s="200" t="s">
        <v>9</v>
      </c>
      <c r="Y56" s="251">
        <f t="shared" si="18"/>
        <v>7.4189999999999839E-2</v>
      </c>
      <c r="Z56" s="252">
        <f t="shared" si="3"/>
        <v>0</v>
      </c>
      <c r="AA56" s="252">
        <f t="shared" si="4"/>
        <v>0.22356000000000001</v>
      </c>
      <c r="AB56" s="252">
        <f t="shared" si="19"/>
        <v>-3.4409999999999996E-2</v>
      </c>
      <c r="AC56" s="253">
        <f t="shared" si="12"/>
        <v>0.26333999999999985</v>
      </c>
      <c r="AD56" s="197">
        <f t="shared" si="13"/>
        <v>0</v>
      </c>
      <c r="AE56" s="79">
        <f t="shared" si="20"/>
        <v>0.29774999999999985</v>
      </c>
      <c r="AG56" s="198">
        <f t="shared" si="21"/>
        <v>7.4189999999999839E-2</v>
      </c>
      <c r="AI56" s="8"/>
      <c r="AK56" s="290"/>
    </row>
    <row r="57" spans="1:37" x14ac:dyDescent="0.2">
      <c r="A57" s="43">
        <f t="shared" si="0"/>
        <v>51</v>
      </c>
      <c r="B57" s="63"/>
      <c r="C57" s="18" t="s">
        <v>10</v>
      </c>
      <c r="D57" s="356">
        <v>0.23218000000000003</v>
      </c>
      <c r="E57" s="356">
        <v>9.1599999999999997E-3</v>
      </c>
      <c r="F57" s="246">
        <f t="shared" si="22"/>
        <v>0.22356000000000001</v>
      </c>
      <c r="G57" s="357"/>
      <c r="H57" s="259"/>
      <c r="I57" s="20">
        <f t="shared" si="8"/>
        <v>1.7780000000000018E-2</v>
      </c>
      <c r="J57" s="201">
        <f t="shared" si="25"/>
        <v>0.22356000000000001</v>
      </c>
      <c r="K57" s="201"/>
      <c r="L57" s="20"/>
      <c r="M57" s="20">
        <f t="shared" si="10"/>
        <v>0.24134000000000003</v>
      </c>
      <c r="N57" s="246">
        <f>+Temporaries!D57</f>
        <v>-3.483E-2</v>
      </c>
      <c r="O57" s="246">
        <f>+Temporaries!AD57</f>
        <v>-3.483E-2</v>
      </c>
      <c r="P57" s="20">
        <v>0</v>
      </c>
      <c r="Q57" s="246">
        <f>'Allocation = % of margin'!AB57+'Allocation = % of margin'!AE57+'Allocation = % of margin'!AH57</f>
        <v>-3.15E-3</v>
      </c>
      <c r="R57" s="20">
        <f t="shared" si="17"/>
        <v>0.23819000000000001</v>
      </c>
      <c r="S57" s="457">
        <f t="shared" si="11"/>
        <v>5.2610000000000004E-2</v>
      </c>
      <c r="T57" s="450">
        <f>E57*'Washington volumes'!E57</f>
        <v>0</v>
      </c>
      <c r="U57" s="86"/>
      <c r="V57" s="465"/>
      <c r="W57" s="63"/>
      <c r="X57" s="200" t="s">
        <v>10</v>
      </c>
      <c r="Y57" s="251">
        <f t="shared" si="18"/>
        <v>4.9460000000000004E-2</v>
      </c>
      <c r="Z57" s="252">
        <f t="shared" si="3"/>
        <v>0</v>
      </c>
      <c r="AA57" s="252">
        <f t="shared" si="4"/>
        <v>0.22356000000000001</v>
      </c>
      <c r="AB57" s="252">
        <f t="shared" si="19"/>
        <v>-3.483E-2</v>
      </c>
      <c r="AC57" s="253">
        <f t="shared" si="12"/>
        <v>0.23819000000000004</v>
      </c>
      <c r="AD57" s="197">
        <f t="shared" si="13"/>
        <v>0</v>
      </c>
      <c r="AE57" s="79">
        <f t="shared" si="20"/>
        <v>0.27302000000000004</v>
      </c>
      <c r="AG57" s="198">
        <f t="shared" si="21"/>
        <v>4.9460000000000032E-2</v>
      </c>
      <c r="AI57" s="8"/>
      <c r="AK57" s="290"/>
    </row>
    <row r="58" spans="1:37" x14ac:dyDescent="0.2">
      <c r="A58" s="43">
        <f>+A57+1</f>
        <v>52</v>
      </c>
      <c r="B58" s="68"/>
      <c r="C58" s="22" t="s">
        <v>11</v>
      </c>
      <c r="D58" s="354">
        <v>0.20451999999999992</v>
      </c>
      <c r="E58" s="354">
        <v>0</v>
      </c>
      <c r="F58" s="224">
        <f t="shared" si="22"/>
        <v>0.22356000000000001</v>
      </c>
      <c r="G58" s="355"/>
      <c r="H58" s="258"/>
      <c r="I58" s="14">
        <f t="shared" si="8"/>
        <v>-1.9040000000000085E-2</v>
      </c>
      <c r="J58" s="196">
        <f t="shared" si="25"/>
        <v>0.22356000000000001</v>
      </c>
      <c r="K58" s="196"/>
      <c r="L58" s="14"/>
      <c r="M58" s="14">
        <f t="shared" si="10"/>
        <v>0.20451999999999992</v>
      </c>
      <c r="N58" s="224">
        <f>+Temporaries!D58</f>
        <v>-3.5339999999999996E-2</v>
      </c>
      <c r="O58" s="224">
        <f>+Temporaries!AD58</f>
        <v>-3.5339999999999996E-2</v>
      </c>
      <c r="P58" s="14">
        <v>0</v>
      </c>
      <c r="Q58" s="224">
        <f>'Allocation = % of margin'!AB58+'Allocation = % of margin'!AE58+'Allocation = % of margin'!AH58</f>
        <v>-1.1800000000000001E-3</v>
      </c>
      <c r="R58" s="14">
        <f t="shared" si="17"/>
        <v>0.20333999999999994</v>
      </c>
      <c r="S58" s="457">
        <f t="shared" si="11"/>
        <v>1.6299999999999926E-2</v>
      </c>
      <c r="T58" s="450">
        <f>E58*'Washington volumes'!E58</f>
        <v>0</v>
      </c>
      <c r="U58" s="86"/>
      <c r="V58" s="465"/>
      <c r="W58" s="68"/>
      <c r="X58" s="202" t="s">
        <v>11</v>
      </c>
      <c r="Y58" s="251">
        <f t="shared" si="18"/>
        <v>1.5119999999999925E-2</v>
      </c>
      <c r="Z58" s="252">
        <f t="shared" si="3"/>
        <v>0</v>
      </c>
      <c r="AA58" s="252">
        <f t="shared" si="4"/>
        <v>0.22356000000000001</v>
      </c>
      <c r="AB58" s="252">
        <f t="shared" si="19"/>
        <v>-3.5339999999999996E-2</v>
      </c>
      <c r="AC58" s="253">
        <f t="shared" si="12"/>
        <v>0.20333999999999997</v>
      </c>
      <c r="AD58" s="197">
        <f t="shared" si="13"/>
        <v>0</v>
      </c>
      <c r="AE58" s="79">
        <f t="shared" si="20"/>
        <v>0.23867999999999995</v>
      </c>
      <c r="AG58" s="198">
        <f t="shared" si="21"/>
        <v>1.5119999999999939E-2</v>
      </c>
      <c r="AI58" s="8"/>
      <c r="AK58" s="290"/>
    </row>
    <row r="59" spans="1:37" x14ac:dyDescent="0.2">
      <c r="A59" s="43">
        <f t="shared" ref="A59:A64" si="26">+A58+1</f>
        <v>53</v>
      </c>
      <c r="B59" s="63" t="s">
        <v>130</v>
      </c>
      <c r="C59" s="18" t="s">
        <v>6</v>
      </c>
      <c r="D59" s="358">
        <v>0.11796999999999999</v>
      </c>
      <c r="E59" s="358">
        <v>2.581E-2</v>
      </c>
      <c r="F59" s="71">
        <v>0</v>
      </c>
      <c r="G59" s="261"/>
      <c r="H59" s="260"/>
      <c r="I59" s="69">
        <f t="shared" si="8"/>
        <v>0.14377999999999999</v>
      </c>
      <c r="J59" s="203">
        <v>0</v>
      </c>
      <c r="K59" s="203"/>
      <c r="L59" s="69"/>
      <c r="M59" s="69">
        <f t="shared" si="10"/>
        <v>0.14377999999999999</v>
      </c>
      <c r="N59" s="71">
        <f>+Temporaries!D59</f>
        <v>-2.1000000000000001E-4</v>
      </c>
      <c r="O59" s="71">
        <f>+Temporaries!AD59</f>
        <v>-2.1000000000000001E-4</v>
      </c>
      <c r="P59" s="69">
        <v>0</v>
      </c>
      <c r="Q59" s="71">
        <f>'Allocation = % of margin'!AB59+'Allocation = % of margin'!AE59+'Allocation = % of margin'!AH59</f>
        <v>-5.6699999999999997E-3</v>
      </c>
      <c r="R59" s="69">
        <f t="shared" si="17"/>
        <v>0.13810999999999998</v>
      </c>
      <c r="S59" s="457">
        <f t="shared" si="11"/>
        <v>0.14398999999999998</v>
      </c>
      <c r="T59" s="450">
        <f>E59*'Washington volumes'!E59</f>
        <v>23857.679980000001</v>
      </c>
      <c r="U59" s="86"/>
      <c r="V59" s="465"/>
      <c r="W59" s="63" t="s">
        <v>130</v>
      </c>
      <c r="X59" s="200" t="s">
        <v>6</v>
      </c>
      <c r="Y59" s="251">
        <f t="shared" si="18"/>
        <v>0.13831999999999997</v>
      </c>
      <c r="Z59" s="252">
        <f t="shared" si="3"/>
        <v>0</v>
      </c>
      <c r="AA59" s="252">
        <f t="shared" si="4"/>
        <v>0</v>
      </c>
      <c r="AB59" s="252">
        <f t="shared" si="19"/>
        <v>-2.1000000000000001E-4</v>
      </c>
      <c r="AC59" s="253">
        <f t="shared" si="12"/>
        <v>0.13810999999999998</v>
      </c>
      <c r="AD59" s="197">
        <f t="shared" si="13"/>
        <v>0</v>
      </c>
      <c r="AE59" s="79">
        <f t="shared" si="20"/>
        <v>0.13831999999999997</v>
      </c>
      <c r="AG59" s="198">
        <f t="shared" si="21"/>
        <v>0.13831999999999997</v>
      </c>
      <c r="AI59" s="8"/>
      <c r="AK59" s="290"/>
    </row>
    <row r="60" spans="1:37" s="87" customFormat="1" x14ac:dyDescent="0.2">
      <c r="A60" s="43">
        <f t="shared" si="26"/>
        <v>54</v>
      </c>
      <c r="B60" s="63"/>
      <c r="C60" s="18" t="s">
        <v>7</v>
      </c>
      <c r="D60" s="358">
        <v>0.1056</v>
      </c>
      <c r="E60" s="358">
        <v>2.3029999999999998E-2</v>
      </c>
      <c r="F60" s="71">
        <v>0</v>
      </c>
      <c r="G60" s="261"/>
      <c r="H60" s="261"/>
      <c r="I60" s="71">
        <f t="shared" si="8"/>
        <v>0.12862999999999999</v>
      </c>
      <c r="J60" s="204">
        <v>0</v>
      </c>
      <c r="K60" s="204"/>
      <c r="L60" s="71"/>
      <c r="M60" s="71">
        <f t="shared" si="10"/>
        <v>0.12862999999999999</v>
      </c>
      <c r="N60" s="71">
        <f>+Temporaries!D60</f>
        <v>-1.9000000000000001E-4</v>
      </c>
      <c r="O60" s="71">
        <f>+Temporaries!AD60</f>
        <v>-1.9000000000000001E-4</v>
      </c>
      <c r="P60" s="71">
        <v>0</v>
      </c>
      <c r="Q60" s="71">
        <f>'Allocation = % of margin'!AB60+'Allocation = % of margin'!AE60+'Allocation = % of margin'!AH60</f>
        <v>-5.0799999999999994E-3</v>
      </c>
      <c r="R60" s="71">
        <f t="shared" si="17"/>
        <v>0.12354999999999999</v>
      </c>
      <c r="S60" s="457">
        <f t="shared" si="11"/>
        <v>0.12881999999999999</v>
      </c>
      <c r="T60" s="450">
        <f>E60*'Washington volumes'!E60</f>
        <v>38257.021459999996</v>
      </c>
      <c r="U60" s="455"/>
      <c r="V60" s="465"/>
      <c r="W60" s="63"/>
      <c r="X60" s="200" t="s">
        <v>7</v>
      </c>
      <c r="Y60" s="251">
        <f t="shared" si="18"/>
        <v>0.12373999999999999</v>
      </c>
      <c r="Z60" s="252">
        <f t="shared" si="3"/>
        <v>0</v>
      </c>
      <c r="AA60" s="252">
        <f t="shared" si="4"/>
        <v>0</v>
      </c>
      <c r="AB60" s="252">
        <f t="shared" si="19"/>
        <v>-1.9000000000000001E-4</v>
      </c>
      <c r="AC60" s="253">
        <f t="shared" si="12"/>
        <v>0.12354999999999999</v>
      </c>
      <c r="AD60" s="197">
        <f t="shared" si="13"/>
        <v>0</v>
      </c>
      <c r="AE60" s="79">
        <f t="shared" si="20"/>
        <v>0.12373999999999999</v>
      </c>
      <c r="AF60" s="3"/>
      <c r="AG60" s="198">
        <f t="shared" si="21"/>
        <v>0.12373999999999999</v>
      </c>
      <c r="AI60" s="8"/>
      <c r="AK60" s="290"/>
    </row>
    <row r="61" spans="1:37" s="87" customFormat="1" x14ac:dyDescent="0.2">
      <c r="A61" s="43">
        <f t="shared" si="26"/>
        <v>55</v>
      </c>
      <c r="B61" s="63"/>
      <c r="C61" s="18" t="s">
        <v>8</v>
      </c>
      <c r="D61" s="358">
        <v>8.0979999999999996E-2</v>
      </c>
      <c r="E61" s="358">
        <v>1.7569999999999999E-2</v>
      </c>
      <c r="F61" s="71">
        <v>0</v>
      </c>
      <c r="G61" s="261"/>
      <c r="H61" s="261"/>
      <c r="I61" s="71">
        <f t="shared" si="8"/>
        <v>9.8549999999999999E-2</v>
      </c>
      <c r="J61" s="204">
        <v>0</v>
      </c>
      <c r="K61" s="204"/>
      <c r="L61" s="71"/>
      <c r="M61" s="71">
        <f t="shared" si="10"/>
        <v>9.8549999999999999E-2</v>
      </c>
      <c r="N61" s="71">
        <f>+Temporaries!D61</f>
        <v>-1.3999999999999999E-4</v>
      </c>
      <c r="O61" s="71">
        <f>+Temporaries!AD61</f>
        <v>-1.3999999999999999E-4</v>
      </c>
      <c r="P61" s="71">
        <v>0</v>
      </c>
      <c r="Q61" s="71">
        <f>'Allocation = % of margin'!AB61+'Allocation = % of margin'!AE61+'Allocation = % of margin'!AH61</f>
        <v>-3.8899999999999998E-3</v>
      </c>
      <c r="R61" s="71">
        <f t="shared" si="17"/>
        <v>9.4659999999999994E-2</v>
      </c>
      <c r="S61" s="457">
        <f t="shared" si="11"/>
        <v>9.869E-2</v>
      </c>
      <c r="T61" s="450">
        <f>E61*'Washington volumes'!E61</f>
        <v>24526.648229999999</v>
      </c>
      <c r="U61" s="455"/>
      <c r="V61" s="465"/>
      <c r="W61" s="63"/>
      <c r="X61" s="200" t="s">
        <v>8</v>
      </c>
      <c r="Y61" s="251">
        <f t="shared" si="18"/>
        <v>9.4799999999999995E-2</v>
      </c>
      <c r="Z61" s="252">
        <f t="shared" ref="Z61:Z67" si="27">+K61</f>
        <v>0</v>
      </c>
      <c r="AA61" s="252">
        <f t="shared" ref="AA61:AA67" si="28">+J61</f>
        <v>0</v>
      </c>
      <c r="AB61" s="252">
        <f t="shared" si="19"/>
        <v>-1.3999999999999999E-4</v>
      </c>
      <c r="AC61" s="253">
        <f t="shared" si="12"/>
        <v>9.4659999999999994E-2</v>
      </c>
      <c r="AD61" s="197">
        <f t="shared" si="13"/>
        <v>0</v>
      </c>
      <c r="AE61" s="79">
        <f t="shared" si="20"/>
        <v>9.4799999999999995E-2</v>
      </c>
      <c r="AF61" s="3"/>
      <c r="AG61" s="198">
        <f t="shared" si="21"/>
        <v>9.4799999999999995E-2</v>
      </c>
      <c r="AI61" s="8"/>
      <c r="AK61" s="290"/>
    </row>
    <row r="62" spans="1:37" s="87" customFormat="1" x14ac:dyDescent="0.2">
      <c r="A62" s="43">
        <f t="shared" si="26"/>
        <v>56</v>
      </c>
      <c r="B62" s="63"/>
      <c r="C62" s="18" t="s">
        <v>9</v>
      </c>
      <c r="D62" s="358">
        <v>6.479E-2</v>
      </c>
      <c r="E62" s="358">
        <v>1.401E-2</v>
      </c>
      <c r="F62" s="71">
        <v>0</v>
      </c>
      <c r="G62" s="261"/>
      <c r="H62" s="261"/>
      <c r="I62" s="71">
        <f t="shared" si="8"/>
        <v>7.8799999999999995E-2</v>
      </c>
      <c r="J62" s="204">
        <v>0</v>
      </c>
      <c r="K62" s="204"/>
      <c r="L62" s="71"/>
      <c r="M62" s="71">
        <f t="shared" si="10"/>
        <v>7.8799999999999995E-2</v>
      </c>
      <c r="N62" s="71">
        <f>+Temporaries!D62</f>
        <v>-1.1E-4</v>
      </c>
      <c r="O62" s="71">
        <f>+Temporaries!AD62</f>
        <v>-1.1E-4</v>
      </c>
      <c r="P62" s="71">
        <v>0</v>
      </c>
      <c r="Q62" s="71">
        <f>'Allocation = % of margin'!AB62+'Allocation = % of margin'!AE62+'Allocation = % of margin'!AH62</f>
        <v>-3.1200000000000004E-3</v>
      </c>
      <c r="R62" s="71">
        <f t="shared" si="17"/>
        <v>7.5679999999999997E-2</v>
      </c>
      <c r="S62" s="457">
        <f t="shared" si="11"/>
        <v>7.8909999999999994E-2</v>
      </c>
      <c r="T62" s="450">
        <f>E62*'Washington volumes'!E62</f>
        <v>60839.531790000001</v>
      </c>
      <c r="U62" s="455"/>
      <c r="V62" s="465"/>
      <c r="W62" s="63"/>
      <c r="X62" s="200" t="s">
        <v>9</v>
      </c>
      <c r="Y62" s="251">
        <f t="shared" si="18"/>
        <v>7.5789999999999996E-2</v>
      </c>
      <c r="Z62" s="252">
        <f t="shared" si="27"/>
        <v>0</v>
      </c>
      <c r="AA62" s="252">
        <f t="shared" si="28"/>
        <v>0</v>
      </c>
      <c r="AB62" s="252">
        <f t="shared" si="19"/>
        <v>-1.1E-4</v>
      </c>
      <c r="AC62" s="253">
        <f t="shared" si="12"/>
        <v>7.5679999999999997E-2</v>
      </c>
      <c r="AD62" s="197">
        <f t="shared" si="13"/>
        <v>0</v>
      </c>
      <c r="AE62" s="79">
        <f t="shared" si="20"/>
        <v>7.5789999999999996E-2</v>
      </c>
      <c r="AF62" s="3"/>
      <c r="AG62" s="198">
        <f t="shared" si="21"/>
        <v>7.5789999999999996E-2</v>
      </c>
      <c r="AI62" s="8"/>
      <c r="AK62" s="290"/>
    </row>
    <row r="63" spans="1:37" s="87" customFormat="1" x14ac:dyDescent="0.2">
      <c r="A63" s="43">
        <f t="shared" si="26"/>
        <v>57</v>
      </c>
      <c r="B63" s="63"/>
      <c r="C63" s="18" t="s">
        <v>10</v>
      </c>
      <c r="D63" s="358">
        <v>4.3190000000000006E-2</v>
      </c>
      <c r="E63" s="358">
        <v>9.3399999999999993E-3</v>
      </c>
      <c r="F63" s="71">
        <v>0</v>
      </c>
      <c r="G63" s="261"/>
      <c r="H63" s="261"/>
      <c r="I63" s="71">
        <f t="shared" si="8"/>
        <v>5.2530000000000007E-2</v>
      </c>
      <c r="J63" s="204">
        <v>0</v>
      </c>
      <c r="K63" s="204"/>
      <c r="L63" s="71"/>
      <c r="M63" s="71">
        <f t="shared" si="10"/>
        <v>5.2530000000000007E-2</v>
      </c>
      <c r="N63" s="71">
        <f>+Temporaries!D63</f>
        <v>-8.0000000000000007E-5</v>
      </c>
      <c r="O63" s="71">
        <f>+Temporaries!AD63</f>
        <v>-8.0000000000000007E-5</v>
      </c>
      <c r="P63" s="71">
        <v>0</v>
      </c>
      <c r="Q63" s="71">
        <f>'Allocation = % of margin'!AB63+'Allocation = % of margin'!AE63+'Allocation = % of margin'!AH63</f>
        <v>-2.0799999999999998E-3</v>
      </c>
      <c r="R63" s="71">
        <f t="shared" si="17"/>
        <v>5.0450000000000009E-2</v>
      </c>
      <c r="S63" s="457">
        <f t="shared" si="11"/>
        <v>5.2610000000000004E-2</v>
      </c>
      <c r="T63" s="450">
        <f>E63*'Washington volumes'!E63</f>
        <v>24137.586159999999</v>
      </c>
      <c r="U63" s="455"/>
      <c r="V63" s="465"/>
      <c r="W63" s="63"/>
      <c r="X63" s="200" t="s">
        <v>10</v>
      </c>
      <c r="Y63" s="251">
        <f t="shared" si="18"/>
        <v>5.0530000000000005E-2</v>
      </c>
      <c r="Z63" s="252">
        <f t="shared" si="27"/>
        <v>0</v>
      </c>
      <c r="AA63" s="252">
        <f t="shared" si="28"/>
        <v>0</v>
      </c>
      <c r="AB63" s="252">
        <f t="shared" si="19"/>
        <v>-8.0000000000000007E-5</v>
      </c>
      <c r="AC63" s="253">
        <f t="shared" si="12"/>
        <v>5.0450000000000009E-2</v>
      </c>
      <c r="AD63" s="197">
        <f t="shared" si="13"/>
        <v>0</v>
      </c>
      <c r="AE63" s="79">
        <f t="shared" si="20"/>
        <v>5.0530000000000005E-2</v>
      </c>
      <c r="AF63" s="3"/>
      <c r="AG63" s="198">
        <f t="shared" si="21"/>
        <v>5.0530000000000005E-2</v>
      </c>
      <c r="AI63" s="8"/>
      <c r="AK63" s="290"/>
    </row>
    <row r="64" spans="1:37" s="87" customFormat="1" x14ac:dyDescent="0.2">
      <c r="A64" s="43">
        <f t="shared" si="26"/>
        <v>58</v>
      </c>
      <c r="B64" s="68"/>
      <c r="C64" s="22" t="s">
        <v>11</v>
      </c>
      <c r="D64" s="82">
        <v>1.619E-2</v>
      </c>
      <c r="E64" s="82">
        <v>8.0000000000000007E-5</v>
      </c>
      <c r="F64" s="24">
        <v>0</v>
      </c>
      <c r="G64" s="262"/>
      <c r="H64" s="262"/>
      <c r="I64" s="24">
        <f t="shared" si="8"/>
        <v>1.627E-2</v>
      </c>
      <c r="J64" s="205">
        <v>0</v>
      </c>
      <c r="K64" s="205"/>
      <c r="L64" s="24"/>
      <c r="M64" s="24">
        <f t="shared" si="10"/>
        <v>1.627E-2</v>
      </c>
      <c r="N64" s="24">
        <f>+Temporaries!D64</f>
        <v>-3.0000000000000001E-5</v>
      </c>
      <c r="O64" s="24">
        <f>+Temporaries!AD64</f>
        <v>-3.0000000000000001E-5</v>
      </c>
      <c r="P64" s="24">
        <v>0</v>
      </c>
      <c r="Q64" s="24">
        <f>'Allocation = % of margin'!AB64+'Allocation = % of margin'!AE64+'Allocation = % of margin'!AH64</f>
        <v>-7.8000000000000009E-4</v>
      </c>
      <c r="R64" s="24">
        <f t="shared" si="17"/>
        <v>1.549E-2</v>
      </c>
      <c r="S64" s="457">
        <f t="shared" si="11"/>
        <v>1.6300000000000002E-2</v>
      </c>
      <c r="T64" s="450">
        <f>E64*'Washington volumes'!E64</f>
        <v>0</v>
      </c>
      <c r="U64" s="455"/>
      <c r="V64" s="465"/>
      <c r="W64" s="68"/>
      <c r="X64" s="202" t="s">
        <v>11</v>
      </c>
      <c r="Y64" s="251">
        <f t="shared" si="18"/>
        <v>1.5520000000000001E-2</v>
      </c>
      <c r="Z64" s="252">
        <f t="shared" si="27"/>
        <v>0</v>
      </c>
      <c r="AA64" s="252">
        <f t="shared" si="28"/>
        <v>0</v>
      </c>
      <c r="AB64" s="252">
        <f t="shared" si="19"/>
        <v>-3.0000000000000001E-5</v>
      </c>
      <c r="AC64" s="253">
        <f t="shared" si="12"/>
        <v>1.549E-2</v>
      </c>
      <c r="AD64" s="197">
        <f t="shared" si="13"/>
        <v>0</v>
      </c>
      <c r="AE64" s="79">
        <f t="shared" si="20"/>
        <v>1.5520000000000001E-2</v>
      </c>
      <c r="AF64" s="3"/>
      <c r="AG64" s="198">
        <f t="shared" si="21"/>
        <v>1.5520000000000001E-2</v>
      </c>
      <c r="AI64" s="8"/>
      <c r="AK64" s="290"/>
    </row>
    <row r="65" spans="1:37" s="87" customFormat="1" x14ac:dyDescent="0.2">
      <c r="A65" s="43">
        <f>+A64+1</f>
        <v>59</v>
      </c>
      <c r="B65" s="68" t="s">
        <v>131</v>
      </c>
      <c r="C65" s="21"/>
      <c r="D65" s="359">
        <v>4.9800000000000001E-3</v>
      </c>
      <c r="E65" s="359">
        <v>0</v>
      </c>
      <c r="F65" s="23">
        <v>0</v>
      </c>
      <c r="G65" s="263"/>
      <c r="H65" s="263"/>
      <c r="I65" s="23">
        <f t="shared" si="8"/>
        <v>4.9800000000000001E-3</v>
      </c>
      <c r="J65" s="206">
        <v>0</v>
      </c>
      <c r="K65" s="206">
        <v>0</v>
      </c>
      <c r="L65" s="23">
        <v>0</v>
      </c>
      <c r="M65" s="23">
        <f t="shared" si="10"/>
        <v>4.9800000000000001E-3</v>
      </c>
      <c r="N65" s="23">
        <f>+Temporaries!D65</f>
        <v>-1.0000000000000001E-5</v>
      </c>
      <c r="O65" s="23">
        <f>+Temporaries!AD65</f>
        <v>-1.0000000000000001E-5</v>
      </c>
      <c r="P65" s="23">
        <v>0</v>
      </c>
      <c r="Q65" s="23">
        <f>'Allocation = % of margin'!AB65+'Allocation = % of margin'!AE65+'Allocation = % of margin'!AH65</f>
        <v>-2.5000000000000001E-4</v>
      </c>
      <c r="R65" s="23">
        <f t="shared" si="17"/>
        <v>4.7299999999999998E-3</v>
      </c>
      <c r="S65" s="457">
        <f t="shared" si="11"/>
        <v>4.9899999999999996E-3</v>
      </c>
      <c r="T65" s="450">
        <f>E65*'Washington volumes'!E65</f>
        <v>0</v>
      </c>
      <c r="U65" s="455"/>
      <c r="V65" s="465"/>
      <c r="W65" s="68" t="s">
        <v>131</v>
      </c>
      <c r="X65" s="68"/>
      <c r="Y65" s="251">
        <f t="shared" si="18"/>
        <v>4.7399999999999994E-3</v>
      </c>
      <c r="Z65" s="252">
        <f t="shared" si="27"/>
        <v>0</v>
      </c>
      <c r="AA65" s="252">
        <f t="shared" si="28"/>
        <v>0</v>
      </c>
      <c r="AB65" s="252">
        <f t="shared" si="19"/>
        <v>-1.0000000000000001E-5</v>
      </c>
      <c r="AC65" s="253">
        <f t="shared" si="12"/>
        <v>4.7299999999999998E-3</v>
      </c>
      <c r="AD65" s="197">
        <f t="shared" si="13"/>
        <v>0</v>
      </c>
      <c r="AE65" s="79">
        <f t="shared" si="20"/>
        <v>4.7399999999999994E-3</v>
      </c>
      <c r="AF65" s="3"/>
      <c r="AG65" s="198">
        <f t="shared" si="21"/>
        <v>4.7399999999999994E-3</v>
      </c>
      <c r="AI65" s="8"/>
      <c r="AK65" s="290"/>
    </row>
    <row r="66" spans="1:37" s="87" customFormat="1" x14ac:dyDescent="0.2">
      <c r="A66" s="43">
        <f t="shared" ref="A66:A75" si="29">+A65+1</f>
        <v>60</v>
      </c>
      <c r="B66" s="16" t="s">
        <v>132</v>
      </c>
      <c r="C66" s="13"/>
      <c r="D66" s="82">
        <v>4.9800000000000001E-3</v>
      </c>
      <c r="E66" s="82">
        <v>0</v>
      </c>
      <c r="F66" s="24">
        <v>0</v>
      </c>
      <c r="G66" s="262"/>
      <c r="H66" s="262"/>
      <c r="I66" s="24">
        <f t="shared" si="8"/>
        <v>4.9800000000000001E-3</v>
      </c>
      <c r="J66" s="205">
        <v>0</v>
      </c>
      <c r="K66" s="205">
        <v>0</v>
      </c>
      <c r="L66" s="24">
        <v>0</v>
      </c>
      <c r="M66" s="24">
        <f t="shared" si="10"/>
        <v>4.9800000000000001E-3</v>
      </c>
      <c r="N66" s="24">
        <f>+Temporaries!D66</f>
        <v>-1.0000000000000001E-5</v>
      </c>
      <c r="O66" s="24">
        <f>+Temporaries!AD66</f>
        <v>-1.0000000000000001E-5</v>
      </c>
      <c r="P66" s="24">
        <v>0</v>
      </c>
      <c r="Q66" s="24">
        <f>'Allocation = % of margin'!AB66+'Allocation = % of margin'!AE66+'Allocation = % of margin'!AH66</f>
        <v>-2.5000000000000001E-4</v>
      </c>
      <c r="R66" s="24">
        <f t="shared" si="17"/>
        <v>4.7299999999999998E-3</v>
      </c>
      <c r="S66" s="457">
        <f t="shared" si="11"/>
        <v>4.9899999999999996E-3</v>
      </c>
      <c r="T66" s="450">
        <f>E66*'Washington volumes'!E66</f>
        <v>0</v>
      </c>
      <c r="U66" s="455"/>
      <c r="V66" s="465"/>
      <c r="W66" s="16" t="s">
        <v>132</v>
      </c>
      <c r="X66" s="16"/>
      <c r="Y66" s="251">
        <f t="shared" si="18"/>
        <v>4.7399999999999994E-3</v>
      </c>
      <c r="Z66" s="252">
        <f t="shared" si="27"/>
        <v>0</v>
      </c>
      <c r="AA66" s="252">
        <f t="shared" si="28"/>
        <v>0</v>
      </c>
      <c r="AB66" s="252">
        <f t="shared" si="19"/>
        <v>-1.0000000000000001E-5</v>
      </c>
      <c r="AC66" s="253">
        <f t="shared" si="12"/>
        <v>4.7299999999999998E-3</v>
      </c>
      <c r="AD66" s="197">
        <f t="shared" si="13"/>
        <v>0</v>
      </c>
      <c r="AE66" s="79">
        <f t="shared" si="20"/>
        <v>4.7399999999999994E-3</v>
      </c>
      <c r="AF66" s="3"/>
      <c r="AG66" s="198">
        <f t="shared" si="21"/>
        <v>4.7399999999999994E-3</v>
      </c>
      <c r="AI66" s="8"/>
      <c r="AK66" s="290"/>
    </row>
    <row r="67" spans="1:37" s="87" customFormat="1" ht="13.5" thickBot="1" x14ac:dyDescent="0.25">
      <c r="A67" s="43">
        <f t="shared" si="29"/>
        <v>61</v>
      </c>
      <c r="B67" s="15" t="s">
        <v>166</v>
      </c>
      <c r="C67" s="13"/>
      <c r="D67" s="82"/>
      <c r="E67" s="82"/>
      <c r="F67" s="25"/>
      <c r="G67" s="25"/>
      <c r="H67" s="25"/>
      <c r="I67" s="25"/>
      <c r="J67" s="207"/>
      <c r="K67" s="207"/>
      <c r="L67" s="25"/>
      <c r="M67" s="25"/>
      <c r="N67" s="24"/>
      <c r="O67" s="24"/>
      <c r="P67" s="25"/>
      <c r="Q67" s="24"/>
      <c r="R67" s="25"/>
      <c r="S67" s="453"/>
      <c r="T67" s="467">
        <f>SUM(T13:T66)</f>
        <v>5875474.3105539829</v>
      </c>
      <c r="U67" s="468">
        <f>SUM(U13:U66)</f>
        <v>2364664.5099999998</v>
      </c>
      <c r="W67" s="16">
        <v>54</v>
      </c>
      <c r="X67" s="16"/>
      <c r="Y67" s="251">
        <f t="shared" si="18"/>
        <v>0</v>
      </c>
      <c r="Z67" s="254">
        <f t="shared" si="27"/>
        <v>0</v>
      </c>
      <c r="AA67" s="254">
        <f t="shared" si="28"/>
        <v>0</v>
      </c>
      <c r="AB67" s="252">
        <f t="shared" si="19"/>
        <v>0</v>
      </c>
      <c r="AC67" s="282">
        <f t="shared" si="12"/>
        <v>0</v>
      </c>
      <c r="AD67" s="197">
        <f t="shared" si="13"/>
        <v>0</v>
      </c>
      <c r="AE67" s="79">
        <f t="shared" si="20"/>
        <v>0</v>
      </c>
      <c r="AF67" s="3"/>
      <c r="AG67" s="198">
        <f t="shared" si="21"/>
        <v>0</v>
      </c>
      <c r="AI67" s="8"/>
      <c r="AK67" s="290"/>
    </row>
    <row r="68" spans="1:37" x14ac:dyDescent="0.2">
      <c r="A68" s="43">
        <f t="shared" si="29"/>
        <v>62</v>
      </c>
      <c r="S68" s="453"/>
      <c r="T68" s="87"/>
      <c r="U68" s="86"/>
      <c r="Z68" s="181"/>
      <c r="AA68" s="181"/>
      <c r="AB68" s="181"/>
      <c r="AC68" s="181"/>
      <c r="AD68" s="197"/>
      <c r="AI68" s="8"/>
      <c r="AK68" s="290"/>
    </row>
    <row r="69" spans="1:37" ht="13.5" thickBot="1" x14ac:dyDescent="0.25">
      <c r="A69" s="43">
        <f t="shared" si="29"/>
        <v>63</v>
      </c>
      <c r="B69" s="26" t="s">
        <v>133</v>
      </c>
      <c r="S69" s="453" t="s">
        <v>352</v>
      </c>
      <c r="T69" s="461">
        <f>T67+U67</f>
        <v>8240138.8205539826</v>
      </c>
      <c r="U69" s="86"/>
      <c r="Z69" s="181"/>
      <c r="AA69" s="181"/>
      <c r="AB69" s="181"/>
      <c r="AC69" s="181"/>
      <c r="AD69" s="197"/>
      <c r="AI69" s="8"/>
      <c r="AK69" s="290"/>
    </row>
    <row r="70" spans="1:37" ht="13.5" thickBot="1" x14ac:dyDescent="0.25">
      <c r="A70" s="43">
        <f t="shared" si="29"/>
        <v>64</v>
      </c>
      <c r="B70" s="88" t="s">
        <v>134</v>
      </c>
      <c r="C70" s="28"/>
      <c r="D70" s="309" t="s">
        <v>344</v>
      </c>
      <c r="E70" s="309"/>
      <c r="F70" s="256" t="str">
        <f>+D70</f>
        <v>2018-19 PGA</v>
      </c>
      <c r="G70" s="256" t="str">
        <f>+F70</f>
        <v>2018-19 PGA</v>
      </c>
      <c r="H70" s="256" t="str">
        <f>+G70</f>
        <v>2018-19 PGA</v>
      </c>
      <c r="I70" s="29"/>
      <c r="J70" s="208" t="s">
        <v>237</v>
      </c>
      <c r="K70" s="208" t="s">
        <v>237</v>
      </c>
      <c r="L70" s="208" t="s">
        <v>237</v>
      </c>
      <c r="M70" s="29"/>
      <c r="N70" s="80"/>
      <c r="O70" s="80"/>
      <c r="P70" s="29"/>
      <c r="Q70" s="80"/>
      <c r="R70" s="29"/>
      <c r="S70" s="453" t="s">
        <v>351</v>
      </c>
      <c r="T70" s="461">
        <v>72290</v>
      </c>
      <c r="U70" s="86"/>
      <c r="Z70" s="181"/>
      <c r="AA70" s="181"/>
      <c r="AB70" s="181"/>
      <c r="AC70" s="181"/>
      <c r="AD70" s="197"/>
      <c r="AI70" s="8"/>
      <c r="AK70" s="290"/>
    </row>
    <row r="71" spans="1:37" ht="13.5" thickBot="1" x14ac:dyDescent="0.25">
      <c r="A71" s="43">
        <f t="shared" si="29"/>
        <v>65</v>
      </c>
      <c r="B71" s="89"/>
      <c r="S71" s="456"/>
      <c r="T71" s="462">
        <f>SUM(T69:T70)</f>
        <v>8312428.8205539826</v>
      </c>
      <c r="U71" s="127"/>
      <c r="Z71" s="181"/>
      <c r="AA71" s="181"/>
      <c r="AB71" s="181"/>
      <c r="AC71" s="181"/>
      <c r="AD71" s="197"/>
      <c r="AI71" s="8"/>
      <c r="AK71" s="290"/>
    </row>
    <row r="72" spans="1:37" ht="13.5" thickBot="1" x14ac:dyDescent="0.25">
      <c r="A72" s="43">
        <f t="shared" si="29"/>
        <v>66</v>
      </c>
      <c r="B72" s="88" t="s">
        <v>21</v>
      </c>
      <c r="C72" s="28"/>
      <c r="D72" s="80"/>
      <c r="E72" s="80"/>
      <c r="F72" s="29"/>
      <c r="G72" s="29"/>
      <c r="H72" s="29"/>
      <c r="I72" s="29"/>
      <c r="J72" s="209"/>
      <c r="K72" s="209"/>
      <c r="L72" s="29"/>
      <c r="M72" s="29"/>
      <c r="N72" s="30" t="s">
        <v>60</v>
      </c>
      <c r="O72" s="30" t="s">
        <v>282</v>
      </c>
      <c r="P72" s="210"/>
      <c r="Q72" s="80"/>
      <c r="R72" s="29"/>
      <c r="S72" s="246" t="s">
        <v>357</v>
      </c>
      <c r="T72" s="461">
        <v>8312043</v>
      </c>
      <c r="Z72" s="181"/>
      <c r="AA72" s="181"/>
      <c r="AB72" s="181"/>
      <c r="AC72" s="181"/>
      <c r="AD72" s="197"/>
      <c r="AI72" s="8"/>
      <c r="AK72" s="290"/>
    </row>
    <row r="73" spans="1:37" ht="13.5" thickBot="1" x14ac:dyDescent="0.25">
      <c r="A73" s="43">
        <f t="shared" si="29"/>
        <v>67</v>
      </c>
      <c r="B73" s="88" t="s">
        <v>137</v>
      </c>
      <c r="C73" s="28"/>
      <c r="D73" s="80"/>
      <c r="E73" s="80"/>
      <c r="F73" s="29"/>
      <c r="G73" s="29"/>
      <c r="H73" s="29"/>
      <c r="I73" s="29"/>
      <c r="J73" s="209"/>
      <c r="K73" s="209"/>
      <c r="L73" s="29"/>
      <c r="M73" s="29"/>
      <c r="N73" s="80"/>
      <c r="O73" s="80"/>
      <c r="P73" s="29"/>
      <c r="Q73" s="30"/>
      <c r="R73" s="29"/>
      <c r="S73" s="246" t="s">
        <v>358</v>
      </c>
      <c r="T73" s="463">
        <f>T71-T72</f>
        <v>385.82055398263037</v>
      </c>
      <c r="Z73" s="181"/>
      <c r="AA73" s="181"/>
      <c r="AB73" s="181"/>
      <c r="AC73" s="181"/>
      <c r="AD73" s="197"/>
      <c r="AI73" s="8"/>
      <c r="AK73" s="290"/>
    </row>
    <row r="74" spans="1:37" x14ac:dyDescent="0.2">
      <c r="A74" s="43">
        <f>+A71+1</f>
        <v>66</v>
      </c>
      <c r="B74" s="89" t="s">
        <v>179</v>
      </c>
      <c r="S74" s="246"/>
      <c r="Z74" s="181"/>
      <c r="AA74" s="181"/>
      <c r="AB74" s="181"/>
      <c r="AC74" s="181"/>
      <c r="AD74" s="197"/>
      <c r="AI74" s="8"/>
      <c r="AK74" s="290"/>
    </row>
    <row r="75" spans="1:37" x14ac:dyDescent="0.2">
      <c r="A75" s="43">
        <f t="shared" si="29"/>
        <v>67</v>
      </c>
      <c r="B75" s="89"/>
      <c r="S75" s="246"/>
      <c r="Z75" s="181"/>
      <c r="AA75" s="181"/>
      <c r="AB75" s="181"/>
      <c r="AC75" s="181"/>
      <c r="AD75" s="197"/>
      <c r="AI75" s="8"/>
      <c r="AK75" s="290"/>
    </row>
    <row r="76" spans="1:37" x14ac:dyDescent="0.2">
      <c r="B76" s="89"/>
      <c r="Z76" s="181"/>
      <c r="AA76" s="181"/>
      <c r="AB76" s="181"/>
      <c r="AC76" s="181"/>
      <c r="AD76" s="197"/>
      <c r="AI76" s="8"/>
      <c r="AK76" s="290"/>
    </row>
    <row r="77" spans="1:37" ht="13.5" thickBot="1" x14ac:dyDescent="0.25">
      <c r="Z77" s="181"/>
      <c r="AA77" s="181"/>
      <c r="AB77" s="181"/>
      <c r="AC77" s="181"/>
      <c r="AD77" s="197"/>
      <c r="AI77" s="8"/>
      <c r="AK77" s="290"/>
    </row>
    <row r="78" spans="1:37" ht="13.5" thickBot="1" x14ac:dyDescent="0.25">
      <c r="S78" s="503" t="s">
        <v>365</v>
      </c>
      <c r="T78" s="504"/>
      <c r="Z78" s="181"/>
      <c r="AA78" s="181"/>
      <c r="AB78" s="181"/>
      <c r="AC78" s="181"/>
      <c r="AD78" s="197"/>
    </row>
    <row r="79" spans="1:37" x14ac:dyDescent="0.2">
      <c r="S79" s="163" t="s">
        <v>359</v>
      </c>
      <c r="T79" s="460">
        <f>T67</f>
        <v>5875474.3105539829</v>
      </c>
      <c r="Z79" s="181"/>
      <c r="AA79" s="181"/>
      <c r="AB79" s="181"/>
      <c r="AC79" s="181"/>
      <c r="AD79" s="197"/>
    </row>
    <row r="80" spans="1:37" x14ac:dyDescent="0.2">
      <c r="S80" s="163" t="s">
        <v>360</v>
      </c>
      <c r="T80" s="460">
        <f>U67</f>
        <v>2364664.5099999998</v>
      </c>
      <c r="Z80" s="181"/>
      <c r="AA80" s="181"/>
      <c r="AB80" s="181"/>
      <c r="AC80" s="181"/>
      <c r="AD80" s="197"/>
    </row>
    <row r="81" spans="19:29" x14ac:dyDescent="0.2">
      <c r="S81" s="163" t="s">
        <v>361</v>
      </c>
      <c r="T81" s="460">
        <f>T70</f>
        <v>72290</v>
      </c>
      <c r="AC81" s="3"/>
    </row>
    <row r="82" spans="19:29" x14ac:dyDescent="0.2">
      <c r="S82" s="163" t="s">
        <v>362</v>
      </c>
      <c r="T82" s="469">
        <f>SUM(T79:T81)</f>
        <v>8312428.8205539826</v>
      </c>
      <c r="AC82" s="3"/>
    </row>
    <row r="83" spans="19:29" x14ac:dyDescent="0.2">
      <c r="S83" s="163" t="s">
        <v>363</v>
      </c>
      <c r="T83" s="460"/>
      <c r="AC83" s="3"/>
    </row>
    <row r="84" spans="19:29" x14ac:dyDescent="0.2">
      <c r="S84" s="163" t="s">
        <v>364</v>
      </c>
      <c r="T84" s="460">
        <f>'Allocation = % of margin'!Z10+'Allocation = % of margin'!AC10+'Allocation = % of margin'!AF10</f>
        <v>-1629403</v>
      </c>
      <c r="AC84" s="3"/>
    </row>
    <row r="85" spans="19:29" x14ac:dyDescent="0.2">
      <c r="S85" s="215" t="s">
        <v>254</v>
      </c>
      <c r="T85" s="470">
        <f>T82+T84</f>
        <v>6683025.8205539826</v>
      </c>
    </row>
  </sheetData>
  <mergeCells count="2">
    <mergeCell ref="S11:U11"/>
    <mergeCell ref="S78:T78"/>
  </mergeCells>
  <phoneticPr fontId="3" type="noConversion"/>
  <printOptions horizontalCentered="1"/>
  <pageMargins left="0.5" right="0.5" top="0.5" bottom="0.5" header="0.25" footer="0.25"/>
  <pageSetup scale="56" orientation="landscape" r:id="rId1"/>
  <headerFooter alignWithMargins="0">
    <oddFooter>&amp;C&amp;F &amp;D &amp;T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BH135"/>
  <sheetViews>
    <sheetView showGridLines="0" zoomScaleNormal="100" zoomScaleSheetLayoutView="100" workbookViewId="0">
      <pane xSplit="3" ySplit="11" topLeftCell="D12" activePane="bottomRight" state="frozen"/>
      <selection activeCell="Q32" sqref="Q32"/>
      <selection pane="topRight" activeCell="Q32" sqref="Q32"/>
      <selection pane="bottomLeft" activeCell="Q32" sqref="Q32"/>
      <selection pane="bottomRight" activeCell="BQ24" sqref="BQ24"/>
    </sheetView>
  </sheetViews>
  <sheetFormatPr defaultColWidth="9.33203125" defaultRowHeight="12.75" outlineLevelCol="1" x14ac:dyDescent="0.2"/>
  <cols>
    <col min="1" max="1" width="4.83203125" style="3" customWidth="1"/>
    <col min="2" max="2" width="15.33203125" style="2" customWidth="1"/>
    <col min="3" max="3" width="9.33203125" style="2"/>
    <col min="4" max="4" width="14.83203125" style="40" customWidth="1"/>
    <col min="5" max="5" width="14.83203125" style="165" customWidth="1"/>
    <col min="6" max="10" width="14.83203125" style="163" customWidth="1"/>
    <col min="11" max="11" width="13.83203125" style="163" customWidth="1"/>
    <col min="12" max="12" width="14.83203125" style="163" customWidth="1"/>
    <col min="13" max="14" width="14.83203125" style="163" hidden="1" customWidth="1"/>
    <col min="15" max="21" width="14.83203125" style="2" hidden="1" customWidth="1"/>
    <col min="22" max="22" width="16.83203125" style="2" customWidth="1"/>
    <col min="23" max="23" width="14.83203125" style="2" customWidth="1"/>
    <col min="24" max="28" width="14.83203125" style="2" hidden="1" customWidth="1"/>
    <col min="29" max="29" width="13.83203125" style="2" hidden="1" customWidth="1"/>
    <col min="30" max="30" width="17.83203125" style="2" customWidth="1"/>
    <col min="31" max="31" width="15.83203125" style="2" customWidth="1"/>
    <col min="32" max="38" width="15.83203125" style="3" hidden="1" customWidth="1" outlineLevel="1"/>
    <col min="39" max="39" width="12.6640625" style="3" hidden="1" customWidth="1" outlineLevel="1"/>
    <col min="40" max="40" width="15.1640625" style="3" hidden="1" customWidth="1" outlineLevel="1"/>
    <col min="41" max="41" width="15.83203125" style="3" hidden="1" customWidth="1" outlineLevel="1"/>
    <col min="42" max="42" width="5.83203125" style="3" hidden="1" customWidth="1" outlineLevel="1"/>
    <col min="43" max="43" width="15.83203125" style="3" hidden="1" customWidth="1" outlineLevel="1"/>
    <col min="44" max="44" width="5.83203125" style="3" hidden="1" customWidth="1" outlineLevel="1"/>
    <col min="45" max="45" width="15.83203125" style="3" hidden="1" customWidth="1" outlineLevel="1"/>
    <col min="46" max="46" width="5.83203125" style="3" hidden="1" customWidth="1" outlineLevel="1"/>
    <col min="47" max="51" width="17.83203125" style="3" hidden="1" customWidth="1" outlineLevel="1"/>
    <col min="52" max="53" width="16.83203125" style="3" hidden="1" customWidth="1" outlineLevel="1"/>
    <col min="54" max="54" width="23.1640625" style="3" hidden="1" customWidth="1" outlineLevel="1"/>
    <col min="55" max="59" width="16.83203125" style="3" hidden="1" customWidth="1" outlineLevel="1"/>
    <col min="60" max="60" width="16.83203125" style="3" customWidth="1" collapsed="1"/>
    <col min="61" max="73" width="15.83203125" style="3" customWidth="1"/>
    <col min="74" max="16384" width="9.33203125" style="3"/>
  </cols>
  <sheetData>
    <row r="1" spans="1:59" ht="14.25" x14ac:dyDescent="0.2">
      <c r="A1" s="1" t="str">
        <f>+'Washington volumes'!A1</f>
        <v>NW Natural</v>
      </c>
    </row>
    <row r="2" spans="1:59" ht="14.25" x14ac:dyDescent="0.2">
      <c r="A2" s="1" t="str">
        <f>+'Washington volumes'!A2</f>
        <v>Rates &amp; Regulatory Affairs</v>
      </c>
    </row>
    <row r="3" spans="1:59" ht="14.25" x14ac:dyDescent="0.2">
      <c r="A3" s="1" t="str">
        <f>+'Washington volumes'!A3</f>
        <v>2019 WA GRC</v>
      </c>
    </row>
    <row r="4" spans="1:59" ht="14.25" x14ac:dyDescent="0.2">
      <c r="A4" s="1" t="s">
        <v>57</v>
      </c>
    </row>
    <row r="5" spans="1:59" x14ac:dyDescent="0.2">
      <c r="D5" s="2"/>
      <c r="E5" s="163"/>
      <c r="V5" s="79"/>
    </row>
    <row r="6" spans="1:59" x14ac:dyDescent="0.2">
      <c r="A6" s="213"/>
      <c r="B6" s="214"/>
      <c r="C6" s="214"/>
      <c r="D6" s="214"/>
      <c r="E6" s="214"/>
      <c r="F6" s="313"/>
      <c r="H6" s="313"/>
      <c r="AG6" s="280"/>
    </row>
    <row r="7" spans="1:59" x14ac:dyDescent="0.2">
      <c r="A7" s="4">
        <v>1</v>
      </c>
      <c r="D7" s="2"/>
      <c r="E7" s="163"/>
      <c r="F7" s="313"/>
      <c r="G7" s="313"/>
      <c r="K7" s="164"/>
      <c r="L7" s="164"/>
      <c r="M7" s="164"/>
      <c r="N7" s="164"/>
      <c r="O7" s="5"/>
      <c r="P7" s="5"/>
      <c r="Q7" s="5"/>
      <c r="R7" s="5"/>
      <c r="S7" s="5"/>
      <c r="T7" s="5"/>
      <c r="U7" s="5"/>
      <c r="V7" s="5"/>
      <c r="W7" s="5"/>
      <c r="X7" s="5"/>
      <c r="Y7" s="5"/>
      <c r="Z7" s="5"/>
      <c r="AA7" s="5"/>
      <c r="AB7" s="5"/>
      <c r="AC7" s="5"/>
      <c r="AG7" s="278" t="s">
        <v>274</v>
      </c>
      <c r="AH7" s="289" t="s">
        <v>292</v>
      </c>
      <c r="AI7" s="232" t="s">
        <v>227</v>
      </c>
      <c r="AJ7" s="232"/>
      <c r="AK7" s="232"/>
      <c r="AL7" s="232"/>
      <c r="AM7" s="232"/>
      <c r="AN7" s="506" t="s">
        <v>313</v>
      </c>
      <c r="AO7" s="232"/>
      <c r="AP7" s="232"/>
      <c r="AQ7" s="232"/>
      <c r="AR7" s="232"/>
      <c r="AS7" s="237" t="s">
        <v>228</v>
      </c>
      <c r="AT7" s="232"/>
      <c r="AU7" s="232"/>
      <c r="AV7" s="232"/>
      <c r="AW7" s="232"/>
      <c r="AX7" s="232"/>
      <c r="AZ7" s="274" t="s">
        <v>269</v>
      </c>
      <c r="BA7" s="274" t="s">
        <v>269</v>
      </c>
      <c r="BB7" s="274" t="s">
        <v>269</v>
      </c>
      <c r="BC7" s="274"/>
      <c r="BD7" s="274"/>
      <c r="BF7" s="286"/>
      <c r="BG7" s="286"/>
    </row>
    <row r="8" spans="1:59" x14ac:dyDescent="0.2">
      <c r="A8" s="4">
        <f t="shared" ref="A8:A54" si="0">+A7+1</f>
        <v>2</v>
      </c>
      <c r="D8" s="6"/>
      <c r="E8" s="245"/>
      <c r="F8" s="313"/>
      <c r="K8" s="245"/>
      <c r="L8" s="245"/>
      <c r="M8" s="245"/>
      <c r="N8" s="245"/>
      <c r="O8" s="6"/>
      <c r="P8" s="6"/>
      <c r="Q8" s="6"/>
      <c r="R8" s="6"/>
      <c r="S8" s="6"/>
      <c r="T8" s="6"/>
      <c r="U8" s="6"/>
      <c r="V8" s="6"/>
      <c r="W8" s="6"/>
      <c r="X8" s="6"/>
      <c r="Y8" s="6"/>
      <c r="Z8" s="6"/>
      <c r="AA8" s="6"/>
      <c r="AB8" s="6"/>
      <c r="AC8" s="5"/>
      <c r="AG8" s="278" t="s">
        <v>275</v>
      </c>
      <c r="AH8" s="289" t="s">
        <v>293</v>
      </c>
      <c r="AI8" s="232"/>
      <c r="AJ8" s="232"/>
      <c r="AK8" s="232"/>
      <c r="AL8" s="232"/>
      <c r="AM8" s="232"/>
      <c r="AN8" s="506"/>
      <c r="AO8" s="232"/>
      <c r="AP8" s="232"/>
      <c r="AQ8" s="232"/>
      <c r="AR8" s="232"/>
      <c r="AS8" s="237" t="s">
        <v>229</v>
      </c>
      <c r="AT8" s="232"/>
      <c r="AU8" s="232"/>
      <c r="AV8" s="232"/>
      <c r="AW8" s="232"/>
      <c r="AX8" s="232"/>
      <c r="AZ8" s="275" t="s">
        <v>219</v>
      </c>
      <c r="BA8" s="275" t="s">
        <v>220</v>
      </c>
      <c r="BB8" s="275" t="s">
        <v>301</v>
      </c>
      <c r="BC8" s="275"/>
      <c r="BD8" s="275"/>
      <c r="BF8" s="286"/>
      <c r="BG8" s="286"/>
    </row>
    <row r="9" spans="1:59" x14ac:dyDescent="0.2">
      <c r="A9" s="4">
        <f t="shared" si="0"/>
        <v>3</v>
      </c>
      <c r="D9" s="5" t="s">
        <v>25</v>
      </c>
      <c r="E9" s="164" t="s">
        <v>25</v>
      </c>
      <c r="F9" s="164" t="s">
        <v>31</v>
      </c>
      <c r="G9" s="164" t="s">
        <v>31</v>
      </c>
      <c r="H9" s="164" t="s">
        <v>31</v>
      </c>
      <c r="I9" s="164"/>
      <c r="J9" s="164"/>
      <c r="K9" s="164" t="s">
        <v>31</v>
      </c>
      <c r="L9" s="164" t="s">
        <v>31</v>
      </c>
      <c r="M9" s="164"/>
      <c r="N9" s="164"/>
      <c r="O9" s="5"/>
      <c r="P9" s="5"/>
      <c r="Q9" s="5"/>
      <c r="R9" s="5"/>
      <c r="S9" s="5"/>
      <c r="T9" s="5"/>
      <c r="U9" s="5"/>
      <c r="V9" s="5" t="s">
        <v>31</v>
      </c>
      <c r="W9" s="5" t="s">
        <v>31</v>
      </c>
      <c r="X9" s="265" t="s">
        <v>201</v>
      </c>
      <c r="Y9" s="265"/>
      <c r="Z9" s="177"/>
      <c r="AA9" s="177"/>
      <c r="AB9" s="177"/>
      <c r="AC9" s="177"/>
      <c r="AG9" s="278" t="s">
        <v>276</v>
      </c>
      <c r="AH9" s="289" t="s">
        <v>276</v>
      </c>
      <c r="AI9" s="233" t="s">
        <v>218</v>
      </c>
      <c r="AJ9" s="233"/>
      <c r="AK9" s="233"/>
      <c r="AL9" s="233"/>
      <c r="AM9" s="232"/>
      <c r="AN9" s="506"/>
      <c r="AO9" s="234" t="s">
        <v>285</v>
      </c>
      <c r="AP9" s="232"/>
      <c r="AQ9" s="234" t="s">
        <v>219</v>
      </c>
      <c r="AR9" s="232"/>
      <c r="AS9" s="234" t="s">
        <v>224</v>
      </c>
      <c r="AT9" s="236"/>
      <c r="AU9" s="233" t="s">
        <v>220</v>
      </c>
      <c r="AV9" s="233"/>
      <c r="AW9" s="235"/>
      <c r="AX9" s="235"/>
      <c r="AZ9" s="274" t="s">
        <v>270</v>
      </c>
      <c r="BA9" s="274" t="s">
        <v>270</v>
      </c>
      <c r="BB9" s="274"/>
      <c r="BC9" s="274"/>
      <c r="BD9" s="274"/>
      <c r="BF9" s="287" t="s">
        <v>289</v>
      </c>
      <c r="BG9" s="288"/>
    </row>
    <row r="10" spans="1:59" s="8" customFormat="1" ht="51.75" customHeight="1" thickBot="1" x14ac:dyDescent="0.25">
      <c r="A10" s="4">
        <f t="shared" si="0"/>
        <v>4</v>
      </c>
      <c r="B10" s="2"/>
      <c r="C10" s="2"/>
      <c r="D10" s="7" t="s">
        <v>52</v>
      </c>
      <c r="E10" s="306" t="s">
        <v>309</v>
      </c>
      <c r="F10" s="306" t="s">
        <v>22</v>
      </c>
      <c r="G10" s="306" t="s">
        <v>55</v>
      </c>
      <c r="H10" s="306" t="s">
        <v>56</v>
      </c>
      <c r="I10" s="306" t="s">
        <v>306</v>
      </c>
      <c r="J10" s="306" t="s">
        <v>307</v>
      </c>
      <c r="K10" s="306" t="str">
        <f>+Inputs!C36</f>
        <v>R&amp;C Energy Efficiency Programs</v>
      </c>
      <c r="L10" s="306" t="str">
        <f>+'Allocation = % of margin'!Q7</f>
        <v>Low Income Bill Pay Assistance (GREAT)</v>
      </c>
      <c r="M10" s="302" t="s">
        <v>306</v>
      </c>
      <c r="N10" s="302" t="s">
        <v>307</v>
      </c>
      <c r="O10" s="7"/>
      <c r="P10" s="7"/>
      <c r="Q10" s="7"/>
      <c r="R10" s="7"/>
      <c r="S10" s="7"/>
      <c r="T10" s="7"/>
      <c r="U10" s="7"/>
      <c r="V10" s="7" t="str">
        <f>+'Allocation = % of margin'!T7</f>
        <v>WA-LIEE</v>
      </c>
      <c r="W10" s="7" t="s">
        <v>320</v>
      </c>
      <c r="X10" s="178" t="s">
        <v>200</v>
      </c>
      <c r="Y10" s="178" t="s">
        <v>200</v>
      </c>
      <c r="Z10" s="178" t="s">
        <v>200</v>
      </c>
      <c r="AA10" s="178" t="s">
        <v>200</v>
      </c>
      <c r="AB10" s="178" t="s">
        <v>200</v>
      </c>
      <c r="AC10" s="178" t="s">
        <v>200</v>
      </c>
      <c r="AD10" s="7" t="s">
        <v>284</v>
      </c>
      <c r="AE10" s="7" t="s">
        <v>53</v>
      </c>
      <c r="AG10" s="257" t="s">
        <v>318</v>
      </c>
      <c r="AH10" s="257" t="s">
        <v>319</v>
      </c>
      <c r="AI10" s="257" t="s">
        <v>216</v>
      </c>
      <c r="AJ10" s="257" t="s">
        <v>217</v>
      </c>
      <c r="AK10" s="257" t="s">
        <v>287</v>
      </c>
      <c r="AL10" s="257" t="s">
        <v>288</v>
      </c>
      <c r="AO10" s="257" t="s">
        <v>320</v>
      </c>
      <c r="AQ10" s="257" t="s">
        <v>249</v>
      </c>
      <c r="AS10" s="43" t="s">
        <v>336</v>
      </c>
      <c r="AT10" s="43"/>
      <c r="AU10" s="43" t="s">
        <v>223</v>
      </c>
      <c r="AV10" s="43" t="s">
        <v>221</v>
      </c>
      <c r="AW10" s="231" t="s">
        <v>222</v>
      </c>
      <c r="AX10" s="43" t="s">
        <v>51</v>
      </c>
      <c r="AZ10" s="276" t="s">
        <v>271</v>
      </c>
      <c r="BA10" s="273"/>
      <c r="BB10" s="273"/>
      <c r="BC10" s="273"/>
      <c r="BD10" s="273"/>
      <c r="BF10" s="285" t="s">
        <v>290</v>
      </c>
      <c r="BG10" s="285" t="s">
        <v>291</v>
      </c>
    </row>
    <row r="11" spans="1:59" s="8" customFormat="1" x14ac:dyDescent="0.2">
      <c r="A11" s="4">
        <f t="shared" si="0"/>
        <v>5</v>
      </c>
      <c r="B11" s="2"/>
      <c r="C11" s="2"/>
      <c r="D11" s="9"/>
      <c r="E11" s="307"/>
      <c r="F11" s="307"/>
      <c r="G11" s="307"/>
      <c r="H11" s="134"/>
      <c r="I11" s="134" t="s">
        <v>315</v>
      </c>
      <c r="J11" s="134" t="s">
        <v>316</v>
      </c>
      <c r="K11" s="134"/>
      <c r="L11" s="134"/>
      <c r="M11" s="303" t="s">
        <v>305</v>
      </c>
      <c r="N11" s="303" t="s">
        <v>308</v>
      </c>
      <c r="O11" s="10"/>
      <c r="P11" s="10"/>
      <c r="Q11" s="10"/>
      <c r="R11" s="10"/>
      <c r="S11" s="10"/>
      <c r="T11" s="10"/>
      <c r="U11" s="10"/>
      <c r="V11" s="10"/>
      <c r="W11" s="5"/>
      <c r="X11" s="5"/>
      <c r="Y11" s="5"/>
      <c r="Z11" s="5"/>
      <c r="AA11" s="5"/>
      <c r="AB11" s="5"/>
      <c r="AC11" s="5"/>
      <c r="AD11" s="5" t="s">
        <v>310</v>
      </c>
      <c r="AE11" s="5" t="s">
        <v>281</v>
      </c>
      <c r="AG11" s="285"/>
      <c r="AK11" s="295"/>
      <c r="AM11" s="43" t="s">
        <v>225</v>
      </c>
      <c r="AN11" s="43"/>
      <c r="AO11" s="10"/>
      <c r="AS11" s="10"/>
      <c r="AU11" s="8" t="s">
        <v>250</v>
      </c>
      <c r="AZ11" s="505" t="s">
        <v>299</v>
      </c>
      <c r="BA11" s="505" t="s">
        <v>300</v>
      </c>
      <c r="BB11" s="505" t="s">
        <v>302</v>
      </c>
      <c r="BC11" s="275"/>
      <c r="BD11" s="275"/>
    </row>
    <row r="12" spans="1:59" s="8" customFormat="1" x14ac:dyDescent="0.2">
      <c r="A12" s="4">
        <f t="shared" si="0"/>
        <v>6</v>
      </c>
      <c r="B12" s="11" t="s">
        <v>2</v>
      </c>
      <c r="C12" s="11" t="s">
        <v>3</v>
      </c>
      <c r="D12" s="12" t="s">
        <v>68</v>
      </c>
      <c r="E12" s="223"/>
      <c r="F12" s="223" t="s">
        <v>69</v>
      </c>
      <c r="G12" s="223" t="s">
        <v>16</v>
      </c>
      <c r="H12" s="223" t="s">
        <v>70</v>
      </c>
      <c r="I12" s="223" t="s">
        <v>71</v>
      </c>
      <c r="J12" s="223" t="s">
        <v>72</v>
      </c>
      <c r="K12" s="223" t="s">
        <v>71</v>
      </c>
      <c r="L12" s="223" t="s">
        <v>72</v>
      </c>
      <c r="M12" s="304" t="s">
        <v>71</v>
      </c>
      <c r="N12" s="304" t="s">
        <v>72</v>
      </c>
      <c r="O12" s="12"/>
      <c r="P12" s="12"/>
      <c r="Q12" s="12"/>
      <c r="R12" s="12"/>
      <c r="S12" s="12"/>
      <c r="T12" s="12"/>
      <c r="U12" s="12"/>
      <c r="V12" s="12" t="s">
        <v>73</v>
      </c>
      <c r="W12" s="12" t="s">
        <v>74</v>
      </c>
      <c r="X12" s="12"/>
      <c r="Y12" s="12"/>
      <c r="Z12" s="12"/>
      <c r="AA12" s="12"/>
      <c r="AB12" s="12"/>
      <c r="AC12" s="12"/>
      <c r="AD12" s="12" t="s">
        <v>74</v>
      </c>
      <c r="AE12" s="12" t="s">
        <v>76</v>
      </c>
      <c r="AK12" s="295"/>
      <c r="AM12" s="43" t="s">
        <v>226</v>
      </c>
      <c r="AN12" s="43"/>
      <c r="AO12" s="10"/>
      <c r="AS12" s="10"/>
      <c r="AZ12" s="505" t="s">
        <v>299</v>
      </c>
      <c r="BA12" s="505"/>
      <c r="BB12" s="505"/>
      <c r="BC12" s="275" t="s">
        <v>321</v>
      </c>
      <c r="BD12" s="275" t="s">
        <v>336</v>
      </c>
    </row>
    <row r="13" spans="1:59" x14ac:dyDescent="0.2">
      <c r="A13" s="4">
        <f t="shared" si="0"/>
        <v>7</v>
      </c>
      <c r="B13" s="16" t="s">
        <v>4</v>
      </c>
      <c r="C13" s="13"/>
      <c r="D13" s="354">
        <v>9.8399999999999876E-3</v>
      </c>
      <c r="E13" s="354">
        <v>-5.3129999999999997E-2</v>
      </c>
      <c r="F13" s="360">
        <v>-2.6290000000000001E-2</v>
      </c>
      <c r="G13" s="360">
        <v>-2.6839999999999999E-2</v>
      </c>
      <c r="H13" s="360">
        <v>0</v>
      </c>
      <c r="I13" s="360">
        <v>-5.3129999999999997E-2</v>
      </c>
      <c r="J13" s="360">
        <v>-1.3139999999999992E-2</v>
      </c>
      <c r="K13" s="360">
        <v>5.4109999999999998E-2</v>
      </c>
      <c r="L13" s="360">
        <v>8.1499999999999993E-3</v>
      </c>
      <c r="M13" s="421">
        <v>0</v>
      </c>
      <c r="N13" s="421">
        <v>0</v>
      </c>
      <c r="O13" s="361"/>
      <c r="P13" s="361"/>
      <c r="Q13" s="361"/>
      <c r="R13" s="361"/>
      <c r="S13" s="361"/>
      <c r="T13" s="361"/>
      <c r="U13" s="361"/>
      <c r="V13" s="361">
        <v>1.91E-3</v>
      </c>
      <c r="W13" s="361">
        <v>-1.1999999999999999E-3</v>
      </c>
      <c r="X13" s="14"/>
      <c r="Y13" s="14"/>
      <c r="Z13" s="14"/>
      <c r="AA13" s="14"/>
      <c r="AB13" s="14"/>
      <c r="AC13" s="14"/>
      <c r="AD13" s="14">
        <f>I13+SUM(K13:W13)</f>
        <v>9.8399999999999876E-3</v>
      </c>
      <c r="AE13" s="14">
        <f>+AD13-D13</f>
        <v>0</v>
      </c>
      <c r="AF13" s="20"/>
      <c r="AG13" s="171">
        <f>+AD13-K13</f>
        <v>-4.4270000000000011E-2</v>
      </c>
      <c r="AH13" s="171">
        <f t="shared" ref="AH13:AH57" si="1">+W13+V13+L13</f>
        <v>8.8599999999999998E-3</v>
      </c>
      <c r="AI13" s="171">
        <f t="shared" ref="AI13:AI20" si="2">+F13</f>
        <v>-2.6290000000000001E-2</v>
      </c>
      <c r="AJ13" s="171">
        <f t="shared" ref="AJ13:AJ20" si="3">+G13+H13</f>
        <v>-2.6839999999999999E-2</v>
      </c>
      <c r="AK13" s="384">
        <f>SUM(K13:V13)</f>
        <v>6.4169999999999991E-2</v>
      </c>
      <c r="AL13" s="171">
        <f t="shared" ref="AL13:AL44" si="4">SUM(AI13:AK13)</f>
        <v>1.1039999999999994E-2</v>
      </c>
      <c r="AM13" s="20">
        <f t="shared" ref="AM13:AM44" si="5">+AK13-AO13-AQ13-AX13</f>
        <v>1.1999999999999997E-3</v>
      </c>
      <c r="AN13" s="20">
        <f>+AI13+AJ13</f>
        <v>-5.3129999999999997E-2</v>
      </c>
      <c r="AO13" s="20">
        <f t="shared" ref="AO13:AO44" si="6">+W13</f>
        <v>-1.1999999999999999E-3</v>
      </c>
      <c r="AQ13" s="20">
        <f t="shared" ref="AQ13:AQ44" si="7">+K13</f>
        <v>5.4109999999999998E-2</v>
      </c>
      <c r="AS13" s="20">
        <f>+'Rates in detail'!Q13</f>
        <v>-4.0289999999999999E-2</v>
      </c>
      <c r="AT13" s="20"/>
      <c r="AU13" s="20"/>
      <c r="AV13" s="20">
        <f t="shared" ref="AV13:AV44" si="8">+L13</f>
        <v>8.1499999999999993E-3</v>
      </c>
      <c r="AW13" s="20">
        <f t="shared" ref="AW13:AW44" si="9">+V13</f>
        <v>1.91E-3</v>
      </c>
      <c r="AX13" s="20">
        <f>SUM(AU13:AW13)</f>
        <v>1.0059999999999999E-2</v>
      </c>
      <c r="AZ13" s="415">
        <v>5.4109999999999998E-2</v>
      </c>
      <c r="BA13" s="415">
        <v>1.0059999999999999E-2</v>
      </c>
      <c r="BB13" s="415">
        <v>-5.3129999999999997E-2</v>
      </c>
      <c r="BC13" s="448">
        <v>-1.1999999999999999E-3</v>
      </c>
      <c r="BD13" s="448">
        <v>0</v>
      </c>
      <c r="BF13" s="20">
        <f>+AK13-K13</f>
        <v>1.0059999999999993E-2</v>
      </c>
      <c r="BG13" s="20">
        <f>+AL13-K13</f>
        <v>-4.3070000000000004E-2</v>
      </c>
    </row>
    <row r="14" spans="1:59" x14ac:dyDescent="0.2">
      <c r="A14" s="4">
        <f t="shared" si="0"/>
        <v>8</v>
      </c>
      <c r="B14" s="16" t="s">
        <v>5</v>
      </c>
      <c r="C14" s="13"/>
      <c r="D14" s="354">
        <v>-1.9999999999999879E-4</v>
      </c>
      <c r="E14" s="354">
        <v>-5.3129999999999997E-2</v>
      </c>
      <c r="F14" s="360">
        <v>-2.6290000000000001E-2</v>
      </c>
      <c r="G14" s="360">
        <v>-2.6839999999999999E-2</v>
      </c>
      <c r="H14" s="360">
        <v>0</v>
      </c>
      <c r="I14" s="360">
        <v>-5.3129999999999997E-2</v>
      </c>
      <c r="J14" s="360">
        <v>-1.3139999999999992E-2</v>
      </c>
      <c r="K14" s="360">
        <v>4.548E-2</v>
      </c>
      <c r="L14" s="360">
        <v>6.8599999999999998E-3</v>
      </c>
      <c r="M14" s="421">
        <v>0</v>
      </c>
      <c r="N14" s="421">
        <v>0</v>
      </c>
      <c r="O14" s="361"/>
      <c r="P14" s="361"/>
      <c r="Q14" s="361"/>
      <c r="R14" s="361"/>
      <c r="S14" s="361"/>
      <c r="T14" s="361"/>
      <c r="U14" s="361"/>
      <c r="V14" s="361">
        <v>1.6000000000000001E-3</v>
      </c>
      <c r="W14" s="361">
        <v>-1.01E-3</v>
      </c>
      <c r="X14" s="14"/>
      <c r="Y14" s="14"/>
      <c r="Z14" s="14"/>
      <c r="AA14" s="14"/>
      <c r="AB14" s="14"/>
      <c r="AC14" s="14"/>
      <c r="AD14" s="14">
        <f t="shared" ref="AD14:AD66" si="10">I14+SUM(K14:W14)</f>
        <v>-1.9999999999999879E-4</v>
      </c>
      <c r="AE14" s="14">
        <f t="shared" ref="AE14:AE66" si="11">+AD14-D14</f>
        <v>0</v>
      </c>
      <c r="AF14" s="20"/>
      <c r="AG14" s="171">
        <f t="shared" ref="AG14:AG24" si="12">+AD14-K14</f>
        <v>-4.5679999999999998E-2</v>
      </c>
      <c r="AH14" s="171">
        <f t="shared" si="1"/>
        <v>7.45E-3</v>
      </c>
      <c r="AI14" s="171">
        <f t="shared" si="2"/>
        <v>-2.6290000000000001E-2</v>
      </c>
      <c r="AJ14" s="171">
        <f t="shared" si="3"/>
        <v>-2.6839999999999999E-2</v>
      </c>
      <c r="AK14" s="384">
        <f t="shared" ref="AK14:AK66" si="13">SUM(K14:V14)</f>
        <v>5.3939999999999995E-2</v>
      </c>
      <c r="AL14" s="171">
        <f t="shared" si="4"/>
        <v>8.0999999999999822E-4</v>
      </c>
      <c r="AM14" s="20">
        <f t="shared" si="5"/>
        <v>1.0099999999999918E-3</v>
      </c>
      <c r="AN14" s="20">
        <f t="shared" ref="AN14:AN66" si="14">+AI14+AJ14</f>
        <v>-5.3129999999999997E-2</v>
      </c>
      <c r="AO14" s="20">
        <f t="shared" si="6"/>
        <v>-1.01E-3</v>
      </c>
      <c r="AQ14" s="20">
        <f t="shared" si="7"/>
        <v>4.548E-2</v>
      </c>
      <c r="AS14" s="20">
        <f>+'Rates in detail'!Q14</f>
        <v>-2.8720000000000002E-2</v>
      </c>
      <c r="AT14" s="20"/>
      <c r="AU14" s="20"/>
      <c r="AV14" s="20">
        <f t="shared" si="8"/>
        <v>6.8599999999999998E-3</v>
      </c>
      <c r="AW14" s="20">
        <f t="shared" si="9"/>
        <v>1.6000000000000001E-3</v>
      </c>
      <c r="AX14" s="20">
        <f t="shared" ref="AX14:AX66" si="15">SUM(AU14:AW14)</f>
        <v>8.4600000000000005E-3</v>
      </c>
      <c r="AZ14" s="415">
        <v>4.548E-2</v>
      </c>
      <c r="BA14" s="415">
        <v>8.4600000000000005E-3</v>
      </c>
      <c r="BB14" s="415">
        <v>-5.3129999999999997E-2</v>
      </c>
      <c r="BC14" s="448">
        <v>-1.01E-3</v>
      </c>
      <c r="BD14" s="448">
        <v>0</v>
      </c>
      <c r="BF14" s="20">
        <f t="shared" ref="BF14:BF67" si="16">+AK14-K14</f>
        <v>8.4599999999999953E-3</v>
      </c>
      <c r="BG14" s="20">
        <f t="shared" ref="BG14:BG67" si="17">+AL14-K14</f>
        <v>-4.4670000000000001E-2</v>
      </c>
    </row>
    <row r="15" spans="1:59" x14ac:dyDescent="0.2">
      <c r="A15" s="4">
        <f t="shared" si="0"/>
        <v>9</v>
      </c>
      <c r="B15" s="16" t="s">
        <v>14</v>
      </c>
      <c r="C15" s="13"/>
      <c r="D15" s="354">
        <v>-1.3939999999999994E-2</v>
      </c>
      <c r="E15" s="354">
        <v>-5.3129999999999997E-2</v>
      </c>
      <c r="F15" s="360">
        <v>-2.6290000000000001E-2</v>
      </c>
      <c r="G15" s="360">
        <v>-2.6839999999999999E-2</v>
      </c>
      <c r="H15" s="360">
        <v>0</v>
      </c>
      <c r="I15" s="360">
        <v>-5.3129999999999997E-2</v>
      </c>
      <c r="J15" s="360">
        <v>-1.3139999999999992E-2</v>
      </c>
      <c r="K15" s="360">
        <v>3.3680000000000002E-2</v>
      </c>
      <c r="L15" s="360">
        <v>5.0699999999999999E-3</v>
      </c>
      <c r="M15" s="421">
        <v>0</v>
      </c>
      <c r="N15" s="421">
        <v>0</v>
      </c>
      <c r="O15" s="361"/>
      <c r="P15" s="361"/>
      <c r="Q15" s="361"/>
      <c r="R15" s="361"/>
      <c r="S15" s="361"/>
      <c r="T15" s="361"/>
      <c r="U15" s="361"/>
      <c r="V15" s="361">
        <v>1.1900000000000001E-3</v>
      </c>
      <c r="W15" s="361">
        <v>-7.5000000000000002E-4</v>
      </c>
      <c r="X15" s="14"/>
      <c r="Y15" s="14"/>
      <c r="Z15" s="14"/>
      <c r="AA15" s="14"/>
      <c r="AB15" s="14"/>
      <c r="AC15" s="14"/>
      <c r="AD15" s="14">
        <f t="shared" si="10"/>
        <v>-1.3939999999999994E-2</v>
      </c>
      <c r="AE15" s="14">
        <f t="shared" si="11"/>
        <v>0</v>
      </c>
      <c r="AF15" s="20"/>
      <c r="AG15" s="171">
        <f t="shared" si="12"/>
        <v>-4.7619999999999996E-2</v>
      </c>
      <c r="AH15" s="171">
        <f t="shared" si="1"/>
        <v>5.5100000000000001E-3</v>
      </c>
      <c r="AI15" s="171">
        <f t="shared" si="2"/>
        <v>-2.6290000000000001E-2</v>
      </c>
      <c r="AJ15" s="171">
        <f t="shared" si="3"/>
        <v>-2.6839999999999999E-2</v>
      </c>
      <c r="AK15" s="384">
        <f t="shared" si="13"/>
        <v>3.9940000000000003E-2</v>
      </c>
      <c r="AL15" s="171">
        <f t="shared" si="4"/>
        <v>-1.3189999999999993E-2</v>
      </c>
      <c r="AM15" s="20">
        <f t="shared" si="5"/>
        <v>7.500000000000024E-4</v>
      </c>
      <c r="AN15" s="20">
        <f t="shared" si="14"/>
        <v>-5.3129999999999997E-2</v>
      </c>
      <c r="AO15" s="20">
        <f t="shared" si="6"/>
        <v>-7.5000000000000002E-4</v>
      </c>
      <c r="AQ15" s="20">
        <f t="shared" si="7"/>
        <v>3.3680000000000002E-2</v>
      </c>
      <c r="AS15" s="20">
        <f>+'Rates in detail'!Q15</f>
        <v>-2.198E-2</v>
      </c>
      <c r="AT15" s="20"/>
      <c r="AU15" s="20"/>
      <c r="AV15" s="20">
        <f t="shared" si="8"/>
        <v>5.0699999999999999E-3</v>
      </c>
      <c r="AW15" s="20">
        <f t="shared" si="9"/>
        <v>1.1900000000000001E-3</v>
      </c>
      <c r="AX15" s="20">
        <f t="shared" si="15"/>
        <v>6.2599999999999999E-3</v>
      </c>
      <c r="AZ15" s="415">
        <v>3.3680000000000002E-2</v>
      </c>
      <c r="BA15" s="415">
        <v>6.2599999999999999E-3</v>
      </c>
      <c r="BB15" s="415">
        <v>-5.3129999999999997E-2</v>
      </c>
      <c r="BC15" s="448">
        <v>-7.5000000000000002E-4</v>
      </c>
      <c r="BD15" s="448">
        <v>0</v>
      </c>
      <c r="BF15" s="20">
        <f t="shared" si="16"/>
        <v>6.2600000000000017E-3</v>
      </c>
      <c r="BG15" s="20">
        <f t="shared" si="17"/>
        <v>-4.6869999999999995E-2</v>
      </c>
    </row>
    <row r="16" spans="1:59" x14ac:dyDescent="0.2">
      <c r="A16" s="4">
        <f t="shared" si="0"/>
        <v>10</v>
      </c>
      <c r="B16" s="16" t="s">
        <v>12</v>
      </c>
      <c r="C16" s="13"/>
      <c r="D16" s="354">
        <v>-1.8099999999999991E-2</v>
      </c>
      <c r="E16" s="354">
        <v>-5.3129999999999997E-2</v>
      </c>
      <c r="F16" s="360">
        <v>-2.6290000000000001E-2</v>
      </c>
      <c r="G16" s="360">
        <v>-2.6839999999999999E-2</v>
      </c>
      <c r="H16" s="360">
        <v>0</v>
      </c>
      <c r="I16" s="360">
        <v>-5.3129999999999997E-2</v>
      </c>
      <c r="J16" s="360">
        <v>-1.3139999999999992E-2</v>
      </c>
      <c r="K16" s="360">
        <v>3.0110000000000001E-2</v>
      </c>
      <c r="L16" s="360">
        <v>4.5300000000000002E-3</v>
      </c>
      <c r="M16" s="421">
        <v>0</v>
      </c>
      <c r="N16" s="421">
        <v>0</v>
      </c>
      <c r="O16" s="361"/>
      <c r="P16" s="361"/>
      <c r="Q16" s="361"/>
      <c r="R16" s="361"/>
      <c r="S16" s="361"/>
      <c r="T16" s="361"/>
      <c r="U16" s="361"/>
      <c r="V16" s="361">
        <v>1.06E-3</v>
      </c>
      <c r="W16" s="361">
        <v>-6.7000000000000002E-4</v>
      </c>
      <c r="X16" s="14"/>
      <c r="Y16" s="14"/>
      <c r="Z16" s="14"/>
      <c r="AA16" s="14"/>
      <c r="AB16" s="14"/>
      <c r="AC16" s="14"/>
      <c r="AD16" s="14">
        <f t="shared" si="10"/>
        <v>-1.8099999999999991E-2</v>
      </c>
      <c r="AE16" s="14">
        <f t="shared" si="11"/>
        <v>0</v>
      </c>
      <c r="AF16" s="20"/>
      <c r="AG16" s="171">
        <f t="shared" si="12"/>
        <v>-4.8209999999999989E-2</v>
      </c>
      <c r="AH16" s="171">
        <f t="shared" si="1"/>
        <v>4.9199999999999999E-3</v>
      </c>
      <c r="AI16" s="171">
        <f t="shared" si="2"/>
        <v>-2.6290000000000001E-2</v>
      </c>
      <c r="AJ16" s="171">
        <f t="shared" si="3"/>
        <v>-2.6839999999999999E-2</v>
      </c>
      <c r="AK16" s="384">
        <f t="shared" si="13"/>
        <v>3.5700000000000003E-2</v>
      </c>
      <c r="AL16" s="171">
        <f t="shared" si="4"/>
        <v>-1.7429999999999994E-2</v>
      </c>
      <c r="AM16" s="20">
        <f t="shared" si="5"/>
        <v>6.6999999999999785E-4</v>
      </c>
      <c r="AN16" s="20">
        <f t="shared" si="14"/>
        <v>-5.3129999999999997E-2</v>
      </c>
      <c r="AO16" s="20">
        <f t="shared" si="6"/>
        <v>-6.7000000000000002E-4</v>
      </c>
      <c r="AQ16" s="20">
        <f t="shared" si="7"/>
        <v>3.0110000000000001E-2</v>
      </c>
      <c r="AS16" s="20">
        <f>+'Rates in detail'!Q16</f>
        <v>-1.959E-2</v>
      </c>
      <c r="AT16" s="20"/>
      <c r="AU16" s="20"/>
      <c r="AV16" s="20">
        <f t="shared" si="8"/>
        <v>4.5300000000000002E-3</v>
      </c>
      <c r="AW16" s="20">
        <f t="shared" si="9"/>
        <v>1.06E-3</v>
      </c>
      <c r="AX16" s="20">
        <f t="shared" si="15"/>
        <v>5.5900000000000004E-3</v>
      </c>
      <c r="AZ16" s="415">
        <v>3.0110000000000001E-2</v>
      </c>
      <c r="BA16" s="415">
        <v>5.5900000000000004E-3</v>
      </c>
      <c r="BB16" s="415">
        <v>-5.3129999999999997E-2</v>
      </c>
      <c r="BC16" s="448">
        <v>-6.7000000000000002E-4</v>
      </c>
      <c r="BD16" s="448">
        <v>0</v>
      </c>
      <c r="BF16" s="20">
        <f t="shared" si="16"/>
        <v>5.5900000000000012E-3</v>
      </c>
      <c r="BG16" s="20">
        <f t="shared" si="17"/>
        <v>-4.7539999999999999E-2</v>
      </c>
    </row>
    <row r="17" spans="1:59" x14ac:dyDescent="0.2">
      <c r="A17" s="4">
        <f t="shared" si="0"/>
        <v>11</v>
      </c>
      <c r="B17" s="16" t="s">
        <v>13</v>
      </c>
      <c r="C17" s="13"/>
      <c r="D17" s="354">
        <v>-4.8729999999999996E-2</v>
      </c>
      <c r="E17" s="354">
        <v>-5.3129999999999997E-2</v>
      </c>
      <c r="F17" s="360">
        <v>-2.6290000000000001E-2</v>
      </c>
      <c r="G17" s="360">
        <v>-2.6839999999999999E-2</v>
      </c>
      <c r="H17" s="360">
        <v>0</v>
      </c>
      <c r="I17" s="360">
        <v>-5.3129999999999997E-2</v>
      </c>
      <c r="J17" s="360">
        <v>-1.3139999999999992E-2</v>
      </c>
      <c r="K17" s="360">
        <v>0</v>
      </c>
      <c r="L17" s="360">
        <v>4.0499999999999998E-3</v>
      </c>
      <c r="M17" s="421">
        <v>0</v>
      </c>
      <c r="N17" s="421">
        <v>0</v>
      </c>
      <c r="O17" s="361"/>
      <c r="P17" s="361"/>
      <c r="Q17" s="361"/>
      <c r="R17" s="361"/>
      <c r="S17" s="361"/>
      <c r="T17" s="361"/>
      <c r="U17" s="361"/>
      <c r="V17" s="361">
        <v>9.5E-4</v>
      </c>
      <c r="W17" s="361">
        <v>-5.9999999999999995E-4</v>
      </c>
      <c r="X17" s="14"/>
      <c r="Y17" s="14"/>
      <c r="Z17" s="14"/>
      <c r="AA17" s="14"/>
      <c r="AB17" s="14"/>
      <c r="AC17" s="14"/>
      <c r="AD17" s="14">
        <f t="shared" si="10"/>
        <v>-4.8729999999999996E-2</v>
      </c>
      <c r="AE17" s="14">
        <f t="shared" si="11"/>
        <v>0</v>
      </c>
      <c r="AF17" s="20"/>
      <c r="AG17" s="171">
        <f t="shared" si="12"/>
        <v>-4.8729999999999996E-2</v>
      </c>
      <c r="AH17" s="171">
        <f t="shared" si="1"/>
        <v>4.3999999999999994E-3</v>
      </c>
      <c r="AI17" s="171">
        <f t="shared" si="2"/>
        <v>-2.6290000000000001E-2</v>
      </c>
      <c r="AJ17" s="171">
        <f t="shared" si="3"/>
        <v>-2.6839999999999999E-2</v>
      </c>
      <c r="AK17" s="384">
        <f t="shared" si="13"/>
        <v>5.0000000000000001E-3</v>
      </c>
      <c r="AL17" s="171">
        <f t="shared" si="4"/>
        <v>-4.8129999999999999E-2</v>
      </c>
      <c r="AM17" s="20">
        <f t="shared" si="5"/>
        <v>5.9999999999999984E-4</v>
      </c>
      <c r="AN17" s="20">
        <f t="shared" si="14"/>
        <v>-5.3129999999999997E-2</v>
      </c>
      <c r="AO17" s="20">
        <f t="shared" si="6"/>
        <v>-5.9999999999999995E-4</v>
      </c>
      <c r="AQ17" s="20">
        <f t="shared" si="7"/>
        <v>0</v>
      </c>
      <c r="AS17" s="20">
        <f>+'Rates in detail'!Q17</f>
        <v>-1.6570000000000001E-2</v>
      </c>
      <c r="AT17" s="20"/>
      <c r="AU17" s="20"/>
      <c r="AV17" s="20">
        <f t="shared" si="8"/>
        <v>4.0499999999999998E-3</v>
      </c>
      <c r="AW17" s="20">
        <f t="shared" si="9"/>
        <v>9.5E-4</v>
      </c>
      <c r="AX17" s="20">
        <f t="shared" si="15"/>
        <v>5.0000000000000001E-3</v>
      </c>
      <c r="AZ17" s="415">
        <v>0</v>
      </c>
      <c r="BA17" s="415">
        <v>5.0000000000000001E-3</v>
      </c>
      <c r="BB17" s="415">
        <v>-5.3129999999999997E-2</v>
      </c>
      <c r="BC17" s="448">
        <v>-5.9999999999999995E-4</v>
      </c>
      <c r="BD17" s="448">
        <v>0</v>
      </c>
      <c r="BF17" s="20">
        <f t="shared" si="16"/>
        <v>5.0000000000000001E-3</v>
      </c>
      <c r="BG17" s="20">
        <f t="shared" si="17"/>
        <v>-4.8129999999999999E-2</v>
      </c>
    </row>
    <row r="18" spans="1:59" x14ac:dyDescent="0.2">
      <c r="A18" s="4">
        <f t="shared" si="0"/>
        <v>12</v>
      </c>
      <c r="B18" s="68">
        <v>27</v>
      </c>
      <c r="C18" s="21"/>
      <c r="D18" s="354">
        <v>-2.6839999999999999E-2</v>
      </c>
      <c r="E18" s="354">
        <v>-5.3129999999999997E-2</v>
      </c>
      <c r="F18" s="360">
        <v>-2.6290000000000001E-2</v>
      </c>
      <c r="G18" s="360">
        <v>-2.6839999999999999E-2</v>
      </c>
      <c r="H18" s="360">
        <v>0</v>
      </c>
      <c r="I18" s="360">
        <v>-5.3129999999999997E-2</v>
      </c>
      <c r="J18" s="360">
        <v>-1.3139999999999992E-2</v>
      </c>
      <c r="K18" s="360">
        <v>2.2589999999999999E-2</v>
      </c>
      <c r="L18" s="360">
        <v>3.3999999999999998E-3</v>
      </c>
      <c r="M18" s="421">
        <v>0</v>
      </c>
      <c r="N18" s="421">
        <v>0</v>
      </c>
      <c r="O18" s="361"/>
      <c r="P18" s="361"/>
      <c r="Q18" s="361"/>
      <c r="R18" s="361"/>
      <c r="S18" s="361"/>
      <c r="T18" s="361"/>
      <c r="U18" s="361"/>
      <c r="V18" s="361">
        <v>8.0000000000000004E-4</v>
      </c>
      <c r="W18" s="361">
        <v>-5.0000000000000001E-4</v>
      </c>
      <c r="X18" s="14"/>
      <c r="Y18" s="14"/>
      <c r="Z18" s="14"/>
      <c r="AA18" s="14"/>
      <c r="AB18" s="14"/>
      <c r="AC18" s="14"/>
      <c r="AD18" s="14">
        <f t="shared" si="10"/>
        <v>-2.6839999999999999E-2</v>
      </c>
      <c r="AE18" s="14">
        <f t="shared" si="11"/>
        <v>0</v>
      </c>
      <c r="AF18" s="20"/>
      <c r="AG18" s="171">
        <f t="shared" si="12"/>
        <v>-4.9430000000000002E-2</v>
      </c>
      <c r="AH18" s="171">
        <f t="shared" si="1"/>
        <v>3.6999999999999997E-3</v>
      </c>
      <c r="AI18" s="171">
        <f t="shared" si="2"/>
        <v>-2.6290000000000001E-2</v>
      </c>
      <c r="AJ18" s="171">
        <f t="shared" si="3"/>
        <v>-2.6839999999999999E-2</v>
      </c>
      <c r="AK18" s="384">
        <f t="shared" si="13"/>
        <v>2.6789999999999998E-2</v>
      </c>
      <c r="AL18" s="171">
        <f t="shared" si="4"/>
        <v>-2.6339999999999999E-2</v>
      </c>
      <c r="AM18" s="20">
        <f t="shared" si="5"/>
        <v>4.9999999999999958E-4</v>
      </c>
      <c r="AN18" s="20">
        <f t="shared" si="14"/>
        <v>-5.3129999999999997E-2</v>
      </c>
      <c r="AO18" s="20">
        <f t="shared" si="6"/>
        <v>-5.0000000000000001E-4</v>
      </c>
      <c r="AQ18" s="20">
        <f t="shared" si="7"/>
        <v>2.2589999999999999E-2</v>
      </c>
      <c r="AS18" s="20">
        <f>+'Rates in detail'!Q18</f>
        <v>-1.5990000000000001E-2</v>
      </c>
      <c r="AT18" s="20"/>
      <c r="AU18" s="20"/>
      <c r="AV18" s="20">
        <f t="shared" si="8"/>
        <v>3.3999999999999998E-3</v>
      </c>
      <c r="AW18" s="20">
        <f t="shared" si="9"/>
        <v>8.0000000000000004E-4</v>
      </c>
      <c r="AX18" s="20">
        <f t="shared" si="15"/>
        <v>4.1999999999999997E-3</v>
      </c>
      <c r="AZ18" s="415">
        <v>2.2589999999999999E-2</v>
      </c>
      <c r="BA18" s="415">
        <v>4.1999999999999997E-3</v>
      </c>
      <c r="BB18" s="415">
        <v>-5.3129999999999997E-2</v>
      </c>
      <c r="BC18" s="448">
        <v>-5.0000000000000001E-4</v>
      </c>
      <c r="BD18" s="448">
        <v>0</v>
      </c>
      <c r="BF18" s="20">
        <f t="shared" si="16"/>
        <v>4.1999999999999989E-3</v>
      </c>
      <c r="BG18" s="20">
        <f t="shared" si="17"/>
        <v>-4.8930000000000001E-2</v>
      </c>
    </row>
    <row r="19" spans="1:59" x14ac:dyDescent="0.2">
      <c r="A19" s="4">
        <f t="shared" si="0"/>
        <v>13</v>
      </c>
      <c r="B19" s="63" t="s">
        <v>242</v>
      </c>
      <c r="C19" s="18" t="s">
        <v>6</v>
      </c>
      <c r="D19" s="356">
        <v>-2.5939999999999998E-2</v>
      </c>
      <c r="E19" s="356">
        <v>-5.3129999999999997E-2</v>
      </c>
      <c r="F19" s="422">
        <v>-2.6290000000000001E-2</v>
      </c>
      <c r="G19" s="422">
        <v>-2.6839999999999999E-2</v>
      </c>
      <c r="H19" s="422">
        <v>0</v>
      </c>
      <c r="I19" s="422">
        <v>-5.3129999999999997E-2</v>
      </c>
      <c r="J19" s="422">
        <v>-1.3139999999999992E-2</v>
      </c>
      <c r="K19" s="422">
        <v>2.3369999999999998E-2</v>
      </c>
      <c r="L19" s="422">
        <v>3.5200000000000001E-3</v>
      </c>
      <c r="M19" s="423">
        <v>0</v>
      </c>
      <c r="N19" s="423">
        <v>0</v>
      </c>
      <c r="O19" s="424"/>
      <c r="P19" s="424"/>
      <c r="Q19" s="424"/>
      <c r="R19" s="424"/>
      <c r="S19" s="424"/>
      <c r="T19" s="424"/>
      <c r="U19" s="424"/>
      <c r="V19" s="424">
        <v>8.1999999999999998E-4</v>
      </c>
      <c r="W19" s="424">
        <v>-5.1999999999999995E-4</v>
      </c>
      <c r="X19" s="20"/>
      <c r="Y19" s="20"/>
      <c r="Z19" s="20"/>
      <c r="AA19" s="20"/>
      <c r="AB19" s="20"/>
      <c r="AC19" s="20"/>
      <c r="AD19" s="20">
        <f t="shared" si="10"/>
        <v>-2.5939999999999998E-2</v>
      </c>
      <c r="AE19" s="20">
        <f t="shared" si="11"/>
        <v>0</v>
      </c>
      <c r="AF19" s="20"/>
      <c r="AG19" s="171">
        <f t="shared" si="12"/>
        <v>-4.9309999999999993E-2</v>
      </c>
      <c r="AH19" s="171">
        <f t="shared" si="1"/>
        <v>3.82E-3</v>
      </c>
      <c r="AI19" s="171">
        <f t="shared" si="2"/>
        <v>-2.6290000000000001E-2</v>
      </c>
      <c r="AJ19" s="171">
        <f t="shared" si="3"/>
        <v>-2.6839999999999999E-2</v>
      </c>
      <c r="AK19" s="384">
        <f t="shared" si="13"/>
        <v>2.7709999999999999E-2</v>
      </c>
      <c r="AL19" s="171">
        <f t="shared" si="4"/>
        <v>-2.5419999999999998E-2</v>
      </c>
      <c r="AM19" s="20">
        <f t="shared" si="5"/>
        <v>5.1999999999999963E-4</v>
      </c>
      <c r="AN19" s="20">
        <f t="shared" si="14"/>
        <v>-5.3129999999999997E-2</v>
      </c>
      <c r="AO19" s="20">
        <f t="shared" si="6"/>
        <v>-5.1999999999999995E-4</v>
      </c>
      <c r="AQ19" s="20">
        <f t="shared" si="7"/>
        <v>2.3369999999999998E-2</v>
      </c>
      <c r="AS19" s="20">
        <f>+'Rates in detail'!Q19</f>
        <v>-1.447E-2</v>
      </c>
      <c r="AT19" s="20"/>
      <c r="AU19" s="20"/>
      <c r="AV19" s="20">
        <f t="shared" si="8"/>
        <v>3.5200000000000001E-3</v>
      </c>
      <c r="AW19" s="20">
        <f t="shared" si="9"/>
        <v>8.1999999999999998E-4</v>
      </c>
      <c r="AX19" s="20">
        <f t="shared" si="15"/>
        <v>4.3400000000000001E-3</v>
      </c>
      <c r="AZ19" s="415">
        <v>2.3369999999999998E-2</v>
      </c>
      <c r="BA19" s="415">
        <v>4.3400000000000001E-3</v>
      </c>
      <c r="BB19" s="415">
        <v>-5.3129999999999997E-2</v>
      </c>
      <c r="BC19" s="448">
        <v>-5.1999999999999995E-4</v>
      </c>
      <c r="BD19" s="448">
        <v>0</v>
      </c>
      <c r="BF19" s="20">
        <f t="shared" si="16"/>
        <v>4.3400000000000001E-3</v>
      </c>
      <c r="BG19" s="20">
        <f t="shared" si="17"/>
        <v>-4.879E-2</v>
      </c>
    </row>
    <row r="20" spans="1:59" x14ac:dyDescent="0.2">
      <c r="A20" s="4">
        <f t="shared" si="0"/>
        <v>14</v>
      </c>
      <c r="B20" s="68"/>
      <c r="C20" s="22" t="s">
        <v>7</v>
      </c>
      <c r="D20" s="354">
        <v>-2.9169999999999995E-2</v>
      </c>
      <c r="E20" s="354">
        <v>-5.3129999999999997E-2</v>
      </c>
      <c r="F20" s="360">
        <v>-2.6290000000000001E-2</v>
      </c>
      <c r="G20" s="360">
        <v>-2.6839999999999999E-2</v>
      </c>
      <c r="H20" s="360">
        <v>0</v>
      </c>
      <c r="I20" s="360">
        <v>-5.3129999999999997E-2</v>
      </c>
      <c r="J20" s="360">
        <v>-1.3139999999999992E-2</v>
      </c>
      <c r="K20" s="360">
        <v>2.0590000000000001E-2</v>
      </c>
      <c r="L20" s="360">
        <v>3.0999999999999999E-3</v>
      </c>
      <c r="M20" s="421">
        <v>0</v>
      </c>
      <c r="N20" s="421">
        <v>0</v>
      </c>
      <c r="O20" s="361"/>
      <c r="P20" s="361"/>
      <c r="Q20" s="361"/>
      <c r="R20" s="361"/>
      <c r="S20" s="361"/>
      <c r="T20" s="361"/>
      <c r="U20" s="361"/>
      <c r="V20" s="361">
        <v>7.2999999999999996E-4</v>
      </c>
      <c r="W20" s="361">
        <v>-4.6000000000000001E-4</v>
      </c>
      <c r="X20" s="14"/>
      <c r="Y20" s="14"/>
      <c r="Z20" s="14"/>
      <c r="AA20" s="14"/>
      <c r="AB20" s="14"/>
      <c r="AC20" s="14"/>
      <c r="AD20" s="14">
        <f t="shared" si="10"/>
        <v>-2.9169999999999995E-2</v>
      </c>
      <c r="AE20" s="14">
        <f t="shared" si="11"/>
        <v>0</v>
      </c>
      <c r="AF20" s="20"/>
      <c r="AG20" s="171">
        <f t="shared" si="12"/>
        <v>-4.9759999999999999E-2</v>
      </c>
      <c r="AH20" s="171">
        <f t="shared" si="1"/>
        <v>3.3699999999999997E-3</v>
      </c>
      <c r="AI20" s="171">
        <f t="shared" si="2"/>
        <v>-2.6290000000000001E-2</v>
      </c>
      <c r="AJ20" s="171">
        <f t="shared" si="3"/>
        <v>-2.6839999999999999E-2</v>
      </c>
      <c r="AK20" s="384">
        <f t="shared" si="13"/>
        <v>2.4420000000000001E-2</v>
      </c>
      <c r="AL20" s="171">
        <f t="shared" si="4"/>
        <v>-2.8709999999999996E-2</v>
      </c>
      <c r="AM20" s="20">
        <f t="shared" si="5"/>
        <v>4.599999999999986E-4</v>
      </c>
      <c r="AN20" s="20">
        <f t="shared" si="14"/>
        <v>-5.3129999999999997E-2</v>
      </c>
      <c r="AO20" s="20">
        <f t="shared" si="6"/>
        <v>-4.6000000000000001E-4</v>
      </c>
      <c r="AQ20" s="20">
        <f t="shared" si="7"/>
        <v>2.0590000000000001E-2</v>
      </c>
      <c r="AS20" s="20">
        <f>+'Rates in detail'!Q20</f>
        <v>-1.274E-2</v>
      </c>
      <c r="AT20" s="20"/>
      <c r="AU20" s="20"/>
      <c r="AV20" s="20">
        <f t="shared" si="8"/>
        <v>3.0999999999999999E-3</v>
      </c>
      <c r="AW20" s="20">
        <f t="shared" si="9"/>
        <v>7.2999999999999996E-4</v>
      </c>
      <c r="AX20" s="20">
        <f t="shared" si="15"/>
        <v>3.8300000000000001E-3</v>
      </c>
      <c r="AZ20" s="415">
        <v>2.0590000000000001E-2</v>
      </c>
      <c r="BA20" s="415">
        <v>3.8300000000000001E-3</v>
      </c>
      <c r="BB20" s="415">
        <v>-5.3129999999999997E-2</v>
      </c>
      <c r="BC20" s="448">
        <v>-4.6000000000000001E-4</v>
      </c>
      <c r="BD20" s="448">
        <v>0</v>
      </c>
      <c r="BF20" s="20">
        <f t="shared" si="16"/>
        <v>3.8300000000000001E-3</v>
      </c>
      <c r="BG20" s="20">
        <f t="shared" si="17"/>
        <v>-4.9299999999999997E-2</v>
      </c>
    </row>
    <row r="21" spans="1:59" x14ac:dyDescent="0.2">
      <c r="A21" s="4">
        <f t="shared" si="0"/>
        <v>15</v>
      </c>
      <c r="B21" s="63" t="s">
        <v>243</v>
      </c>
      <c r="C21" s="18" t="s">
        <v>6</v>
      </c>
      <c r="D21" s="356">
        <v>-9.779999999999997E-3</v>
      </c>
      <c r="E21" s="356">
        <v>-3.5659999999999997E-2</v>
      </c>
      <c r="F21" s="422">
        <v>-2.6290000000000001E-2</v>
      </c>
      <c r="G21" s="422">
        <v>0</v>
      </c>
      <c r="H21" s="422">
        <v>-9.3699999999999999E-3</v>
      </c>
      <c r="I21" s="422">
        <v>-3.5659999999999997E-2</v>
      </c>
      <c r="J21" s="422">
        <v>-1.9099999999999999E-2</v>
      </c>
      <c r="K21" s="422">
        <v>2.2190000000000001E-2</v>
      </c>
      <c r="L21" s="422">
        <v>3.4199999999999999E-3</v>
      </c>
      <c r="M21" s="423">
        <v>0</v>
      </c>
      <c r="N21" s="423">
        <v>0</v>
      </c>
      <c r="O21" s="424"/>
      <c r="P21" s="424"/>
      <c r="Q21" s="424"/>
      <c r="R21" s="424"/>
      <c r="S21" s="424"/>
      <c r="T21" s="424"/>
      <c r="U21" s="424"/>
      <c r="V21" s="424">
        <v>8.0000000000000004E-4</v>
      </c>
      <c r="W21" s="424">
        <v>-5.2999999999999998E-4</v>
      </c>
      <c r="X21" s="20"/>
      <c r="Y21" s="20"/>
      <c r="Z21" s="20"/>
      <c r="AA21" s="20"/>
      <c r="AB21" s="20"/>
      <c r="AC21" s="20"/>
      <c r="AD21" s="20">
        <f t="shared" si="10"/>
        <v>-9.779999999999997E-3</v>
      </c>
      <c r="AE21" s="20">
        <f>+AD21-D21</f>
        <v>0</v>
      </c>
      <c r="AF21" s="20"/>
      <c r="AG21" s="171">
        <f t="shared" si="12"/>
        <v>-3.1969999999999998E-2</v>
      </c>
      <c r="AH21" s="171">
        <f t="shared" si="1"/>
        <v>3.6899999999999997E-3</v>
      </c>
      <c r="AI21" s="171">
        <f t="shared" ref="AI21:AI53" si="18">+F21</f>
        <v>-2.6290000000000001E-2</v>
      </c>
      <c r="AJ21" s="171">
        <f t="shared" ref="AJ21:AJ53" si="19">+G21+H21</f>
        <v>-9.3699999999999999E-3</v>
      </c>
      <c r="AK21" s="384">
        <f t="shared" si="13"/>
        <v>2.6409999999999999E-2</v>
      </c>
      <c r="AL21" s="171">
        <f t="shared" si="4"/>
        <v>-9.2499999999999978E-3</v>
      </c>
      <c r="AM21" s="20">
        <f t="shared" si="5"/>
        <v>5.2999999999999749E-4</v>
      </c>
      <c r="AN21" s="20">
        <f t="shared" si="14"/>
        <v>-3.5659999999999997E-2</v>
      </c>
      <c r="AO21" s="20">
        <f t="shared" si="6"/>
        <v>-5.2999999999999998E-4</v>
      </c>
      <c r="AQ21" s="20">
        <f t="shared" si="7"/>
        <v>2.2190000000000001E-2</v>
      </c>
      <c r="AS21" s="20">
        <f>+'Rates in detail'!Q21</f>
        <v>-1.5519999999999999E-2</v>
      </c>
      <c r="AT21" s="20"/>
      <c r="AU21" s="20"/>
      <c r="AV21" s="20">
        <f t="shared" si="8"/>
        <v>3.4199999999999999E-3</v>
      </c>
      <c r="AW21" s="20">
        <f t="shared" si="9"/>
        <v>8.0000000000000004E-4</v>
      </c>
      <c r="AX21" s="20">
        <f t="shared" si="15"/>
        <v>4.2199999999999998E-3</v>
      </c>
      <c r="AZ21" s="415">
        <v>2.2190000000000001E-2</v>
      </c>
      <c r="BA21" s="415">
        <v>4.2199999999999998E-3</v>
      </c>
      <c r="BB21" s="415">
        <v>-3.5659999999999997E-2</v>
      </c>
      <c r="BC21" s="448">
        <v>-5.2999999999999998E-4</v>
      </c>
      <c r="BD21" s="448">
        <v>0</v>
      </c>
      <c r="BF21" s="20">
        <f t="shared" si="16"/>
        <v>4.2199999999999981E-3</v>
      </c>
      <c r="BG21" s="20">
        <f t="shared" si="17"/>
        <v>-3.1439999999999996E-2</v>
      </c>
    </row>
    <row r="22" spans="1:59" x14ac:dyDescent="0.2">
      <c r="A22" s="4">
        <f t="shared" si="0"/>
        <v>16</v>
      </c>
      <c r="B22" s="68"/>
      <c r="C22" s="22" t="s">
        <v>7</v>
      </c>
      <c r="D22" s="354">
        <v>-1.286E-2</v>
      </c>
      <c r="E22" s="354">
        <v>-3.5659999999999997E-2</v>
      </c>
      <c r="F22" s="360">
        <v>-2.6290000000000001E-2</v>
      </c>
      <c r="G22" s="360">
        <v>0</v>
      </c>
      <c r="H22" s="360">
        <v>-9.3699999999999999E-3</v>
      </c>
      <c r="I22" s="360">
        <v>-3.5659999999999997E-2</v>
      </c>
      <c r="J22" s="360">
        <v>-1.9099999999999999E-2</v>
      </c>
      <c r="K22" s="360">
        <v>1.9550000000000001E-2</v>
      </c>
      <c r="L22" s="360">
        <v>3.0100000000000001E-3</v>
      </c>
      <c r="M22" s="421">
        <v>0</v>
      </c>
      <c r="N22" s="421">
        <v>0</v>
      </c>
      <c r="O22" s="361"/>
      <c r="P22" s="361"/>
      <c r="Q22" s="361"/>
      <c r="R22" s="361"/>
      <c r="S22" s="361"/>
      <c r="T22" s="361"/>
      <c r="U22" s="361"/>
      <c r="V22" s="361">
        <v>7.1000000000000002E-4</v>
      </c>
      <c r="W22" s="361">
        <v>-4.6999999999999999E-4</v>
      </c>
      <c r="X22" s="14"/>
      <c r="Y22" s="14"/>
      <c r="Z22" s="14"/>
      <c r="AA22" s="14"/>
      <c r="AB22" s="14"/>
      <c r="AC22" s="14"/>
      <c r="AD22" s="14">
        <f t="shared" si="10"/>
        <v>-1.286E-2</v>
      </c>
      <c r="AE22" s="14">
        <f>+AD22-D22</f>
        <v>0</v>
      </c>
      <c r="AF22" s="20"/>
      <c r="AG22" s="171">
        <f t="shared" si="12"/>
        <v>-3.2410000000000001E-2</v>
      </c>
      <c r="AH22" s="171">
        <f t="shared" si="1"/>
        <v>3.2500000000000003E-3</v>
      </c>
      <c r="AI22" s="171">
        <f t="shared" si="18"/>
        <v>-2.6290000000000001E-2</v>
      </c>
      <c r="AJ22" s="171">
        <f t="shared" si="19"/>
        <v>-9.3699999999999999E-3</v>
      </c>
      <c r="AK22" s="384">
        <f t="shared" si="13"/>
        <v>2.3269999999999999E-2</v>
      </c>
      <c r="AL22" s="171">
        <f t="shared" si="4"/>
        <v>-1.2389999999999998E-2</v>
      </c>
      <c r="AM22" s="20">
        <f t="shared" si="5"/>
        <v>4.6999999999999906E-4</v>
      </c>
      <c r="AN22" s="20">
        <f t="shared" si="14"/>
        <v>-3.5659999999999997E-2</v>
      </c>
      <c r="AO22" s="20">
        <f t="shared" si="6"/>
        <v>-4.6999999999999999E-4</v>
      </c>
      <c r="AQ22" s="20">
        <f t="shared" si="7"/>
        <v>1.9550000000000001E-2</v>
      </c>
      <c r="AS22" s="20">
        <f>+'Rates in detail'!Q22</f>
        <v>-1.3679999999999999E-2</v>
      </c>
      <c r="AT22" s="20"/>
      <c r="AU22" s="20"/>
      <c r="AV22" s="20">
        <f t="shared" si="8"/>
        <v>3.0100000000000001E-3</v>
      </c>
      <c r="AW22" s="20">
        <f t="shared" si="9"/>
        <v>7.1000000000000002E-4</v>
      </c>
      <c r="AX22" s="20">
        <f t="shared" si="15"/>
        <v>3.7200000000000002E-3</v>
      </c>
      <c r="AZ22" s="415">
        <v>1.9550000000000001E-2</v>
      </c>
      <c r="BA22" s="415">
        <v>3.7200000000000002E-3</v>
      </c>
      <c r="BB22" s="415">
        <v>-3.5659999999999997E-2</v>
      </c>
      <c r="BC22" s="448">
        <v>-4.6999999999999999E-4</v>
      </c>
      <c r="BD22" s="448">
        <v>0</v>
      </c>
      <c r="BF22" s="20">
        <f t="shared" si="16"/>
        <v>3.7199999999999976E-3</v>
      </c>
      <c r="BG22" s="20">
        <f t="shared" si="17"/>
        <v>-3.1939999999999996E-2</v>
      </c>
    </row>
    <row r="23" spans="1:59" x14ac:dyDescent="0.2">
      <c r="A23" s="4">
        <f t="shared" si="0"/>
        <v>17</v>
      </c>
      <c r="B23" s="63" t="s">
        <v>126</v>
      </c>
      <c r="C23" s="18" t="s">
        <v>6</v>
      </c>
      <c r="D23" s="356">
        <v>-5.8E-4</v>
      </c>
      <c r="E23" s="356">
        <v>0</v>
      </c>
      <c r="F23" s="422">
        <v>0</v>
      </c>
      <c r="G23" s="422">
        <v>0</v>
      </c>
      <c r="H23" s="422">
        <v>0</v>
      </c>
      <c r="I23" s="422">
        <v>0</v>
      </c>
      <c r="J23" s="422">
        <v>0</v>
      </c>
      <c r="K23" s="422">
        <v>0</v>
      </c>
      <c r="L23" s="422">
        <v>0</v>
      </c>
      <c r="M23" s="423">
        <v>0</v>
      </c>
      <c r="N23" s="423">
        <v>0</v>
      </c>
      <c r="O23" s="424"/>
      <c r="P23" s="424"/>
      <c r="Q23" s="424"/>
      <c r="R23" s="424"/>
      <c r="S23" s="424"/>
      <c r="T23" s="424"/>
      <c r="U23" s="424"/>
      <c r="V23" s="424">
        <v>0</v>
      </c>
      <c r="W23" s="424">
        <v>-5.8E-4</v>
      </c>
      <c r="X23" s="20"/>
      <c r="Y23" s="20"/>
      <c r="Z23" s="20"/>
      <c r="AA23" s="20"/>
      <c r="AB23" s="20"/>
      <c r="AC23" s="20"/>
      <c r="AD23" s="20">
        <f t="shared" si="10"/>
        <v>-5.8E-4</v>
      </c>
      <c r="AE23" s="20">
        <f t="shared" si="11"/>
        <v>0</v>
      </c>
      <c r="AF23" s="20"/>
      <c r="AG23" s="171">
        <f t="shared" si="12"/>
        <v>-5.8E-4</v>
      </c>
      <c r="AH23" s="171">
        <f t="shared" si="1"/>
        <v>-5.8E-4</v>
      </c>
      <c r="AI23" s="171">
        <f t="shared" si="18"/>
        <v>0</v>
      </c>
      <c r="AJ23" s="171">
        <f t="shared" si="19"/>
        <v>0</v>
      </c>
      <c r="AK23" s="384">
        <f t="shared" si="13"/>
        <v>0</v>
      </c>
      <c r="AL23" s="171">
        <f t="shared" si="4"/>
        <v>0</v>
      </c>
      <c r="AM23" s="20">
        <f t="shared" si="5"/>
        <v>5.8E-4</v>
      </c>
      <c r="AN23" s="20">
        <f t="shared" si="14"/>
        <v>0</v>
      </c>
      <c r="AO23" s="20">
        <f t="shared" si="6"/>
        <v>-5.8E-4</v>
      </c>
      <c r="AQ23" s="20">
        <f t="shared" si="7"/>
        <v>0</v>
      </c>
      <c r="AS23" s="20">
        <f>+'Rates in detail'!Q23</f>
        <v>-1.5810000000000001E-2</v>
      </c>
      <c r="AT23" s="20"/>
      <c r="AU23" s="20"/>
      <c r="AV23" s="20">
        <f t="shared" si="8"/>
        <v>0</v>
      </c>
      <c r="AW23" s="20">
        <f t="shared" si="9"/>
        <v>0</v>
      </c>
      <c r="AX23" s="20">
        <f t="shared" si="15"/>
        <v>0</v>
      </c>
      <c r="AZ23" s="415">
        <v>0</v>
      </c>
      <c r="BA23" s="415">
        <v>0</v>
      </c>
      <c r="BB23" s="415">
        <v>0</v>
      </c>
      <c r="BC23" s="448">
        <v>-5.8E-4</v>
      </c>
      <c r="BD23" s="448">
        <v>0</v>
      </c>
      <c r="BF23" s="20">
        <f t="shared" si="16"/>
        <v>0</v>
      </c>
      <c r="BG23" s="20">
        <f t="shared" si="17"/>
        <v>0</v>
      </c>
    </row>
    <row r="24" spans="1:59" x14ac:dyDescent="0.2">
      <c r="A24" s="4">
        <f t="shared" si="0"/>
        <v>18</v>
      </c>
      <c r="B24" s="68"/>
      <c r="C24" s="22" t="s">
        <v>7</v>
      </c>
      <c r="D24" s="354">
        <v>-5.1000000000000004E-4</v>
      </c>
      <c r="E24" s="354">
        <v>0</v>
      </c>
      <c r="F24" s="360">
        <v>0</v>
      </c>
      <c r="G24" s="360">
        <v>0</v>
      </c>
      <c r="H24" s="360">
        <v>0</v>
      </c>
      <c r="I24" s="360">
        <v>0</v>
      </c>
      <c r="J24" s="360">
        <v>0</v>
      </c>
      <c r="K24" s="360">
        <v>0</v>
      </c>
      <c r="L24" s="360">
        <v>0</v>
      </c>
      <c r="M24" s="421">
        <v>0</v>
      </c>
      <c r="N24" s="421">
        <v>0</v>
      </c>
      <c r="O24" s="361"/>
      <c r="P24" s="361"/>
      <c r="Q24" s="361"/>
      <c r="R24" s="361"/>
      <c r="S24" s="361"/>
      <c r="T24" s="361"/>
      <c r="U24" s="361"/>
      <c r="V24" s="361">
        <v>0</v>
      </c>
      <c r="W24" s="361">
        <v>-5.1000000000000004E-4</v>
      </c>
      <c r="X24" s="14"/>
      <c r="Y24" s="14"/>
      <c r="Z24" s="14"/>
      <c r="AA24" s="14"/>
      <c r="AB24" s="14"/>
      <c r="AC24" s="14"/>
      <c r="AD24" s="14">
        <f t="shared" si="10"/>
        <v>-5.1000000000000004E-4</v>
      </c>
      <c r="AE24" s="14">
        <f t="shared" si="11"/>
        <v>0</v>
      </c>
      <c r="AF24" s="20"/>
      <c r="AG24" s="171">
        <f t="shared" si="12"/>
        <v>-5.1000000000000004E-4</v>
      </c>
      <c r="AH24" s="171">
        <f t="shared" si="1"/>
        <v>-5.1000000000000004E-4</v>
      </c>
      <c r="AI24" s="171">
        <f t="shared" si="18"/>
        <v>0</v>
      </c>
      <c r="AJ24" s="171">
        <f t="shared" si="19"/>
        <v>0</v>
      </c>
      <c r="AK24" s="384">
        <f t="shared" si="13"/>
        <v>0</v>
      </c>
      <c r="AL24" s="171">
        <f t="shared" si="4"/>
        <v>0</v>
      </c>
      <c r="AM24" s="20">
        <f t="shared" si="5"/>
        <v>5.1000000000000004E-4</v>
      </c>
      <c r="AN24" s="20">
        <f t="shared" si="14"/>
        <v>0</v>
      </c>
      <c r="AO24" s="20">
        <f t="shared" si="6"/>
        <v>-5.1000000000000004E-4</v>
      </c>
      <c r="AQ24" s="20">
        <f t="shared" si="7"/>
        <v>0</v>
      </c>
      <c r="AS24" s="20">
        <f>+'Rates in detail'!Q24</f>
        <v>-1.3930000000000001E-2</v>
      </c>
      <c r="AT24" s="20"/>
      <c r="AU24" s="20"/>
      <c r="AV24" s="20">
        <f t="shared" si="8"/>
        <v>0</v>
      </c>
      <c r="AW24" s="20">
        <f t="shared" si="9"/>
        <v>0</v>
      </c>
      <c r="AX24" s="20">
        <f t="shared" si="15"/>
        <v>0</v>
      </c>
      <c r="AZ24" s="415">
        <v>0</v>
      </c>
      <c r="BA24" s="415">
        <v>0</v>
      </c>
      <c r="BB24" s="415">
        <v>0</v>
      </c>
      <c r="BC24" s="448">
        <v>-5.1000000000000004E-4</v>
      </c>
      <c r="BD24" s="448">
        <v>0</v>
      </c>
      <c r="BF24" s="20">
        <f t="shared" si="16"/>
        <v>0</v>
      </c>
      <c r="BG24" s="20">
        <f t="shared" si="17"/>
        <v>0</v>
      </c>
    </row>
    <row r="25" spans="1:59" x14ac:dyDescent="0.2">
      <c r="A25" s="4">
        <f t="shared" si="0"/>
        <v>19</v>
      </c>
      <c r="B25" s="63" t="s">
        <v>244</v>
      </c>
      <c r="C25" s="18" t="s">
        <v>6</v>
      </c>
      <c r="D25" s="356">
        <v>-4.9319999999999996E-2</v>
      </c>
      <c r="E25" s="356">
        <v>-5.3129999999999997E-2</v>
      </c>
      <c r="F25" s="422">
        <v>-2.6290000000000001E-2</v>
      </c>
      <c r="G25" s="422">
        <v>-2.6839999999999999E-2</v>
      </c>
      <c r="H25" s="422">
        <v>0</v>
      </c>
      <c r="I25" s="422">
        <v>-5.3129999999999997E-2</v>
      </c>
      <c r="J25" s="422">
        <v>-1.3139999999999992E-2</v>
      </c>
      <c r="K25" s="422">
        <v>0</v>
      </c>
      <c r="L25" s="422">
        <v>3.5100000000000001E-3</v>
      </c>
      <c r="M25" s="423">
        <v>0</v>
      </c>
      <c r="N25" s="423">
        <v>0</v>
      </c>
      <c r="O25" s="424"/>
      <c r="P25" s="424"/>
      <c r="Q25" s="424"/>
      <c r="R25" s="424"/>
      <c r="S25" s="424"/>
      <c r="T25" s="424"/>
      <c r="U25" s="424"/>
      <c r="V25" s="424">
        <v>8.1999999999999998E-4</v>
      </c>
      <c r="W25" s="424">
        <v>-5.1999999999999995E-4</v>
      </c>
      <c r="X25" s="20"/>
      <c r="Y25" s="20"/>
      <c r="Z25" s="20"/>
      <c r="AA25" s="20"/>
      <c r="AB25" s="20"/>
      <c r="AC25" s="20"/>
      <c r="AD25" s="20">
        <f t="shared" si="10"/>
        <v>-4.9319999999999996E-2</v>
      </c>
      <c r="AE25" s="20">
        <f>+AD25-D25</f>
        <v>0</v>
      </c>
      <c r="AF25" s="20"/>
      <c r="AG25" s="171">
        <f t="shared" ref="AG25:AG28" si="20">+AD25-K25</f>
        <v>-4.9319999999999996E-2</v>
      </c>
      <c r="AH25" s="171">
        <f t="shared" si="1"/>
        <v>3.81E-3</v>
      </c>
      <c r="AI25" s="171">
        <f t="shared" si="18"/>
        <v>-2.6290000000000001E-2</v>
      </c>
      <c r="AJ25" s="171">
        <f t="shared" si="19"/>
        <v>-2.6839999999999999E-2</v>
      </c>
      <c r="AK25" s="384">
        <f t="shared" si="13"/>
        <v>4.3300000000000005E-3</v>
      </c>
      <c r="AL25" s="171">
        <f t="shared" si="4"/>
        <v>-4.8799999999999996E-2</v>
      </c>
      <c r="AM25" s="20">
        <f t="shared" si="5"/>
        <v>5.1999999999999963E-4</v>
      </c>
      <c r="AN25" s="20">
        <f t="shared" si="14"/>
        <v>-5.3129999999999997E-2</v>
      </c>
      <c r="AO25" s="20">
        <f t="shared" si="6"/>
        <v>-5.1999999999999995E-4</v>
      </c>
      <c r="AQ25" s="20">
        <f t="shared" si="7"/>
        <v>0</v>
      </c>
      <c r="AS25" s="20">
        <f>+'Rates in detail'!Q25</f>
        <v>-1.426E-2</v>
      </c>
      <c r="AT25" s="20"/>
      <c r="AU25" s="20"/>
      <c r="AV25" s="20">
        <f t="shared" si="8"/>
        <v>3.5100000000000001E-3</v>
      </c>
      <c r="AW25" s="20">
        <f t="shared" si="9"/>
        <v>8.1999999999999998E-4</v>
      </c>
      <c r="AX25" s="20">
        <f t="shared" si="15"/>
        <v>4.3300000000000005E-3</v>
      </c>
      <c r="AZ25" s="415">
        <v>0</v>
      </c>
      <c r="BA25" s="415">
        <v>4.3300000000000005E-3</v>
      </c>
      <c r="BB25" s="415">
        <v>-5.3129999999999997E-2</v>
      </c>
      <c r="BC25" s="448">
        <v>-5.1999999999999995E-4</v>
      </c>
      <c r="BD25" s="448">
        <v>0</v>
      </c>
      <c r="BF25" s="20">
        <f t="shared" si="16"/>
        <v>4.3300000000000005E-3</v>
      </c>
      <c r="BG25" s="20">
        <f t="shared" si="17"/>
        <v>-4.8799999999999996E-2</v>
      </c>
    </row>
    <row r="26" spans="1:59" x14ac:dyDescent="0.2">
      <c r="A26" s="4">
        <f t="shared" si="0"/>
        <v>20</v>
      </c>
      <c r="B26" s="68"/>
      <c r="C26" s="22" t="s">
        <v>7</v>
      </c>
      <c r="D26" s="354">
        <v>-4.9779999999999998E-2</v>
      </c>
      <c r="E26" s="354">
        <v>-5.3129999999999997E-2</v>
      </c>
      <c r="F26" s="360">
        <v>-2.6290000000000001E-2</v>
      </c>
      <c r="G26" s="360">
        <v>-2.6839999999999999E-2</v>
      </c>
      <c r="H26" s="360">
        <v>0</v>
      </c>
      <c r="I26" s="360">
        <v>-5.3129999999999997E-2</v>
      </c>
      <c r="J26" s="360">
        <v>-1.3139999999999992E-2</v>
      </c>
      <c r="K26" s="360">
        <v>0</v>
      </c>
      <c r="L26" s="360">
        <v>3.0899999999999999E-3</v>
      </c>
      <c r="M26" s="421">
        <v>0</v>
      </c>
      <c r="N26" s="421">
        <v>0</v>
      </c>
      <c r="O26" s="361"/>
      <c r="P26" s="361"/>
      <c r="Q26" s="361"/>
      <c r="R26" s="361"/>
      <c r="S26" s="361"/>
      <c r="T26" s="361"/>
      <c r="U26" s="361"/>
      <c r="V26" s="361">
        <v>7.2000000000000005E-4</v>
      </c>
      <c r="W26" s="361">
        <v>-4.6000000000000001E-4</v>
      </c>
      <c r="X26" s="14"/>
      <c r="Y26" s="14"/>
      <c r="Z26" s="14"/>
      <c r="AA26" s="14"/>
      <c r="AB26" s="14"/>
      <c r="AC26" s="14"/>
      <c r="AD26" s="14">
        <f t="shared" si="10"/>
        <v>-4.9779999999999998E-2</v>
      </c>
      <c r="AE26" s="14">
        <f>+AD26-D26</f>
        <v>0</v>
      </c>
      <c r="AF26" s="20"/>
      <c r="AG26" s="171">
        <f t="shared" si="20"/>
        <v>-4.9779999999999998E-2</v>
      </c>
      <c r="AH26" s="171">
        <f t="shared" si="1"/>
        <v>3.3499999999999997E-3</v>
      </c>
      <c r="AI26" s="171">
        <f t="shared" si="18"/>
        <v>-2.6290000000000001E-2</v>
      </c>
      <c r="AJ26" s="171">
        <f t="shared" si="19"/>
        <v>-2.6839999999999999E-2</v>
      </c>
      <c r="AK26" s="384">
        <f t="shared" si="13"/>
        <v>3.81E-3</v>
      </c>
      <c r="AL26" s="171">
        <f t="shared" si="4"/>
        <v>-4.9319999999999996E-2</v>
      </c>
      <c r="AM26" s="20">
        <f t="shared" si="5"/>
        <v>4.6000000000000034E-4</v>
      </c>
      <c r="AN26" s="20">
        <f t="shared" si="14"/>
        <v>-5.3129999999999997E-2</v>
      </c>
      <c r="AO26" s="20">
        <f t="shared" si="6"/>
        <v>-4.6000000000000001E-4</v>
      </c>
      <c r="AQ26" s="20">
        <f t="shared" si="7"/>
        <v>0</v>
      </c>
      <c r="AS26" s="20">
        <f>+'Rates in detail'!Q26</f>
        <v>-1.256E-2</v>
      </c>
      <c r="AT26" s="20"/>
      <c r="AU26" s="20"/>
      <c r="AV26" s="20">
        <f t="shared" si="8"/>
        <v>3.0899999999999999E-3</v>
      </c>
      <c r="AW26" s="20">
        <f t="shared" si="9"/>
        <v>7.2000000000000005E-4</v>
      </c>
      <c r="AX26" s="20">
        <f t="shared" si="15"/>
        <v>3.81E-3</v>
      </c>
      <c r="AZ26" s="415">
        <v>0</v>
      </c>
      <c r="BA26" s="415">
        <v>3.81E-3</v>
      </c>
      <c r="BB26" s="415">
        <v>-5.3129999999999997E-2</v>
      </c>
      <c r="BC26" s="448">
        <v>-4.6000000000000001E-4</v>
      </c>
      <c r="BD26" s="448">
        <v>0</v>
      </c>
      <c r="BF26" s="20">
        <f t="shared" si="16"/>
        <v>3.81E-3</v>
      </c>
      <c r="BG26" s="20">
        <f t="shared" si="17"/>
        <v>-4.9319999999999996E-2</v>
      </c>
    </row>
    <row r="27" spans="1:59" x14ac:dyDescent="0.2">
      <c r="A27" s="4">
        <f t="shared" si="0"/>
        <v>21</v>
      </c>
      <c r="B27" s="63" t="s">
        <v>245</v>
      </c>
      <c r="C27" s="18" t="s">
        <v>6</v>
      </c>
      <c r="D27" s="356">
        <v>-3.1969999999999998E-2</v>
      </c>
      <c r="E27" s="356">
        <v>-3.5659999999999997E-2</v>
      </c>
      <c r="F27" s="422">
        <v>-2.6290000000000001E-2</v>
      </c>
      <c r="G27" s="422">
        <v>0</v>
      </c>
      <c r="H27" s="422">
        <v>-9.3699999999999999E-3</v>
      </c>
      <c r="I27" s="422">
        <v>-3.5659999999999997E-2</v>
      </c>
      <c r="J27" s="422">
        <v>-1.9099999999999999E-2</v>
      </c>
      <c r="K27" s="422">
        <v>0</v>
      </c>
      <c r="L27" s="422">
        <v>3.4199999999999999E-3</v>
      </c>
      <c r="M27" s="423">
        <v>0</v>
      </c>
      <c r="N27" s="423">
        <v>0</v>
      </c>
      <c r="O27" s="424"/>
      <c r="P27" s="424"/>
      <c r="Q27" s="424"/>
      <c r="R27" s="424"/>
      <c r="S27" s="424"/>
      <c r="T27" s="424"/>
      <c r="U27" s="424"/>
      <c r="V27" s="424">
        <v>8.0000000000000004E-4</v>
      </c>
      <c r="W27" s="424">
        <v>-5.2999999999999998E-4</v>
      </c>
      <c r="X27" s="20"/>
      <c r="Y27" s="20"/>
      <c r="Z27" s="20"/>
      <c r="AA27" s="20"/>
      <c r="AB27" s="20"/>
      <c r="AC27" s="20"/>
      <c r="AD27" s="20">
        <f t="shared" si="10"/>
        <v>-3.1969999999999998E-2</v>
      </c>
      <c r="AE27" s="20">
        <f t="shared" si="11"/>
        <v>0</v>
      </c>
      <c r="AF27" s="20"/>
      <c r="AG27" s="171">
        <f t="shared" si="20"/>
        <v>-3.1969999999999998E-2</v>
      </c>
      <c r="AH27" s="171">
        <f t="shared" si="1"/>
        <v>3.6899999999999997E-3</v>
      </c>
      <c r="AI27" s="171">
        <f t="shared" si="18"/>
        <v>-2.6290000000000001E-2</v>
      </c>
      <c r="AJ27" s="171">
        <f t="shared" si="19"/>
        <v>-9.3699999999999999E-3</v>
      </c>
      <c r="AK27" s="384">
        <f t="shared" si="13"/>
        <v>4.2199999999999998E-3</v>
      </c>
      <c r="AL27" s="171">
        <f t="shared" si="4"/>
        <v>-3.1439999999999996E-2</v>
      </c>
      <c r="AM27" s="20">
        <f t="shared" si="5"/>
        <v>5.3000000000000009E-4</v>
      </c>
      <c r="AN27" s="20">
        <f t="shared" si="14"/>
        <v>-3.5659999999999997E-2</v>
      </c>
      <c r="AO27" s="20">
        <f t="shared" si="6"/>
        <v>-5.2999999999999998E-4</v>
      </c>
      <c r="AQ27" s="20">
        <f t="shared" si="7"/>
        <v>0</v>
      </c>
      <c r="AS27" s="20">
        <f>+'Rates in detail'!Q27</f>
        <v>-1.5519999999999999E-2</v>
      </c>
      <c r="AT27" s="20"/>
      <c r="AU27" s="20"/>
      <c r="AV27" s="20">
        <f t="shared" si="8"/>
        <v>3.4199999999999999E-3</v>
      </c>
      <c r="AW27" s="20">
        <f t="shared" si="9"/>
        <v>8.0000000000000004E-4</v>
      </c>
      <c r="AX27" s="20">
        <f t="shared" si="15"/>
        <v>4.2199999999999998E-3</v>
      </c>
      <c r="AZ27" s="415">
        <v>0</v>
      </c>
      <c r="BA27" s="415">
        <v>4.2199999999999998E-3</v>
      </c>
      <c r="BB27" s="415">
        <v>-3.5659999999999997E-2</v>
      </c>
      <c r="BC27" s="448">
        <v>-5.2999999999999998E-4</v>
      </c>
      <c r="BD27" s="448">
        <v>0</v>
      </c>
      <c r="BF27" s="20">
        <f t="shared" si="16"/>
        <v>4.2199999999999998E-3</v>
      </c>
      <c r="BG27" s="20">
        <f t="shared" si="17"/>
        <v>-3.1439999999999996E-2</v>
      </c>
    </row>
    <row r="28" spans="1:59" x14ac:dyDescent="0.2">
      <c r="A28" s="4">
        <f t="shared" si="0"/>
        <v>22</v>
      </c>
      <c r="B28" s="68"/>
      <c r="C28" s="22" t="s">
        <v>7</v>
      </c>
      <c r="D28" s="354">
        <v>-3.2409999999999994E-2</v>
      </c>
      <c r="E28" s="354">
        <v>-3.5659999999999997E-2</v>
      </c>
      <c r="F28" s="360">
        <v>-2.6290000000000001E-2</v>
      </c>
      <c r="G28" s="360">
        <v>0</v>
      </c>
      <c r="H28" s="360">
        <v>-9.3699999999999999E-3</v>
      </c>
      <c r="I28" s="360">
        <v>-3.5659999999999997E-2</v>
      </c>
      <c r="J28" s="360">
        <v>-1.9099999999999999E-2</v>
      </c>
      <c r="K28" s="360">
        <v>0</v>
      </c>
      <c r="L28" s="360">
        <v>3.0100000000000001E-3</v>
      </c>
      <c r="M28" s="421">
        <v>0</v>
      </c>
      <c r="N28" s="421">
        <v>0</v>
      </c>
      <c r="O28" s="361"/>
      <c r="P28" s="361"/>
      <c r="Q28" s="361"/>
      <c r="R28" s="361"/>
      <c r="S28" s="361"/>
      <c r="T28" s="361"/>
      <c r="U28" s="361"/>
      <c r="V28" s="361">
        <v>7.1000000000000002E-4</v>
      </c>
      <c r="W28" s="361">
        <v>-4.6999999999999999E-4</v>
      </c>
      <c r="X28" s="14"/>
      <c r="Y28" s="14"/>
      <c r="Z28" s="14"/>
      <c r="AA28" s="14"/>
      <c r="AB28" s="14"/>
      <c r="AC28" s="14"/>
      <c r="AD28" s="14">
        <f t="shared" si="10"/>
        <v>-3.2409999999999994E-2</v>
      </c>
      <c r="AE28" s="14">
        <f t="shared" si="11"/>
        <v>0</v>
      </c>
      <c r="AF28" s="20"/>
      <c r="AG28" s="171">
        <f t="shared" si="20"/>
        <v>-3.2409999999999994E-2</v>
      </c>
      <c r="AH28" s="171">
        <f t="shared" si="1"/>
        <v>3.2500000000000003E-3</v>
      </c>
      <c r="AI28" s="171">
        <f t="shared" si="18"/>
        <v>-2.6290000000000001E-2</v>
      </c>
      <c r="AJ28" s="171">
        <f t="shared" si="19"/>
        <v>-9.3699999999999999E-3</v>
      </c>
      <c r="AK28" s="384">
        <f t="shared" si="13"/>
        <v>3.7200000000000002E-3</v>
      </c>
      <c r="AL28" s="171">
        <f t="shared" si="4"/>
        <v>-3.1939999999999996E-2</v>
      </c>
      <c r="AM28" s="20">
        <f t="shared" si="5"/>
        <v>4.6999999999999993E-4</v>
      </c>
      <c r="AN28" s="20">
        <f t="shared" si="14"/>
        <v>-3.5659999999999997E-2</v>
      </c>
      <c r="AO28" s="20">
        <f t="shared" si="6"/>
        <v>-4.6999999999999999E-4</v>
      </c>
      <c r="AQ28" s="20">
        <f t="shared" si="7"/>
        <v>0</v>
      </c>
      <c r="AS28" s="20">
        <f>+'Rates in detail'!Q28</f>
        <v>-1.3679999999999999E-2</v>
      </c>
      <c r="AT28" s="20"/>
      <c r="AU28" s="20"/>
      <c r="AV28" s="20">
        <f t="shared" si="8"/>
        <v>3.0100000000000001E-3</v>
      </c>
      <c r="AW28" s="20">
        <f t="shared" si="9"/>
        <v>7.1000000000000002E-4</v>
      </c>
      <c r="AX28" s="20">
        <f t="shared" si="15"/>
        <v>3.7200000000000002E-3</v>
      </c>
      <c r="AZ28" s="415">
        <v>0</v>
      </c>
      <c r="BA28" s="415">
        <v>3.7200000000000002E-3</v>
      </c>
      <c r="BB28" s="415">
        <v>-3.5659999999999997E-2</v>
      </c>
      <c r="BC28" s="448">
        <v>-4.6999999999999999E-4</v>
      </c>
      <c r="BD28" s="448">
        <v>0</v>
      </c>
      <c r="BF28" s="20">
        <f t="shared" si="16"/>
        <v>3.7200000000000002E-3</v>
      </c>
      <c r="BG28" s="20">
        <f t="shared" si="17"/>
        <v>-3.1939999999999996E-2</v>
      </c>
    </row>
    <row r="29" spans="1:59" x14ac:dyDescent="0.2">
      <c r="A29" s="4">
        <f t="shared" si="0"/>
        <v>23</v>
      </c>
      <c r="B29" s="63" t="s">
        <v>127</v>
      </c>
      <c r="C29" s="18" t="s">
        <v>6</v>
      </c>
      <c r="D29" s="356">
        <v>-3.7989999999999996E-2</v>
      </c>
      <c r="E29" s="356">
        <v>-5.3129999999999997E-2</v>
      </c>
      <c r="F29" s="422">
        <v>-2.6290000000000001E-2</v>
      </c>
      <c r="G29" s="422">
        <v>-2.6839999999999999E-2</v>
      </c>
      <c r="H29" s="422">
        <v>0</v>
      </c>
      <c r="I29" s="422">
        <v>-5.3129999999999997E-2</v>
      </c>
      <c r="J29" s="422">
        <v>-1.3139999999999992E-2</v>
      </c>
      <c r="K29" s="422">
        <v>1.3010000000000001E-2</v>
      </c>
      <c r="L29" s="422">
        <v>1.9599999999999999E-3</v>
      </c>
      <c r="M29" s="423">
        <v>0</v>
      </c>
      <c r="N29" s="423">
        <v>0</v>
      </c>
      <c r="O29" s="424"/>
      <c r="P29" s="424"/>
      <c r="Q29" s="424"/>
      <c r="R29" s="424"/>
      <c r="S29" s="424"/>
      <c r="T29" s="424"/>
      <c r="U29" s="424"/>
      <c r="V29" s="424">
        <v>4.6000000000000001E-4</v>
      </c>
      <c r="W29" s="424">
        <v>-2.9E-4</v>
      </c>
      <c r="X29" s="20"/>
      <c r="Y29" s="20"/>
      <c r="Z29" s="20"/>
      <c r="AA29" s="20"/>
      <c r="AB29" s="20"/>
      <c r="AC29" s="20"/>
      <c r="AD29" s="20">
        <f t="shared" si="10"/>
        <v>-3.7989999999999996E-2</v>
      </c>
      <c r="AE29" s="20">
        <f t="shared" si="11"/>
        <v>0</v>
      </c>
      <c r="AF29" s="20"/>
      <c r="AG29" s="171">
        <f t="shared" ref="AG29:AG46" si="21">+AD29-K29</f>
        <v>-5.0999999999999997E-2</v>
      </c>
      <c r="AH29" s="171">
        <f t="shared" si="1"/>
        <v>2.1299999999999999E-3</v>
      </c>
      <c r="AI29" s="171">
        <f t="shared" si="18"/>
        <v>-2.6290000000000001E-2</v>
      </c>
      <c r="AJ29" s="171">
        <f t="shared" si="19"/>
        <v>-2.6839999999999999E-2</v>
      </c>
      <c r="AK29" s="384">
        <f t="shared" si="13"/>
        <v>1.5430000000000001E-2</v>
      </c>
      <c r="AL29" s="171">
        <f t="shared" si="4"/>
        <v>-3.7699999999999997E-2</v>
      </c>
      <c r="AM29" s="20">
        <f t="shared" si="5"/>
        <v>2.9000000000000076E-4</v>
      </c>
      <c r="AN29" s="20">
        <f t="shared" si="14"/>
        <v>-5.3129999999999997E-2</v>
      </c>
      <c r="AO29" s="20">
        <f t="shared" si="6"/>
        <v>-2.9E-4</v>
      </c>
      <c r="AQ29" s="20">
        <f t="shared" si="7"/>
        <v>1.3010000000000001E-2</v>
      </c>
      <c r="AS29" s="20">
        <f>+'Rates in detail'!Q29</f>
        <v>-9.4999999999999998E-3</v>
      </c>
      <c r="AT29" s="20"/>
      <c r="AU29" s="20"/>
      <c r="AV29" s="20">
        <f t="shared" si="8"/>
        <v>1.9599999999999999E-3</v>
      </c>
      <c r="AW29" s="20">
        <f t="shared" si="9"/>
        <v>4.6000000000000001E-4</v>
      </c>
      <c r="AX29" s="20">
        <f t="shared" si="15"/>
        <v>2.4199999999999998E-3</v>
      </c>
      <c r="AZ29" s="415">
        <v>1.3010000000000001E-2</v>
      </c>
      <c r="BA29" s="415">
        <v>2.4199999999999998E-3</v>
      </c>
      <c r="BB29" s="415">
        <v>-5.3129999999999997E-2</v>
      </c>
      <c r="BC29" s="448">
        <v>-2.9E-4</v>
      </c>
      <c r="BD29" s="448">
        <v>0</v>
      </c>
      <c r="BF29" s="20">
        <f t="shared" si="16"/>
        <v>2.4200000000000003E-3</v>
      </c>
      <c r="BG29" s="20">
        <f t="shared" si="17"/>
        <v>-5.0709999999999998E-2</v>
      </c>
    </row>
    <row r="30" spans="1:59" x14ac:dyDescent="0.2">
      <c r="A30" s="4">
        <f t="shared" si="0"/>
        <v>24</v>
      </c>
      <c r="B30" s="63"/>
      <c r="C30" s="18" t="s">
        <v>7</v>
      </c>
      <c r="D30" s="356">
        <v>-3.9579999999999997E-2</v>
      </c>
      <c r="E30" s="356">
        <v>-5.3129999999999997E-2</v>
      </c>
      <c r="F30" s="422">
        <v>-2.6290000000000001E-2</v>
      </c>
      <c r="G30" s="422">
        <v>-2.6839999999999999E-2</v>
      </c>
      <c r="H30" s="422">
        <v>0</v>
      </c>
      <c r="I30" s="422">
        <v>-5.3129999999999997E-2</v>
      </c>
      <c r="J30" s="422">
        <v>-1.3139999999999992E-2</v>
      </c>
      <c r="K30" s="422">
        <v>1.1650000000000001E-2</v>
      </c>
      <c r="L30" s="422">
        <v>1.75E-3</v>
      </c>
      <c r="M30" s="423">
        <v>0</v>
      </c>
      <c r="N30" s="423">
        <v>0</v>
      </c>
      <c r="O30" s="424"/>
      <c r="P30" s="424"/>
      <c r="Q30" s="424"/>
      <c r="R30" s="424"/>
      <c r="S30" s="424"/>
      <c r="T30" s="424"/>
      <c r="U30" s="424"/>
      <c r="V30" s="424">
        <v>4.0999999999999999E-4</v>
      </c>
      <c r="W30" s="424">
        <v>-2.5999999999999998E-4</v>
      </c>
      <c r="X30" s="20"/>
      <c r="Y30" s="20"/>
      <c r="Z30" s="20"/>
      <c r="AA30" s="20"/>
      <c r="AB30" s="20"/>
      <c r="AC30" s="20"/>
      <c r="AD30" s="20">
        <f t="shared" si="10"/>
        <v>-3.9579999999999997E-2</v>
      </c>
      <c r="AE30" s="20">
        <f t="shared" si="11"/>
        <v>0</v>
      </c>
      <c r="AF30" s="20"/>
      <c r="AG30" s="171">
        <f t="shared" si="21"/>
        <v>-5.1229999999999998E-2</v>
      </c>
      <c r="AH30" s="171">
        <f t="shared" si="1"/>
        <v>1.9E-3</v>
      </c>
      <c r="AI30" s="171">
        <f t="shared" si="18"/>
        <v>-2.6290000000000001E-2</v>
      </c>
      <c r="AJ30" s="171">
        <f t="shared" si="19"/>
        <v>-2.6839999999999999E-2</v>
      </c>
      <c r="AK30" s="384">
        <f t="shared" si="13"/>
        <v>1.3810000000000001E-2</v>
      </c>
      <c r="AL30" s="171">
        <f t="shared" si="4"/>
        <v>-3.9319999999999994E-2</v>
      </c>
      <c r="AM30" s="20">
        <f t="shared" si="5"/>
        <v>2.6000000000000025E-4</v>
      </c>
      <c r="AN30" s="20">
        <f t="shared" si="14"/>
        <v>-5.3129999999999997E-2</v>
      </c>
      <c r="AO30" s="20">
        <f t="shared" si="6"/>
        <v>-2.5999999999999998E-4</v>
      </c>
      <c r="AQ30" s="20">
        <f t="shared" si="7"/>
        <v>1.1650000000000001E-2</v>
      </c>
      <c r="AS30" s="20">
        <f>+'Rates in detail'!Q30</f>
        <v>-8.4899999999999993E-3</v>
      </c>
      <c r="AT30" s="20"/>
      <c r="AU30" s="20"/>
      <c r="AV30" s="20">
        <f t="shared" si="8"/>
        <v>1.75E-3</v>
      </c>
      <c r="AW30" s="20">
        <f t="shared" si="9"/>
        <v>4.0999999999999999E-4</v>
      </c>
      <c r="AX30" s="20">
        <f t="shared" si="15"/>
        <v>2.16E-3</v>
      </c>
      <c r="AZ30" s="415">
        <v>1.1650000000000001E-2</v>
      </c>
      <c r="BA30" s="415">
        <v>2.16E-3</v>
      </c>
      <c r="BB30" s="415">
        <v>-5.3129999999999997E-2</v>
      </c>
      <c r="BC30" s="448">
        <v>-2.5999999999999998E-4</v>
      </c>
      <c r="BD30" s="448">
        <v>0</v>
      </c>
      <c r="BF30" s="20">
        <f t="shared" si="16"/>
        <v>2.1600000000000005E-3</v>
      </c>
      <c r="BG30" s="20">
        <f t="shared" si="17"/>
        <v>-5.0969999999999994E-2</v>
      </c>
    </row>
    <row r="31" spans="1:59" x14ac:dyDescent="0.2">
      <c r="A31" s="4">
        <f t="shared" si="0"/>
        <v>25</v>
      </c>
      <c r="B31" s="63"/>
      <c r="C31" s="18" t="s">
        <v>8</v>
      </c>
      <c r="D31" s="356">
        <v>-4.2729999999999997E-2</v>
      </c>
      <c r="E31" s="356">
        <v>-5.3129999999999997E-2</v>
      </c>
      <c r="F31" s="422">
        <v>-2.6290000000000001E-2</v>
      </c>
      <c r="G31" s="422">
        <v>-2.6839999999999999E-2</v>
      </c>
      <c r="H31" s="422">
        <v>0</v>
      </c>
      <c r="I31" s="422">
        <v>-5.3129999999999997E-2</v>
      </c>
      <c r="J31" s="422">
        <v>-1.3139999999999992E-2</v>
      </c>
      <c r="K31" s="422">
        <v>8.9300000000000004E-3</v>
      </c>
      <c r="L31" s="422">
        <v>1.3500000000000001E-3</v>
      </c>
      <c r="M31" s="423">
        <v>0</v>
      </c>
      <c r="N31" s="423">
        <v>0</v>
      </c>
      <c r="O31" s="424"/>
      <c r="P31" s="424"/>
      <c r="Q31" s="424"/>
      <c r="R31" s="424"/>
      <c r="S31" s="424"/>
      <c r="T31" s="424"/>
      <c r="U31" s="424"/>
      <c r="V31" s="424">
        <v>3.2000000000000003E-4</v>
      </c>
      <c r="W31" s="424">
        <v>-2.0000000000000001E-4</v>
      </c>
      <c r="X31" s="20"/>
      <c r="Y31" s="20"/>
      <c r="Z31" s="20"/>
      <c r="AA31" s="20"/>
      <c r="AB31" s="20"/>
      <c r="AC31" s="20"/>
      <c r="AD31" s="20">
        <f t="shared" si="10"/>
        <v>-4.2729999999999997E-2</v>
      </c>
      <c r="AE31" s="20">
        <f t="shared" si="11"/>
        <v>0</v>
      </c>
      <c r="AF31" s="20"/>
      <c r="AG31" s="171">
        <f t="shared" si="21"/>
        <v>-5.1659999999999998E-2</v>
      </c>
      <c r="AH31" s="171">
        <f t="shared" si="1"/>
        <v>1.4700000000000002E-3</v>
      </c>
      <c r="AI31" s="171">
        <f t="shared" si="18"/>
        <v>-2.6290000000000001E-2</v>
      </c>
      <c r="AJ31" s="171">
        <f t="shared" si="19"/>
        <v>-2.6839999999999999E-2</v>
      </c>
      <c r="AK31" s="384">
        <f t="shared" si="13"/>
        <v>1.0600000000000002E-2</v>
      </c>
      <c r="AL31" s="171">
        <f t="shared" si="4"/>
        <v>-4.2529999999999998E-2</v>
      </c>
      <c r="AM31" s="20">
        <f t="shared" si="5"/>
        <v>2.0000000000000183E-4</v>
      </c>
      <c r="AN31" s="20">
        <f t="shared" si="14"/>
        <v>-5.3129999999999997E-2</v>
      </c>
      <c r="AO31" s="20">
        <f t="shared" si="6"/>
        <v>-2.0000000000000001E-4</v>
      </c>
      <c r="AQ31" s="20">
        <f t="shared" si="7"/>
        <v>8.9300000000000004E-3</v>
      </c>
      <c r="AS31" s="20">
        <f>+'Rates in detail'!Q31</f>
        <v>-6.5100000000000002E-3</v>
      </c>
      <c r="AT31" s="20"/>
      <c r="AU31" s="20"/>
      <c r="AV31" s="20">
        <f t="shared" si="8"/>
        <v>1.3500000000000001E-3</v>
      </c>
      <c r="AW31" s="20">
        <f t="shared" si="9"/>
        <v>3.2000000000000003E-4</v>
      </c>
      <c r="AX31" s="20">
        <f t="shared" si="15"/>
        <v>1.67E-3</v>
      </c>
      <c r="AZ31" s="415">
        <v>8.9300000000000004E-3</v>
      </c>
      <c r="BA31" s="415">
        <v>1.67E-3</v>
      </c>
      <c r="BB31" s="415">
        <v>-5.3129999999999997E-2</v>
      </c>
      <c r="BC31" s="448">
        <v>-2.0000000000000001E-4</v>
      </c>
      <c r="BD31" s="448">
        <v>0</v>
      </c>
      <c r="BF31" s="20">
        <f t="shared" si="16"/>
        <v>1.6700000000000013E-3</v>
      </c>
      <c r="BG31" s="20">
        <f t="shared" si="17"/>
        <v>-5.1459999999999999E-2</v>
      </c>
    </row>
    <row r="32" spans="1:59" x14ac:dyDescent="0.2">
      <c r="A32" s="4">
        <f t="shared" si="0"/>
        <v>26</v>
      </c>
      <c r="B32" s="63"/>
      <c r="C32" s="18" t="s">
        <v>9</v>
      </c>
      <c r="D32" s="356">
        <v>-4.4809999999999996E-2</v>
      </c>
      <c r="E32" s="356">
        <v>-5.3129999999999997E-2</v>
      </c>
      <c r="F32" s="422">
        <v>-2.6290000000000001E-2</v>
      </c>
      <c r="G32" s="422">
        <v>-2.6839999999999999E-2</v>
      </c>
      <c r="H32" s="422">
        <v>0</v>
      </c>
      <c r="I32" s="422">
        <v>-5.3129999999999997E-2</v>
      </c>
      <c r="J32" s="422">
        <v>-1.3139999999999992E-2</v>
      </c>
      <c r="K32" s="422">
        <v>7.1500000000000001E-3</v>
      </c>
      <c r="L32" s="422">
        <v>1.08E-3</v>
      </c>
      <c r="M32" s="423">
        <v>0</v>
      </c>
      <c r="N32" s="423">
        <v>0</v>
      </c>
      <c r="O32" s="424"/>
      <c r="P32" s="424"/>
      <c r="Q32" s="424"/>
      <c r="R32" s="424"/>
      <c r="S32" s="424"/>
      <c r="T32" s="424"/>
      <c r="U32" s="424"/>
      <c r="V32" s="424">
        <v>2.5000000000000001E-4</v>
      </c>
      <c r="W32" s="424">
        <v>-1.6000000000000001E-4</v>
      </c>
      <c r="X32" s="20"/>
      <c r="Y32" s="20"/>
      <c r="Z32" s="20"/>
      <c r="AA32" s="20"/>
      <c r="AB32" s="20"/>
      <c r="AC32" s="20"/>
      <c r="AD32" s="20">
        <f t="shared" si="10"/>
        <v>-4.4809999999999996E-2</v>
      </c>
      <c r="AE32" s="20">
        <f t="shared" si="11"/>
        <v>0</v>
      </c>
      <c r="AF32" s="20"/>
      <c r="AG32" s="171">
        <f t="shared" si="21"/>
        <v>-5.1959999999999992E-2</v>
      </c>
      <c r="AH32" s="171">
        <f t="shared" si="1"/>
        <v>1.17E-3</v>
      </c>
      <c r="AI32" s="171">
        <f t="shared" si="18"/>
        <v>-2.6290000000000001E-2</v>
      </c>
      <c r="AJ32" s="171">
        <f t="shared" si="19"/>
        <v>-2.6839999999999999E-2</v>
      </c>
      <c r="AK32" s="384">
        <f t="shared" si="13"/>
        <v>8.4799999999999997E-3</v>
      </c>
      <c r="AL32" s="171">
        <f t="shared" si="4"/>
        <v>-4.4649999999999995E-2</v>
      </c>
      <c r="AM32" s="20">
        <f t="shared" si="5"/>
        <v>1.5999999999999999E-4</v>
      </c>
      <c r="AN32" s="20">
        <f t="shared" si="14"/>
        <v>-5.3129999999999997E-2</v>
      </c>
      <c r="AO32" s="20">
        <f t="shared" si="6"/>
        <v>-1.6000000000000001E-4</v>
      </c>
      <c r="AQ32" s="20">
        <f t="shared" si="7"/>
        <v>7.1500000000000001E-3</v>
      </c>
      <c r="AS32" s="20">
        <f>+'Rates in detail'!Q32</f>
        <v>-5.2200000000000007E-3</v>
      </c>
      <c r="AT32" s="20"/>
      <c r="AU32" s="20"/>
      <c r="AV32" s="20">
        <f t="shared" si="8"/>
        <v>1.08E-3</v>
      </c>
      <c r="AW32" s="20">
        <f t="shared" si="9"/>
        <v>2.5000000000000001E-4</v>
      </c>
      <c r="AX32" s="20">
        <f t="shared" si="15"/>
        <v>1.33E-3</v>
      </c>
      <c r="AZ32" s="415">
        <v>7.1500000000000001E-3</v>
      </c>
      <c r="BA32" s="415">
        <v>1.33E-3</v>
      </c>
      <c r="BB32" s="415">
        <v>-5.3129999999999997E-2</v>
      </c>
      <c r="BC32" s="448">
        <v>-1.6000000000000001E-4</v>
      </c>
      <c r="BD32" s="448">
        <v>0</v>
      </c>
      <c r="BF32" s="20">
        <f t="shared" si="16"/>
        <v>1.3299999999999996E-3</v>
      </c>
      <c r="BG32" s="20">
        <f t="shared" si="17"/>
        <v>-5.1799999999999999E-2</v>
      </c>
    </row>
    <row r="33" spans="1:59" x14ac:dyDescent="0.2">
      <c r="A33" s="4">
        <f t="shared" si="0"/>
        <v>27</v>
      </c>
      <c r="B33" s="63"/>
      <c r="C33" s="18" t="s">
        <v>10</v>
      </c>
      <c r="D33" s="356">
        <v>-4.7589999999999993E-2</v>
      </c>
      <c r="E33" s="356">
        <v>-5.3129999999999997E-2</v>
      </c>
      <c r="F33" s="422">
        <v>-2.6290000000000001E-2</v>
      </c>
      <c r="G33" s="422">
        <v>-2.6839999999999999E-2</v>
      </c>
      <c r="H33" s="422">
        <v>0</v>
      </c>
      <c r="I33" s="422">
        <v>-5.3129999999999997E-2</v>
      </c>
      <c r="J33" s="422">
        <v>-1.3139999999999992E-2</v>
      </c>
      <c r="K33" s="422">
        <v>4.7600000000000003E-3</v>
      </c>
      <c r="L33" s="422">
        <v>7.2000000000000005E-4</v>
      </c>
      <c r="M33" s="423">
        <v>0</v>
      </c>
      <c r="N33" s="423">
        <v>0</v>
      </c>
      <c r="O33" s="424"/>
      <c r="P33" s="424"/>
      <c r="Q33" s="424"/>
      <c r="R33" s="424"/>
      <c r="S33" s="424"/>
      <c r="T33" s="424"/>
      <c r="U33" s="424"/>
      <c r="V33" s="424">
        <v>1.7000000000000001E-4</v>
      </c>
      <c r="W33" s="424">
        <v>-1.1E-4</v>
      </c>
      <c r="X33" s="20"/>
      <c r="Y33" s="20"/>
      <c r="Z33" s="20"/>
      <c r="AA33" s="20"/>
      <c r="AB33" s="20"/>
      <c r="AC33" s="20"/>
      <c r="AD33" s="20">
        <f t="shared" si="10"/>
        <v>-4.7589999999999993E-2</v>
      </c>
      <c r="AE33" s="20">
        <f t="shared" si="11"/>
        <v>0</v>
      </c>
      <c r="AF33" s="20"/>
      <c r="AG33" s="171">
        <f t="shared" si="21"/>
        <v>-5.2349999999999994E-2</v>
      </c>
      <c r="AH33" s="171">
        <f t="shared" si="1"/>
        <v>7.8000000000000009E-4</v>
      </c>
      <c r="AI33" s="171">
        <f t="shared" si="18"/>
        <v>-2.6290000000000001E-2</v>
      </c>
      <c r="AJ33" s="171">
        <f t="shared" si="19"/>
        <v>-2.6839999999999999E-2</v>
      </c>
      <c r="AK33" s="384">
        <f t="shared" si="13"/>
        <v>5.6500000000000005E-3</v>
      </c>
      <c r="AL33" s="171">
        <f t="shared" si="4"/>
        <v>-4.7479999999999994E-2</v>
      </c>
      <c r="AM33" s="20">
        <f t="shared" si="5"/>
        <v>1.0999999999999996E-4</v>
      </c>
      <c r="AN33" s="20">
        <f t="shared" si="14"/>
        <v>-5.3129999999999997E-2</v>
      </c>
      <c r="AO33" s="20">
        <f t="shared" si="6"/>
        <v>-1.1E-4</v>
      </c>
      <c r="AQ33" s="20">
        <f t="shared" si="7"/>
        <v>4.7600000000000003E-3</v>
      </c>
      <c r="AS33" s="20">
        <f>+'Rates in detail'!Q33</f>
        <v>-3.4799999999999996E-3</v>
      </c>
      <c r="AT33" s="20"/>
      <c r="AU33" s="20"/>
      <c r="AV33" s="20">
        <f t="shared" si="8"/>
        <v>7.2000000000000005E-4</v>
      </c>
      <c r="AW33" s="20">
        <f t="shared" si="9"/>
        <v>1.7000000000000001E-4</v>
      </c>
      <c r="AX33" s="20">
        <f t="shared" si="15"/>
        <v>8.9000000000000006E-4</v>
      </c>
      <c r="AZ33" s="415">
        <v>4.7600000000000003E-3</v>
      </c>
      <c r="BA33" s="415">
        <v>8.9000000000000006E-4</v>
      </c>
      <c r="BB33" s="415">
        <v>-5.3129999999999997E-2</v>
      </c>
      <c r="BC33" s="448">
        <v>-1.1E-4</v>
      </c>
      <c r="BD33" s="448">
        <v>0</v>
      </c>
      <c r="BF33" s="20">
        <f t="shared" si="16"/>
        <v>8.9000000000000017E-4</v>
      </c>
      <c r="BG33" s="20">
        <f t="shared" si="17"/>
        <v>-5.2239999999999995E-2</v>
      </c>
    </row>
    <row r="34" spans="1:59" x14ac:dyDescent="0.2">
      <c r="A34" s="4">
        <f t="shared" si="0"/>
        <v>28</v>
      </c>
      <c r="B34" s="68"/>
      <c r="C34" s="22" t="s">
        <v>11</v>
      </c>
      <c r="D34" s="354">
        <v>-5.1049999999999998E-2</v>
      </c>
      <c r="E34" s="354">
        <v>-5.3129999999999997E-2</v>
      </c>
      <c r="F34" s="360">
        <v>-2.6290000000000001E-2</v>
      </c>
      <c r="G34" s="360">
        <v>-2.6839999999999999E-2</v>
      </c>
      <c r="H34" s="360">
        <v>0</v>
      </c>
      <c r="I34" s="360">
        <v>-5.3129999999999997E-2</v>
      </c>
      <c r="J34" s="360">
        <v>-1.3139999999999992E-2</v>
      </c>
      <c r="K34" s="360">
        <v>1.7899999999999999E-3</v>
      </c>
      <c r="L34" s="360">
        <v>2.7E-4</v>
      </c>
      <c r="M34" s="421">
        <v>0</v>
      </c>
      <c r="N34" s="421">
        <v>0</v>
      </c>
      <c r="O34" s="361"/>
      <c r="P34" s="361"/>
      <c r="Q34" s="361"/>
      <c r="R34" s="361"/>
      <c r="S34" s="361"/>
      <c r="T34" s="361"/>
      <c r="U34" s="361"/>
      <c r="V34" s="361">
        <v>6.0000000000000002E-5</v>
      </c>
      <c r="W34" s="361">
        <v>-4.0000000000000003E-5</v>
      </c>
      <c r="X34" s="14"/>
      <c r="Y34" s="14"/>
      <c r="Z34" s="14"/>
      <c r="AA34" s="14"/>
      <c r="AB34" s="14"/>
      <c r="AC34" s="14"/>
      <c r="AD34" s="14">
        <f t="shared" si="10"/>
        <v>-5.1049999999999998E-2</v>
      </c>
      <c r="AE34" s="14">
        <f t="shared" si="11"/>
        <v>0</v>
      </c>
      <c r="AF34" s="20"/>
      <c r="AG34" s="171">
        <f t="shared" si="21"/>
        <v>-5.2839999999999998E-2</v>
      </c>
      <c r="AH34" s="171">
        <f t="shared" si="1"/>
        <v>2.9E-4</v>
      </c>
      <c r="AI34" s="171">
        <f t="shared" si="18"/>
        <v>-2.6290000000000001E-2</v>
      </c>
      <c r="AJ34" s="171">
        <f t="shared" si="19"/>
        <v>-2.6839999999999999E-2</v>
      </c>
      <c r="AK34" s="384">
        <f t="shared" si="13"/>
        <v>2.1199999999999999E-3</v>
      </c>
      <c r="AL34" s="171">
        <f t="shared" si="4"/>
        <v>-5.101E-2</v>
      </c>
      <c r="AM34" s="20">
        <f t="shared" si="5"/>
        <v>4.0000000000000105E-5</v>
      </c>
      <c r="AN34" s="20">
        <f t="shared" si="14"/>
        <v>-5.3129999999999997E-2</v>
      </c>
      <c r="AO34" s="20">
        <f t="shared" si="6"/>
        <v>-4.0000000000000003E-5</v>
      </c>
      <c r="AQ34" s="20">
        <f t="shared" si="7"/>
        <v>1.7899999999999999E-3</v>
      </c>
      <c r="AS34" s="20">
        <f>+'Rates in detail'!Q34</f>
        <v>-1.2999999999999999E-3</v>
      </c>
      <c r="AT34" s="20"/>
      <c r="AU34" s="20"/>
      <c r="AV34" s="20">
        <f t="shared" si="8"/>
        <v>2.7E-4</v>
      </c>
      <c r="AW34" s="20">
        <f t="shared" si="9"/>
        <v>6.0000000000000002E-5</v>
      </c>
      <c r="AX34" s="20">
        <f t="shared" si="15"/>
        <v>3.3E-4</v>
      </c>
      <c r="AZ34" s="415">
        <v>1.7899999999999999E-3</v>
      </c>
      <c r="BA34" s="415">
        <v>3.3E-4</v>
      </c>
      <c r="BB34" s="415">
        <v>-5.3129999999999997E-2</v>
      </c>
      <c r="BC34" s="448">
        <v>-4.0000000000000003E-5</v>
      </c>
      <c r="BD34" s="448">
        <v>0</v>
      </c>
      <c r="BF34" s="20">
        <f t="shared" si="16"/>
        <v>3.3E-4</v>
      </c>
      <c r="BG34" s="20">
        <f t="shared" si="17"/>
        <v>-5.28E-2</v>
      </c>
    </row>
    <row r="35" spans="1:59" x14ac:dyDescent="0.2">
      <c r="A35" s="4">
        <f t="shared" si="0"/>
        <v>29</v>
      </c>
      <c r="B35" s="63" t="s">
        <v>128</v>
      </c>
      <c r="C35" s="18" t="s">
        <v>6</v>
      </c>
      <c r="D35" s="356">
        <v>-5.0869999999999999E-2</v>
      </c>
      <c r="E35" s="356">
        <v>-5.3129999999999997E-2</v>
      </c>
      <c r="F35" s="422">
        <v>-2.6290000000000001E-2</v>
      </c>
      <c r="G35" s="422">
        <v>-2.6839999999999999E-2</v>
      </c>
      <c r="H35" s="422">
        <v>0</v>
      </c>
      <c r="I35" s="422">
        <v>-5.3129999999999997E-2</v>
      </c>
      <c r="J35" s="422">
        <v>-1.3139999999999992E-2</v>
      </c>
      <c r="K35" s="422">
        <v>0</v>
      </c>
      <c r="L35" s="422">
        <v>2.0799999999999998E-3</v>
      </c>
      <c r="M35" s="423">
        <v>0</v>
      </c>
      <c r="N35" s="423">
        <v>0</v>
      </c>
      <c r="O35" s="424"/>
      <c r="P35" s="424"/>
      <c r="Q35" s="424"/>
      <c r="R35" s="424"/>
      <c r="S35" s="424"/>
      <c r="T35" s="424"/>
      <c r="U35" s="424"/>
      <c r="V35" s="424">
        <v>4.8999999999999998E-4</v>
      </c>
      <c r="W35" s="424">
        <v>-3.1E-4</v>
      </c>
      <c r="X35" s="20"/>
      <c r="Y35" s="20"/>
      <c r="Z35" s="20"/>
      <c r="AA35" s="20"/>
      <c r="AB35" s="20"/>
      <c r="AC35" s="20"/>
      <c r="AD35" s="20">
        <f t="shared" si="10"/>
        <v>-5.0869999999999999E-2</v>
      </c>
      <c r="AE35" s="20">
        <f t="shared" si="11"/>
        <v>0</v>
      </c>
      <c r="AF35" s="20"/>
      <c r="AG35" s="171">
        <f t="shared" si="21"/>
        <v>-5.0869999999999999E-2</v>
      </c>
      <c r="AH35" s="171">
        <f t="shared" si="1"/>
        <v>2.2599999999999999E-3</v>
      </c>
      <c r="AI35" s="171">
        <f t="shared" si="18"/>
        <v>-2.6290000000000001E-2</v>
      </c>
      <c r="AJ35" s="171">
        <f t="shared" si="19"/>
        <v>-2.6839999999999999E-2</v>
      </c>
      <c r="AK35" s="384">
        <f t="shared" si="13"/>
        <v>2.5699999999999998E-3</v>
      </c>
      <c r="AL35" s="171">
        <f t="shared" si="4"/>
        <v>-5.0559999999999994E-2</v>
      </c>
      <c r="AM35" s="20">
        <f t="shared" si="5"/>
        <v>3.0999999999999995E-4</v>
      </c>
      <c r="AN35" s="20">
        <f t="shared" si="14"/>
        <v>-5.3129999999999997E-2</v>
      </c>
      <c r="AO35" s="20">
        <f t="shared" si="6"/>
        <v>-3.1E-4</v>
      </c>
      <c r="AQ35" s="20">
        <f t="shared" si="7"/>
        <v>0</v>
      </c>
      <c r="AS35" s="20">
        <f>+'Rates in detail'!Q35</f>
        <v>-8.4200000000000004E-3</v>
      </c>
      <c r="AT35" s="20"/>
      <c r="AU35" s="20"/>
      <c r="AV35" s="20">
        <f t="shared" si="8"/>
        <v>2.0799999999999998E-3</v>
      </c>
      <c r="AW35" s="20">
        <f t="shared" si="9"/>
        <v>4.8999999999999998E-4</v>
      </c>
      <c r="AX35" s="20">
        <f t="shared" si="15"/>
        <v>2.5699999999999998E-3</v>
      </c>
      <c r="AZ35" s="415">
        <v>0</v>
      </c>
      <c r="BA35" s="415">
        <v>2.5699999999999998E-3</v>
      </c>
      <c r="BB35" s="415">
        <v>-5.3129999999999997E-2</v>
      </c>
      <c r="BC35" s="448">
        <v>-3.1E-4</v>
      </c>
      <c r="BD35" s="448">
        <v>0</v>
      </c>
      <c r="BF35" s="20">
        <f t="shared" si="16"/>
        <v>2.5699999999999998E-3</v>
      </c>
      <c r="BG35" s="20">
        <f t="shared" si="17"/>
        <v>-5.0559999999999994E-2</v>
      </c>
    </row>
    <row r="36" spans="1:59" x14ac:dyDescent="0.2">
      <c r="A36" s="4">
        <f t="shared" si="0"/>
        <v>30</v>
      </c>
      <c r="B36" s="63"/>
      <c r="C36" s="18" t="s">
        <v>7</v>
      </c>
      <c r="D36" s="356">
        <v>-5.11E-2</v>
      </c>
      <c r="E36" s="356">
        <v>-5.3129999999999997E-2</v>
      </c>
      <c r="F36" s="422">
        <v>-2.6290000000000001E-2</v>
      </c>
      <c r="G36" s="422">
        <v>-2.6839999999999999E-2</v>
      </c>
      <c r="H36" s="422">
        <v>0</v>
      </c>
      <c r="I36" s="422">
        <v>-5.3129999999999997E-2</v>
      </c>
      <c r="J36" s="422">
        <v>-1.3139999999999992E-2</v>
      </c>
      <c r="K36" s="422">
        <v>0</v>
      </c>
      <c r="L36" s="422">
        <v>1.8600000000000001E-3</v>
      </c>
      <c r="M36" s="423">
        <v>0</v>
      </c>
      <c r="N36" s="423">
        <v>0</v>
      </c>
      <c r="O36" s="424"/>
      <c r="P36" s="424"/>
      <c r="Q36" s="424"/>
      <c r="R36" s="424"/>
      <c r="S36" s="424"/>
      <c r="T36" s="424"/>
      <c r="U36" s="424"/>
      <c r="V36" s="424">
        <v>4.4000000000000002E-4</v>
      </c>
      <c r="W36" s="424">
        <v>-2.7E-4</v>
      </c>
      <c r="X36" s="20"/>
      <c r="Y36" s="20"/>
      <c r="Z36" s="20"/>
      <c r="AA36" s="20"/>
      <c r="AB36" s="20"/>
      <c r="AC36" s="20"/>
      <c r="AD36" s="20">
        <f t="shared" si="10"/>
        <v>-5.11E-2</v>
      </c>
      <c r="AE36" s="20">
        <f t="shared" si="11"/>
        <v>0</v>
      </c>
      <c r="AF36" s="20"/>
      <c r="AG36" s="171">
        <f t="shared" si="21"/>
        <v>-5.11E-2</v>
      </c>
      <c r="AH36" s="171">
        <f t="shared" si="1"/>
        <v>2.0300000000000001E-3</v>
      </c>
      <c r="AI36" s="171">
        <f t="shared" si="18"/>
        <v>-2.6290000000000001E-2</v>
      </c>
      <c r="AJ36" s="171">
        <f t="shared" si="19"/>
        <v>-2.6839999999999999E-2</v>
      </c>
      <c r="AK36" s="384">
        <f t="shared" si="13"/>
        <v>2.3E-3</v>
      </c>
      <c r="AL36" s="171">
        <f t="shared" si="4"/>
        <v>-5.083E-2</v>
      </c>
      <c r="AM36" s="20">
        <f t="shared" si="5"/>
        <v>2.6999999999999984E-4</v>
      </c>
      <c r="AN36" s="20">
        <f t="shared" si="14"/>
        <v>-5.3129999999999997E-2</v>
      </c>
      <c r="AO36" s="20">
        <f t="shared" si="6"/>
        <v>-2.7E-4</v>
      </c>
      <c r="AQ36" s="20">
        <f t="shared" si="7"/>
        <v>0</v>
      </c>
      <c r="AS36" s="20">
        <f>+'Rates in detail'!Q36</f>
        <v>-7.5399999999999998E-3</v>
      </c>
      <c r="AT36" s="20"/>
      <c r="AU36" s="20"/>
      <c r="AV36" s="20">
        <f t="shared" si="8"/>
        <v>1.8600000000000001E-3</v>
      </c>
      <c r="AW36" s="20">
        <f t="shared" si="9"/>
        <v>4.4000000000000002E-4</v>
      </c>
      <c r="AX36" s="20">
        <f t="shared" si="15"/>
        <v>2.3E-3</v>
      </c>
      <c r="AZ36" s="415">
        <v>0</v>
      </c>
      <c r="BA36" s="415">
        <v>2.3E-3</v>
      </c>
      <c r="BB36" s="415">
        <v>-5.3129999999999997E-2</v>
      </c>
      <c r="BC36" s="448">
        <v>-2.7E-4</v>
      </c>
      <c r="BD36" s="448">
        <v>0</v>
      </c>
      <c r="BF36" s="20">
        <f t="shared" si="16"/>
        <v>2.3E-3</v>
      </c>
      <c r="BG36" s="20">
        <f t="shared" si="17"/>
        <v>-5.083E-2</v>
      </c>
    </row>
    <row r="37" spans="1:59" x14ac:dyDescent="0.2">
      <c r="A37" s="4">
        <f t="shared" si="0"/>
        <v>31</v>
      </c>
      <c r="B37" s="63"/>
      <c r="C37" s="18" t="s">
        <v>8</v>
      </c>
      <c r="D37" s="356">
        <v>-5.1579999999999994E-2</v>
      </c>
      <c r="E37" s="356">
        <v>-5.3129999999999997E-2</v>
      </c>
      <c r="F37" s="422">
        <v>-2.6290000000000001E-2</v>
      </c>
      <c r="G37" s="422">
        <v>-2.6839999999999999E-2</v>
      </c>
      <c r="H37" s="422">
        <v>0</v>
      </c>
      <c r="I37" s="422">
        <v>-5.3129999999999997E-2</v>
      </c>
      <c r="J37" s="422">
        <v>-1.3139999999999992E-2</v>
      </c>
      <c r="K37" s="422">
        <v>0</v>
      </c>
      <c r="L37" s="422">
        <v>1.4300000000000001E-3</v>
      </c>
      <c r="M37" s="423">
        <v>0</v>
      </c>
      <c r="N37" s="423">
        <v>0</v>
      </c>
      <c r="O37" s="424"/>
      <c r="P37" s="424"/>
      <c r="Q37" s="424"/>
      <c r="R37" s="424"/>
      <c r="S37" s="424"/>
      <c r="T37" s="424"/>
      <c r="U37" s="424"/>
      <c r="V37" s="424">
        <v>3.3E-4</v>
      </c>
      <c r="W37" s="424">
        <v>-2.1000000000000001E-4</v>
      </c>
      <c r="X37" s="20"/>
      <c r="Y37" s="20"/>
      <c r="Z37" s="20"/>
      <c r="AA37" s="20"/>
      <c r="AB37" s="20"/>
      <c r="AC37" s="20"/>
      <c r="AD37" s="20">
        <f t="shared" si="10"/>
        <v>-5.1579999999999994E-2</v>
      </c>
      <c r="AE37" s="20">
        <f t="shared" si="11"/>
        <v>0</v>
      </c>
      <c r="AF37" s="20"/>
      <c r="AG37" s="171">
        <f t="shared" si="21"/>
        <v>-5.1579999999999994E-2</v>
      </c>
      <c r="AH37" s="171">
        <f t="shared" si="1"/>
        <v>1.5500000000000002E-3</v>
      </c>
      <c r="AI37" s="171">
        <f t="shared" si="18"/>
        <v>-2.6290000000000001E-2</v>
      </c>
      <c r="AJ37" s="171">
        <f t="shared" si="19"/>
        <v>-2.6839999999999999E-2</v>
      </c>
      <c r="AK37" s="384">
        <f t="shared" si="13"/>
        <v>1.7600000000000001E-3</v>
      </c>
      <c r="AL37" s="171">
        <f t="shared" si="4"/>
        <v>-5.1369999999999999E-2</v>
      </c>
      <c r="AM37" s="20">
        <f t="shared" si="5"/>
        <v>2.099999999999999E-4</v>
      </c>
      <c r="AN37" s="20">
        <f t="shared" si="14"/>
        <v>-5.3129999999999997E-2</v>
      </c>
      <c r="AO37" s="20">
        <f t="shared" si="6"/>
        <v>-2.1000000000000001E-4</v>
      </c>
      <c r="AQ37" s="20">
        <f t="shared" si="7"/>
        <v>0</v>
      </c>
      <c r="AS37" s="20">
        <f>+'Rates in detail'!Q37</f>
        <v>-5.7800000000000004E-3</v>
      </c>
      <c r="AT37" s="20"/>
      <c r="AU37" s="20"/>
      <c r="AV37" s="20">
        <f t="shared" si="8"/>
        <v>1.4300000000000001E-3</v>
      </c>
      <c r="AW37" s="20">
        <f t="shared" si="9"/>
        <v>3.3E-4</v>
      </c>
      <c r="AX37" s="20">
        <f t="shared" si="15"/>
        <v>1.7600000000000001E-3</v>
      </c>
      <c r="AZ37" s="415">
        <v>0</v>
      </c>
      <c r="BA37" s="415">
        <v>1.7600000000000001E-3</v>
      </c>
      <c r="BB37" s="415">
        <v>-5.3129999999999997E-2</v>
      </c>
      <c r="BC37" s="448">
        <v>-2.1000000000000001E-4</v>
      </c>
      <c r="BD37" s="448">
        <v>0</v>
      </c>
      <c r="BF37" s="20">
        <f t="shared" si="16"/>
        <v>1.7600000000000001E-3</v>
      </c>
      <c r="BG37" s="20">
        <f t="shared" si="17"/>
        <v>-5.1369999999999999E-2</v>
      </c>
    </row>
    <row r="38" spans="1:59" x14ac:dyDescent="0.2">
      <c r="A38" s="4">
        <f t="shared" si="0"/>
        <v>32</v>
      </c>
      <c r="B38" s="63"/>
      <c r="C38" s="18" t="s">
        <v>9</v>
      </c>
      <c r="D38" s="356">
        <v>-5.1889999999999999E-2</v>
      </c>
      <c r="E38" s="356">
        <v>-5.3129999999999997E-2</v>
      </c>
      <c r="F38" s="422">
        <v>-2.6290000000000001E-2</v>
      </c>
      <c r="G38" s="422">
        <v>-2.6839999999999999E-2</v>
      </c>
      <c r="H38" s="422">
        <v>0</v>
      </c>
      <c r="I38" s="422">
        <v>-5.3129999999999997E-2</v>
      </c>
      <c r="J38" s="422">
        <v>-1.3139999999999992E-2</v>
      </c>
      <c r="K38" s="422">
        <v>0</v>
      </c>
      <c r="L38" s="422">
        <v>1.14E-3</v>
      </c>
      <c r="M38" s="423">
        <v>0</v>
      </c>
      <c r="N38" s="423">
        <v>0</v>
      </c>
      <c r="O38" s="424"/>
      <c r="P38" s="424"/>
      <c r="Q38" s="424"/>
      <c r="R38" s="424"/>
      <c r="S38" s="424"/>
      <c r="T38" s="424"/>
      <c r="U38" s="424"/>
      <c r="V38" s="424">
        <v>2.7E-4</v>
      </c>
      <c r="W38" s="424">
        <v>-1.7000000000000001E-4</v>
      </c>
      <c r="X38" s="20"/>
      <c r="Y38" s="20"/>
      <c r="Z38" s="20"/>
      <c r="AA38" s="20"/>
      <c r="AB38" s="20"/>
      <c r="AC38" s="20"/>
      <c r="AD38" s="20">
        <f t="shared" si="10"/>
        <v>-5.1889999999999999E-2</v>
      </c>
      <c r="AE38" s="20">
        <f t="shared" si="11"/>
        <v>0</v>
      </c>
      <c r="AF38" s="20"/>
      <c r="AG38" s="171">
        <f t="shared" si="21"/>
        <v>-5.1889999999999999E-2</v>
      </c>
      <c r="AH38" s="171">
        <f t="shared" si="1"/>
        <v>1.24E-3</v>
      </c>
      <c r="AI38" s="171">
        <f t="shared" si="18"/>
        <v>-2.6290000000000001E-2</v>
      </c>
      <c r="AJ38" s="171">
        <f t="shared" si="19"/>
        <v>-2.6839999999999999E-2</v>
      </c>
      <c r="AK38" s="384">
        <f t="shared" si="13"/>
        <v>1.41E-3</v>
      </c>
      <c r="AL38" s="171">
        <f t="shared" si="4"/>
        <v>-5.1719999999999995E-2</v>
      </c>
      <c r="AM38" s="20">
        <f t="shared" si="5"/>
        <v>1.7000000000000001E-4</v>
      </c>
      <c r="AN38" s="20">
        <f t="shared" si="14"/>
        <v>-5.3129999999999997E-2</v>
      </c>
      <c r="AO38" s="20">
        <f t="shared" si="6"/>
        <v>-1.7000000000000001E-4</v>
      </c>
      <c r="AQ38" s="20">
        <f t="shared" si="7"/>
        <v>0</v>
      </c>
      <c r="AS38" s="20">
        <f>+'Rates in detail'!Q38</f>
        <v>-4.62E-3</v>
      </c>
      <c r="AT38" s="20"/>
      <c r="AU38" s="20"/>
      <c r="AV38" s="20">
        <f t="shared" si="8"/>
        <v>1.14E-3</v>
      </c>
      <c r="AW38" s="20">
        <f t="shared" si="9"/>
        <v>2.7E-4</v>
      </c>
      <c r="AX38" s="20">
        <f t="shared" si="15"/>
        <v>1.41E-3</v>
      </c>
      <c r="AZ38" s="415">
        <v>0</v>
      </c>
      <c r="BA38" s="415">
        <v>1.41E-3</v>
      </c>
      <c r="BB38" s="415">
        <v>-5.3129999999999997E-2</v>
      </c>
      <c r="BC38" s="448">
        <v>-1.7000000000000001E-4</v>
      </c>
      <c r="BD38" s="448">
        <v>0</v>
      </c>
      <c r="BF38" s="20">
        <f t="shared" si="16"/>
        <v>1.41E-3</v>
      </c>
      <c r="BG38" s="20">
        <f t="shared" si="17"/>
        <v>-5.1719999999999995E-2</v>
      </c>
    </row>
    <row r="39" spans="1:59" x14ac:dyDescent="0.2">
      <c r="A39" s="4">
        <f t="shared" si="0"/>
        <v>33</v>
      </c>
      <c r="B39" s="63"/>
      <c r="C39" s="18" t="s">
        <v>10</v>
      </c>
      <c r="D39" s="356">
        <v>-5.2299999999999999E-2</v>
      </c>
      <c r="E39" s="356">
        <v>-5.3129999999999997E-2</v>
      </c>
      <c r="F39" s="422">
        <v>-2.6290000000000001E-2</v>
      </c>
      <c r="G39" s="422">
        <v>-2.6839999999999999E-2</v>
      </c>
      <c r="H39" s="422">
        <v>0</v>
      </c>
      <c r="I39" s="422">
        <v>-5.3129999999999997E-2</v>
      </c>
      <c r="J39" s="422">
        <v>-1.3139999999999992E-2</v>
      </c>
      <c r="K39" s="422">
        <v>0</v>
      </c>
      <c r="L39" s="422">
        <v>7.6000000000000004E-4</v>
      </c>
      <c r="M39" s="423">
        <v>0</v>
      </c>
      <c r="N39" s="423">
        <v>0</v>
      </c>
      <c r="O39" s="424"/>
      <c r="P39" s="424"/>
      <c r="Q39" s="424"/>
      <c r="R39" s="424"/>
      <c r="S39" s="424"/>
      <c r="T39" s="424"/>
      <c r="U39" s="424"/>
      <c r="V39" s="424">
        <v>1.8000000000000001E-4</v>
      </c>
      <c r="W39" s="424">
        <v>-1.1E-4</v>
      </c>
      <c r="X39" s="20"/>
      <c r="Y39" s="20"/>
      <c r="Z39" s="20"/>
      <c r="AA39" s="20"/>
      <c r="AB39" s="20"/>
      <c r="AC39" s="20"/>
      <c r="AD39" s="20">
        <f t="shared" si="10"/>
        <v>-5.2299999999999999E-2</v>
      </c>
      <c r="AE39" s="20">
        <f t="shared" si="11"/>
        <v>0</v>
      </c>
      <c r="AF39" s="20"/>
      <c r="AG39" s="171">
        <f t="shared" si="21"/>
        <v>-5.2299999999999999E-2</v>
      </c>
      <c r="AH39" s="171">
        <f t="shared" si="1"/>
        <v>8.3000000000000001E-4</v>
      </c>
      <c r="AI39" s="171">
        <f t="shared" si="18"/>
        <v>-2.6290000000000001E-2</v>
      </c>
      <c r="AJ39" s="171">
        <f t="shared" si="19"/>
        <v>-2.6839999999999999E-2</v>
      </c>
      <c r="AK39" s="384">
        <f t="shared" si="13"/>
        <v>9.4000000000000008E-4</v>
      </c>
      <c r="AL39" s="171">
        <f t="shared" si="4"/>
        <v>-5.2189999999999993E-2</v>
      </c>
      <c r="AM39" s="20">
        <f t="shared" si="5"/>
        <v>1.1000000000000007E-4</v>
      </c>
      <c r="AN39" s="20">
        <f t="shared" si="14"/>
        <v>-5.3129999999999997E-2</v>
      </c>
      <c r="AO39" s="20">
        <f t="shared" si="6"/>
        <v>-1.1E-4</v>
      </c>
      <c r="AQ39" s="20">
        <f t="shared" si="7"/>
        <v>0</v>
      </c>
      <c r="AS39" s="20">
        <f>+'Rates in detail'!Q39</f>
        <v>-3.0800000000000003E-3</v>
      </c>
      <c r="AT39" s="20"/>
      <c r="AU39" s="20"/>
      <c r="AV39" s="20">
        <f t="shared" si="8"/>
        <v>7.6000000000000004E-4</v>
      </c>
      <c r="AW39" s="20">
        <f t="shared" si="9"/>
        <v>1.8000000000000001E-4</v>
      </c>
      <c r="AX39" s="20">
        <f t="shared" si="15"/>
        <v>9.4000000000000008E-4</v>
      </c>
      <c r="AZ39" s="415">
        <v>0</v>
      </c>
      <c r="BA39" s="415">
        <v>9.4000000000000008E-4</v>
      </c>
      <c r="BB39" s="415">
        <v>-5.3129999999999997E-2</v>
      </c>
      <c r="BC39" s="448">
        <v>-1.1E-4</v>
      </c>
      <c r="BD39" s="448">
        <v>0</v>
      </c>
      <c r="BF39" s="20">
        <f t="shared" si="16"/>
        <v>9.4000000000000008E-4</v>
      </c>
      <c r="BG39" s="20">
        <f t="shared" si="17"/>
        <v>-5.2189999999999993E-2</v>
      </c>
    </row>
    <row r="40" spans="1:59" x14ac:dyDescent="0.2">
      <c r="A40" s="4">
        <f t="shared" si="0"/>
        <v>34</v>
      </c>
      <c r="B40" s="68"/>
      <c r="C40" s="22" t="s">
        <v>11</v>
      </c>
      <c r="D40" s="354">
        <v>-5.2809999999999996E-2</v>
      </c>
      <c r="E40" s="354">
        <v>-5.3129999999999997E-2</v>
      </c>
      <c r="F40" s="360">
        <v>-2.6290000000000001E-2</v>
      </c>
      <c r="G40" s="360">
        <v>-2.6839999999999999E-2</v>
      </c>
      <c r="H40" s="360">
        <v>0</v>
      </c>
      <c r="I40" s="360">
        <v>-5.3129999999999997E-2</v>
      </c>
      <c r="J40" s="360">
        <v>-1.3139999999999992E-2</v>
      </c>
      <c r="K40" s="360">
        <v>0</v>
      </c>
      <c r="L40" s="360">
        <v>2.9E-4</v>
      </c>
      <c r="M40" s="421">
        <v>0</v>
      </c>
      <c r="N40" s="421">
        <v>0</v>
      </c>
      <c r="O40" s="361"/>
      <c r="P40" s="361"/>
      <c r="Q40" s="361"/>
      <c r="R40" s="361"/>
      <c r="S40" s="361"/>
      <c r="T40" s="361"/>
      <c r="U40" s="361"/>
      <c r="V40" s="361">
        <v>6.9999999999999994E-5</v>
      </c>
      <c r="W40" s="361">
        <v>-4.0000000000000003E-5</v>
      </c>
      <c r="X40" s="14"/>
      <c r="Y40" s="14"/>
      <c r="Z40" s="14"/>
      <c r="AA40" s="14"/>
      <c r="AB40" s="14"/>
      <c r="AC40" s="14"/>
      <c r="AD40" s="14">
        <f t="shared" si="10"/>
        <v>-5.2809999999999996E-2</v>
      </c>
      <c r="AE40" s="14">
        <f t="shared" si="11"/>
        <v>0</v>
      </c>
      <c r="AF40" s="20"/>
      <c r="AG40" s="171">
        <f t="shared" si="21"/>
        <v>-5.2809999999999996E-2</v>
      </c>
      <c r="AH40" s="171">
        <f t="shared" si="1"/>
        <v>3.1999999999999997E-4</v>
      </c>
      <c r="AI40" s="171">
        <f t="shared" si="18"/>
        <v>-2.6290000000000001E-2</v>
      </c>
      <c r="AJ40" s="171">
        <f t="shared" si="19"/>
        <v>-2.6839999999999999E-2</v>
      </c>
      <c r="AK40" s="384">
        <f t="shared" si="13"/>
        <v>3.5999999999999997E-4</v>
      </c>
      <c r="AL40" s="171">
        <f t="shared" si="4"/>
        <v>-5.2769999999999997E-2</v>
      </c>
      <c r="AM40" s="20">
        <f t="shared" si="5"/>
        <v>3.9999999999999996E-5</v>
      </c>
      <c r="AN40" s="20">
        <f t="shared" si="14"/>
        <v>-5.3129999999999997E-2</v>
      </c>
      <c r="AO40" s="20">
        <f t="shared" si="6"/>
        <v>-4.0000000000000003E-5</v>
      </c>
      <c r="AQ40" s="20">
        <f t="shared" si="7"/>
        <v>0</v>
      </c>
      <c r="AS40" s="20">
        <f>+'Rates in detail'!Q40</f>
        <v>-1.15E-3</v>
      </c>
      <c r="AT40" s="20"/>
      <c r="AU40" s="20"/>
      <c r="AV40" s="20">
        <f t="shared" si="8"/>
        <v>2.9E-4</v>
      </c>
      <c r="AW40" s="20">
        <f t="shared" si="9"/>
        <v>6.9999999999999994E-5</v>
      </c>
      <c r="AX40" s="20">
        <f t="shared" si="15"/>
        <v>3.5999999999999997E-4</v>
      </c>
      <c r="AZ40" s="415">
        <v>0</v>
      </c>
      <c r="BA40" s="415">
        <v>3.5999999999999997E-4</v>
      </c>
      <c r="BB40" s="415">
        <v>-5.3129999999999997E-2</v>
      </c>
      <c r="BC40" s="448">
        <v>-4.0000000000000003E-5</v>
      </c>
      <c r="BD40" s="448">
        <v>0</v>
      </c>
      <c r="BF40" s="20">
        <f t="shared" si="16"/>
        <v>3.5999999999999997E-4</v>
      </c>
      <c r="BG40" s="20">
        <f t="shared" si="17"/>
        <v>-5.2769999999999997E-2</v>
      </c>
    </row>
    <row r="41" spans="1:59" x14ac:dyDescent="0.2">
      <c r="A41" s="4">
        <f t="shared" si="0"/>
        <v>35</v>
      </c>
      <c r="B41" s="63" t="s">
        <v>129</v>
      </c>
      <c r="C41" s="18" t="s">
        <v>6</v>
      </c>
      <c r="D41" s="356">
        <v>-2.3000000000000001E-4</v>
      </c>
      <c r="E41" s="356">
        <v>0</v>
      </c>
      <c r="F41" s="422">
        <v>0</v>
      </c>
      <c r="G41" s="422">
        <v>0</v>
      </c>
      <c r="H41" s="422">
        <v>0</v>
      </c>
      <c r="I41" s="422">
        <v>0</v>
      </c>
      <c r="J41" s="422">
        <v>0</v>
      </c>
      <c r="K41" s="422">
        <v>0</v>
      </c>
      <c r="L41" s="422">
        <v>0</v>
      </c>
      <c r="M41" s="423">
        <v>0</v>
      </c>
      <c r="N41" s="423">
        <v>0</v>
      </c>
      <c r="O41" s="424"/>
      <c r="P41" s="424"/>
      <c r="Q41" s="424"/>
      <c r="R41" s="424"/>
      <c r="S41" s="424"/>
      <c r="T41" s="424"/>
      <c r="U41" s="424"/>
      <c r="V41" s="424">
        <v>0</v>
      </c>
      <c r="W41" s="424">
        <v>-2.3000000000000001E-4</v>
      </c>
      <c r="X41" s="20"/>
      <c r="Y41" s="20"/>
      <c r="Z41" s="20"/>
      <c r="AA41" s="20"/>
      <c r="AB41" s="20"/>
      <c r="AC41" s="20"/>
      <c r="AD41" s="20">
        <f t="shared" si="10"/>
        <v>-2.3000000000000001E-4</v>
      </c>
      <c r="AE41" s="20">
        <f t="shared" si="11"/>
        <v>0</v>
      </c>
      <c r="AF41" s="20"/>
      <c r="AG41" s="171">
        <f t="shared" si="21"/>
        <v>-2.3000000000000001E-4</v>
      </c>
      <c r="AH41" s="171">
        <f t="shared" si="1"/>
        <v>-2.3000000000000001E-4</v>
      </c>
      <c r="AI41" s="171">
        <f t="shared" si="18"/>
        <v>0</v>
      </c>
      <c r="AJ41" s="171">
        <f t="shared" si="19"/>
        <v>0</v>
      </c>
      <c r="AK41" s="384">
        <f t="shared" si="13"/>
        <v>0</v>
      </c>
      <c r="AL41" s="171">
        <f t="shared" si="4"/>
        <v>0</v>
      </c>
      <c r="AM41" s="20">
        <f t="shared" si="5"/>
        <v>2.3000000000000001E-4</v>
      </c>
      <c r="AN41" s="20">
        <f t="shared" si="14"/>
        <v>0</v>
      </c>
      <c r="AO41" s="20">
        <f t="shared" si="6"/>
        <v>-2.3000000000000001E-4</v>
      </c>
      <c r="AQ41" s="20">
        <f t="shared" si="7"/>
        <v>0</v>
      </c>
      <c r="AS41" s="20">
        <f>+'Rates in detail'!Q41</f>
        <v>-6.3499999999999997E-3</v>
      </c>
      <c r="AT41" s="20"/>
      <c r="AU41" s="20"/>
      <c r="AV41" s="20">
        <f t="shared" si="8"/>
        <v>0</v>
      </c>
      <c r="AW41" s="20">
        <f t="shared" si="9"/>
        <v>0</v>
      </c>
      <c r="AX41" s="20">
        <f t="shared" si="15"/>
        <v>0</v>
      </c>
      <c r="AZ41" s="415">
        <v>0</v>
      </c>
      <c r="BA41" s="415">
        <v>0</v>
      </c>
      <c r="BB41" s="415">
        <v>0</v>
      </c>
      <c r="BC41" s="448">
        <v>-2.3000000000000001E-4</v>
      </c>
      <c r="BD41" s="448">
        <v>0</v>
      </c>
      <c r="BF41" s="20">
        <f t="shared" si="16"/>
        <v>0</v>
      </c>
      <c r="BG41" s="20">
        <f t="shared" si="17"/>
        <v>0</v>
      </c>
    </row>
    <row r="42" spans="1:59" x14ac:dyDescent="0.2">
      <c r="A42" s="4">
        <f t="shared" si="0"/>
        <v>36</v>
      </c>
      <c r="B42" s="63"/>
      <c r="C42" s="18" t="s">
        <v>7</v>
      </c>
      <c r="D42" s="356">
        <v>-2.1000000000000001E-4</v>
      </c>
      <c r="E42" s="356">
        <v>0</v>
      </c>
      <c r="F42" s="422">
        <v>0</v>
      </c>
      <c r="G42" s="422">
        <v>0</v>
      </c>
      <c r="H42" s="422">
        <v>0</v>
      </c>
      <c r="I42" s="422">
        <v>0</v>
      </c>
      <c r="J42" s="422">
        <v>0</v>
      </c>
      <c r="K42" s="422">
        <v>0</v>
      </c>
      <c r="L42" s="422">
        <v>0</v>
      </c>
      <c r="M42" s="423">
        <v>0</v>
      </c>
      <c r="N42" s="423">
        <v>0</v>
      </c>
      <c r="O42" s="424"/>
      <c r="P42" s="424"/>
      <c r="Q42" s="424"/>
      <c r="R42" s="424"/>
      <c r="S42" s="424"/>
      <c r="T42" s="424"/>
      <c r="U42" s="424"/>
      <c r="V42" s="424">
        <v>0</v>
      </c>
      <c r="W42" s="424">
        <v>-2.1000000000000001E-4</v>
      </c>
      <c r="X42" s="20"/>
      <c r="Y42" s="20"/>
      <c r="Z42" s="20"/>
      <c r="AA42" s="20"/>
      <c r="AB42" s="20"/>
      <c r="AC42" s="20"/>
      <c r="AD42" s="20">
        <f t="shared" si="10"/>
        <v>-2.1000000000000001E-4</v>
      </c>
      <c r="AE42" s="20">
        <f t="shared" si="11"/>
        <v>0</v>
      </c>
      <c r="AF42" s="20"/>
      <c r="AG42" s="171">
        <f t="shared" si="21"/>
        <v>-2.1000000000000001E-4</v>
      </c>
      <c r="AH42" s="171">
        <f t="shared" si="1"/>
        <v>-2.1000000000000001E-4</v>
      </c>
      <c r="AI42" s="171">
        <f t="shared" si="18"/>
        <v>0</v>
      </c>
      <c r="AJ42" s="171">
        <f t="shared" si="19"/>
        <v>0</v>
      </c>
      <c r="AK42" s="384">
        <f t="shared" si="13"/>
        <v>0</v>
      </c>
      <c r="AL42" s="171">
        <f t="shared" si="4"/>
        <v>0</v>
      </c>
      <c r="AM42" s="20">
        <f t="shared" si="5"/>
        <v>2.1000000000000001E-4</v>
      </c>
      <c r="AN42" s="20">
        <f t="shared" si="14"/>
        <v>0</v>
      </c>
      <c r="AO42" s="20">
        <f t="shared" si="6"/>
        <v>-2.1000000000000001E-4</v>
      </c>
      <c r="AQ42" s="20">
        <f t="shared" si="7"/>
        <v>0</v>
      </c>
      <c r="AS42" s="20">
        <f>+'Rates in detail'!Q42</f>
        <v>-5.6799999999999993E-3</v>
      </c>
      <c r="AT42" s="20"/>
      <c r="AU42" s="20"/>
      <c r="AV42" s="20">
        <f t="shared" si="8"/>
        <v>0</v>
      </c>
      <c r="AW42" s="20">
        <f t="shared" si="9"/>
        <v>0</v>
      </c>
      <c r="AX42" s="20">
        <f t="shared" si="15"/>
        <v>0</v>
      </c>
      <c r="AZ42" s="415">
        <v>0</v>
      </c>
      <c r="BA42" s="415">
        <v>0</v>
      </c>
      <c r="BB42" s="415">
        <v>0</v>
      </c>
      <c r="BC42" s="448">
        <v>-2.1000000000000001E-4</v>
      </c>
      <c r="BD42" s="448">
        <v>0</v>
      </c>
      <c r="BF42" s="20">
        <f t="shared" si="16"/>
        <v>0</v>
      </c>
      <c r="BG42" s="20">
        <f t="shared" si="17"/>
        <v>0</v>
      </c>
    </row>
    <row r="43" spans="1:59" x14ac:dyDescent="0.2">
      <c r="A43" s="4">
        <f t="shared" si="0"/>
        <v>37</v>
      </c>
      <c r="B43" s="63"/>
      <c r="C43" s="18" t="s">
        <v>8</v>
      </c>
      <c r="D43" s="356">
        <v>-1.6000000000000001E-4</v>
      </c>
      <c r="E43" s="356">
        <v>0</v>
      </c>
      <c r="F43" s="422">
        <v>0</v>
      </c>
      <c r="G43" s="422">
        <v>0</v>
      </c>
      <c r="H43" s="422">
        <v>0</v>
      </c>
      <c r="I43" s="422">
        <v>0</v>
      </c>
      <c r="J43" s="422">
        <v>0</v>
      </c>
      <c r="K43" s="422">
        <v>0</v>
      </c>
      <c r="L43" s="422">
        <v>0</v>
      </c>
      <c r="M43" s="423">
        <v>0</v>
      </c>
      <c r="N43" s="423">
        <v>0</v>
      </c>
      <c r="O43" s="424"/>
      <c r="P43" s="424"/>
      <c r="Q43" s="424"/>
      <c r="R43" s="424"/>
      <c r="S43" s="424"/>
      <c r="T43" s="424"/>
      <c r="U43" s="424"/>
      <c r="V43" s="424">
        <v>0</v>
      </c>
      <c r="W43" s="424">
        <v>-1.6000000000000001E-4</v>
      </c>
      <c r="X43" s="20"/>
      <c r="Y43" s="20"/>
      <c r="Z43" s="20"/>
      <c r="AA43" s="20"/>
      <c r="AB43" s="20"/>
      <c r="AC43" s="20"/>
      <c r="AD43" s="20">
        <f t="shared" si="10"/>
        <v>-1.6000000000000001E-4</v>
      </c>
      <c r="AE43" s="20">
        <f t="shared" si="11"/>
        <v>0</v>
      </c>
      <c r="AF43" s="20"/>
      <c r="AG43" s="171">
        <f t="shared" si="21"/>
        <v>-1.6000000000000001E-4</v>
      </c>
      <c r="AH43" s="171">
        <f t="shared" si="1"/>
        <v>-1.6000000000000001E-4</v>
      </c>
      <c r="AI43" s="171">
        <f t="shared" si="18"/>
        <v>0</v>
      </c>
      <c r="AJ43" s="171">
        <f t="shared" si="19"/>
        <v>0</v>
      </c>
      <c r="AK43" s="384">
        <f t="shared" si="13"/>
        <v>0</v>
      </c>
      <c r="AL43" s="171">
        <f t="shared" si="4"/>
        <v>0</v>
      </c>
      <c r="AM43" s="20">
        <f t="shared" si="5"/>
        <v>1.6000000000000001E-4</v>
      </c>
      <c r="AN43" s="20">
        <f t="shared" si="14"/>
        <v>0</v>
      </c>
      <c r="AO43" s="20">
        <f t="shared" si="6"/>
        <v>-1.6000000000000001E-4</v>
      </c>
      <c r="AQ43" s="20">
        <f t="shared" si="7"/>
        <v>0</v>
      </c>
      <c r="AS43" s="20">
        <f>+'Rates in detail'!Q43</f>
        <v>-4.3599999999999993E-3</v>
      </c>
      <c r="AT43" s="20"/>
      <c r="AU43" s="20"/>
      <c r="AV43" s="20">
        <f t="shared" si="8"/>
        <v>0</v>
      </c>
      <c r="AW43" s="20">
        <f t="shared" si="9"/>
        <v>0</v>
      </c>
      <c r="AX43" s="20">
        <f t="shared" si="15"/>
        <v>0</v>
      </c>
      <c r="AZ43" s="415">
        <v>0</v>
      </c>
      <c r="BA43" s="415">
        <v>0</v>
      </c>
      <c r="BB43" s="415">
        <v>0</v>
      </c>
      <c r="BC43" s="448">
        <v>-1.6000000000000001E-4</v>
      </c>
      <c r="BD43" s="448">
        <v>0</v>
      </c>
      <c r="BF43" s="20">
        <f t="shared" si="16"/>
        <v>0</v>
      </c>
      <c r="BG43" s="20">
        <f t="shared" si="17"/>
        <v>0</v>
      </c>
    </row>
    <row r="44" spans="1:59" x14ac:dyDescent="0.2">
      <c r="A44" s="4">
        <f t="shared" si="0"/>
        <v>38</v>
      </c>
      <c r="B44" s="63"/>
      <c r="C44" s="18" t="s">
        <v>9</v>
      </c>
      <c r="D44" s="356">
        <v>-1.2999999999999999E-4</v>
      </c>
      <c r="E44" s="356">
        <v>0</v>
      </c>
      <c r="F44" s="422">
        <v>0</v>
      </c>
      <c r="G44" s="422">
        <v>0</v>
      </c>
      <c r="H44" s="422">
        <v>0</v>
      </c>
      <c r="I44" s="422">
        <v>0</v>
      </c>
      <c r="J44" s="422">
        <v>0</v>
      </c>
      <c r="K44" s="422">
        <v>0</v>
      </c>
      <c r="L44" s="422">
        <v>0</v>
      </c>
      <c r="M44" s="423">
        <v>0</v>
      </c>
      <c r="N44" s="423">
        <v>0</v>
      </c>
      <c r="O44" s="424"/>
      <c r="P44" s="424"/>
      <c r="Q44" s="424"/>
      <c r="R44" s="424"/>
      <c r="S44" s="424"/>
      <c r="T44" s="424"/>
      <c r="U44" s="424"/>
      <c r="V44" s="424">
        <v>0</v>
      </c>
      <c r="W44" s="424">
        <v>-1.2999999999999999E-4</v>
      </c>
      <c r="X44" s="20"/>
      <c r="Y44" s="20"/>
      <c r="Z44" s="20"/>
      <c r="AA44" s="20"/>
      <c r="AB44" s="20"/>
      <c r="AC44" s="20"/>
      <c r="AD44" s="20">
        <f t="shared" si="10"/>
        <v>-1.2999999999999999E-4</v>
      </c>
      <c r="AE44" s="20">
        <f t="shared" si="11"/>
        <v>0</v>
      </c>
      <c r="AF44" s="20"/>
      <c r="AG44" s="171">
        <f t="shared" si="21"/>
        <v>-1.2999999999999999E-4</v>
      </c>
      <c r="AH44" s="171">
        <f t="shared" si="1"/>
        <v>-1.2999999999999999E-4</v>
      </c>
      <c r="AI44" s="171">
        <f t="shared" si="18"/>
        <v>0</v>
      </c>
      <c r="AJ44" s="171">
        <f t="shared" si="19"/>
        <v>0</v>
      </c>
      <c r="AK44" s="384">
        <f t="shared" si="13"/>
        <v>0</v>
      </c>
      <c r="AL44" s="171">
        <f t="shared" si="4"/>
        <v>0</v>
      </c>
      <c r="AM44" s="20">
        <f t="shared" si="5"/>
        <v>1.2999999999999999E-4</v>
      </c>
      <c r="AN44" s="20">
        <f t="shared" si="14"/>
        <v>0</v>
      </c>
      <c r="AO44" s="20">
        <f t="shared" si="6"/>
        <v>-1.2999999999999999E-4</v>
      </c>
      <c r="AQ44" s="20">
        <f t="shared" si="7"/>
        <v>0</v>
      </c>
      <c r="AS44" s="20">
        <f>+'Rates in detail'!Q44</f>
        <v>-3.49E-3</v>
      </c>
      <c r="AT44" s="20"/>
      <c r="AU44" s="20"/>
      <c r="AV44" s="20">
        <f t="shared" si="8"/>
        <v>0</v>
      </c>
      <c r="AW44" s="20">
        <f t="shared" si="9"/>
        <v>0</v>
      </c>
      <c r="AX44" s="20">
        <f t="shared" si="15"/>
        <v>0</v>
      </c>
      <c r="AZ44" s="415">
        <v>0</v>
      </c>
      <c r="BA44" s="415">
        <v>0</v>
      </c>
      <c r="BB44" s="415">
        <v>0</v>
      </c>
      <c r="BC44" s="448">
        <v>-1.2999999999999999E-4</v>
      </c>
      <c r="BD44" s="448">
        <v>0</v>
      </c>
      <c r="BF44" s="20">
        <f t="shared" si="16"/>
        <v>0</v>
      </c>
      <c r="BG44" s="20">
        <f t="shared" si="17"/>
        <v>0</v>
      </c>
    </row>
    <row r="45" spans="1:59" x14ac:dyDescent="0.2">
      <c r="A45" s="4">
        <f t="shared" si="0"/>
        <v>39</v>
      </c>
      <c r="B45" s="63"/>
      <c r="C45" s="18" t="s">
        <v>10</v>
      </c>
      <c r="D45" s="356">
        <v>-9.0000000000000006E-5</v>
      </c>
      <c r="E45" s="356">
        <v>0</v>
      </c>
      <c r="F45" s="422">
        <v>0</v>
      </c>
      <c r="G45" s="422">
        <v>0</v>
      </c>
      <c r="H45" s="422">
        <v>0</v>
      </c>
      <c r="I45" s="422">
        <v>0</v>
      </c>
      <c r="J45" s="422">
        <v>0</v>
      </c>
      <c r="K45" s="422">
        <v>0</v>
      </c>
      <c r="L45" s="422">
        <v>0</v>
      </c>
      <c r="M45" s="423">
        <v>0</v>
      </c>
      <c r="N45" s="423">
        <v>0</v>
      </c>
      <c r="O45" s="424"/>
      <c r="P45" s="424"/>
      <c r="Q45" s="424"/>
      <c r="R45" s="424"/>
      <c r="S45" s="424"/>
      <c r="T45" s="424"/>
      <c r="U45" s="424"/>
      <c r="V45" s="424">
        <v>0</v>
      </c>
      <c r="W45" s="424">
        <v>-9.0000000000000006E-5</v>
      </c>
      <c r="X45" s="20"/>
      <c r="Y45" s="20"/>
      <c r="Z45" s="20"/>
      <c r="AA45" s="20"/>
      <c r="AB45" s="20"/>
      <c r="AC45" s="20"/>
      <c r="AD45" s="20">
        <f t="shared" si="10"/>
        <v>-9.0000000000000006E-5</v>
      </c>
      <c r="AE45" s="20">
        <f t="shared" si="11"/>
        <v>0</v>
      </c>
      <c r="AF45" s="20"/>
      <c r="AG45" s="171">
        <f t="shared" si="21"/>
        <v>-9.0000000000000006E-5</v>
      </c>
      <c r="AH45" s="171">
        <f t="shared" si="1"/>
        <v>-9.0000000000000006E-5</v>
      </c>
      <c r="AI45" s="171">
        <f t="shared" si="18"/>
        <v>0</v>
      </c>
      <c r="AJ45" s="171">
        <f t="shared" si="19"/>
        <v>0</v>
      </c>
      <c r="AK45" s="384">
        <f t="shared" si="13"/>
        <v>0</v>
      </c>
      <c r="AL45" s="171">
        <f t="shared" ref="AL45:AL66" si="22">SUM(AI45:AK45)</f>
        <v>0</v>
      </c>
      <c r="AM45" s="20">
        <f t="shared" ref="AM45:AM66" si="23">+AK45-AO45-AQ45-AX45</f>
        <v>9.0000000000000006E-5</v>
      </c>
      <c r="AN45" s="20">
        <f t="shared" si="14"/>
        <v>0</v>
      </c>
      <c r="AO45" s="20">
        <f t="shared" ref="AO45:AO66" si="24">+W45</f>
        <v>-9.0000000000000006E-5</v>
      </c>
      <c r="AQ45" s="20">
        <f t="shared" ref="AQ45:AQ66" si="25">+K45</f>
        <v>0</v>
      </c>
      <c r="AS45" s="20">
        <f>+'Rates in detail'!Q45</f>
        <v>-2.32E-3</v>
      </c>
      <c r="AT45" s="20"/>
      <c r="AU45" s="20"/>
      <c r="AV45" s="20">
        <f t="shared" ref="AV45:AV66" si="26">+L45</f>
        <v>0</v>
      </c>
      <c r="AW45" s="20">
        <f t="shared" ref="AW45:AW66" si="27">+V45</f>
        <v>0</v>
      </c>
      <c r="AX45" s="20">
        <f t="shared" si="15"/>
        <v>0</v>
      </c>
      <c r="AZ45" s="415">
        <v>0</v>
      </c>
      <c r="BA45" s="415">
        <v>0</v>
      </c>
      <c r="BB45" s="415">
        <v>0</v>
      </c>
      <c r="BC45" s="448">
        <v>-9.0000000000000006E-5</v>
      </c>
      <c r="BD45" s="448">
        <v>0</v>
      </c>
      <c r="BF45" s="20">
        <f t="shared" si="16"/>
        <v>0</v>
      </c>
      <c r="BG45" s="20">
        <f t="shared" si="17"/>
        <v>0</v>
      </c>
    </row>
    <row r="46" spans="1:59" x14ac:dyDescent="0.2">
      <c r="A46" s="4">
        <f t="shared" si="0"/>
        <v>40</v>
      </c>
      <c r="B46" s="68"/>
      <c r="C46" s="22" t="s">
        <v>11</v>
      </c>
      <c r="D46" s="354">
        <v>-3.0000000000000001E-5</v>
      </c>
      <c r="E46" s="354">
        <v>0</v>
      </c>
      <c r="F46" s="360">
        <v>0</v>
      </c>
      <c r="G46" s="360">
        <v>0</v>
      </c>
      <c r="H46" s="360">
        <v>0</v>
      </c>
      <c r="I46" s="360">
        <v>0</v>
      </c>
      <c r="J46" s="360">
        <v>0</v>
      </c>
      <c r="K46" s="360">
        <v>0</v>
      </c>
      <c r="L46" s="360">
        <v>0</v>
      </c>
      <c r="M46" s="421">
        <v>0</v>
      </c>
      <c r="N46" s="421">
        <v>0</v>
      </c>
      <c r="O46" s="361"/>
      <c r="P46" s="361"/>
      <c r="Q46" s="361"/>
      <c r="R46" s="361"/>
      <c r="S46" s="361"/>
      <c r="T46" s="361"/>
      <c r="U46" s="361"/>
      <c r="V46" s="361">
        <v>0</v>
      </c>
      <c r="W46" s="361">
        <v>-3.0000000000000001E-5</v>
      </c>
      <c r="X46" s="14"/>
      <c r="Y46" s="14"/>
      <c r="Z46" s="14"/>
      <c r="AA46" s="14"/>
      <c r="AB46" s="14"/>
      <c r="AC46" s="14"/>
      <c r="AD46" s="14">
        <f t="shared" si="10"/>
        <v>-3.0000000000000001E-5</v>
      </c>
      <c r="AE46" s="14">
        <f t="shared" si="11"/>
        <v>0</v>
      </c>
      <c r="AF46" s="20"/>
      <c r="AG46" s="171">
        <f t="shared" si="21"/>
        <v>-3.0000000000000001E-5</v>
      </c>
      <c r="AH46" s="171">
        <f t="shared" si="1"/>
        <v>-3.0000000000000001E-5</v>
      </c>
      <c r="AI46" s="171">
        <f t="shared" si="18"/>
        <v>0</v>
      </c>
      <c r="AJ46" s="171">
        <f t="shared" si="19"/>
        <v>0</v>
      </c>
      <c r="AK46" s="384">
        <f t="shared" si="13"/>
        <v>0</v>
      </c>
      <c r="AL46" s="171">
        <f t="shared" si="22"/>
        <v>0</v>
      </c>
      <c r="AM46" s="20">
        <f t="shared" si="23"/>
        <v>3.0000000000000001E-5</v>
      </c>
      <c r="AN46" s="20">
        <f t="shared" si="14"/>
        <v>0</v>
      </c>
      <c r="AO46" s="20">
        <f t="shared" si="24"/>
        <v>-3.0000000000000001E-5</v>
      </c>
      <c r="AQ46" s="20">
        <f t="shared" si="25"/>
        <v>0</v>
      </c>
      <c r="AS46" s="20">
        <f>+'Rates in detail'!Q46</f>
        <v>-8.699999999999999E-4</v>
      </c>
      <c r="AT46" s="20"/>
      <c r="AU46" s="20"/>
      <c r="AV46" s="20">
        <f t="shared" si="26"/>
        <v>0</v>
      </c>
      <c r="AW46" s="20">
        <f t="shared" si="27"/>
        <v>0</v>
      </c>
      <c r="AX46" s="20">
        <f t="shared" si="15"/>
        <v>0</v>
      </c>
      <c r="AZ46" s="415">
        <v>0</v>
      </c>
      <c r="BA46" s="415">
        <v>0</v>
      </c>
      <c r="BB46" s="415">
        <v>0</v>
      </c>
      <c r="BC46" s="448">
        <v>-3.0000000000000001E-5</v>
      </c>
      <c r="BD46" s="448">
        <v>0</v>
      </c>
      <c r="BF46" s="20">
        <f t="shared" si="16"/>
        <v>0</v>
      </c>
      <c r="BG46" s="20">
        <f t="shared" si="17"/>
        <v>0</v>
      </c>
    </row>
    <row r="47" spans="1:59" x14ac:dyDescent="0.2">
      <c r="A47" s="4">
        <f t="shared" si="0"/>
        <v>41</v>
      </c>
      <c r="B47" s="63" t="s">
        <v>246</v>
      </c>
      <c r="C47" s="18" t="s">
        <v>6</v>
      </c>
      <c r="D47" s="356">
        <v>-2.3139999999999997E-2</v>
      </c>
      <c r="E47" s="356">
        <v>-3.5659999999999997E-2</v>
      </c>
      <c r="F47" s="422">
        <v>-2.6290000000000001E-2</v>
      </c>
      <c r="G47" s="422">
        <v>0</v>
      </c>
      <c r="H47" s="422">
        <v>-9.3699999999999999E-3</v>
      </c>
      <c r="I47" s="422">
        <v>-3.5659999999999997E-2</v>
      </c>
      <c r="J47" s="422">
        <v>-1.9099999999999999E-2</v>
      </c>
      <c r="K47" s="422">
        <v>1.076E-2</v>
      </c>
      <c r="L47" s="422">
        <v>1.6199999999999999E-3</v>
      </c>
      <c r="M47" s="423">
        <v>0</v>
      </c>
      <c r="N47" s="423">
        <v>0</v>
      </c>
      <c r="O47" s="424"/>
      <c r="P47" s="424"/>
      <c r="Q47" s="424"/>
      <c r="R47" s="424"/>
      <c r="S47" s="424"/>
      <c r="T47" s="424"/>
      <c r="U47" s="424"/>
      <c r="V47" s="424">
        <v>3.8000000000000002E-4</v>
      </c>
      <c r="W47" s="424">
        <v>-2.4000000000000001E-4</v>
      </c>
      <c r="X47" s="20"/>
      <c r="Y47" s="20"/>
      <c r="Z47" s="20"/>
      <c r="AA47" s="20"/>
      <c r="AB47" s="20"/>
      <c r="AC47" s="20"/>
      <c r="AD47" s="20">
        <f t="shared" si="10"/>
        <v>-2.3139999999999997E-2</v>
      </c>
      <c r="AE47" s="20">
        <f t="shared" ref="AE47:AE52" si="28">+AD47-D47</f>
        <v>0</v>
      </c>
      <c r="AF47" s="20"/>
      <c r="AG47" s="171">
        <f t="shared" ref="AG47:AG66" si="29">+AD47-K47</f>
        <v>-3.39E-2</v>
      </c>
      <c r="AH47" s="171">
        <f t="shared" si="1"/>
        <v>1.7599999999999998E-3</v>
      </c>
      <c r="AI47" s="171">
        <f t="shared" si="18"/>
        <v>-2.6290000000000001E-2</v>
      </c>
      <c r="AJ47" s="171">
        <f t="shared" si="19"/>
        <v>-9.3699999999999999E-3</v>
      </c>
      <c r="AK47" s="384">
        <f t="shared" si="13"/>
        <v>1.2760000000000001E-2</v>
      </c>
      <c r="AL47" s="171">
        <f t="shared" si="22"/>
        <v>-2.2899999999999997E-2</v>
      </c>
      <c r="AM47" s="20">
        <f t="shared" si="23"/>
        <v>2.4000000000000063E-4</v>
      </c>
      <c r="AN47" s="20">
        <f t="shared" si="14"/>
        <v>-3.5659999999999997E-2</v>
      </c>
      <c r="AO47" s="20">
        <f t="shared" si="24"/>
        <v>-2.4000000000000001E-4</v>
      </c>
      <c r="AQ47" s="20">
        <f t="shared" si="25"/>
        <v>1.076E-2</v>
      </c>
      <c r="AS47" s="20">
        <f>+'Rates in detail'!Q47</f>
        <v>-6.6099999999999996E-3</v>
      </c>
      <c r="AT47" s="20"/>
      <c r="AU47" s="20"/>
      <c r="AV47" s="20">
        <f t="shared" si="26"/>
        <v>1.6199999999999999E-3</v>
      </c>
      <c r="AW47" s="20">
        <f t="shared" si="27"/>
        <v>3.8000000000000002E-4</v>
      </c>
      <c r="AX47" s="20">
        <f t="shared" si="15"/>
        <v>2E-3</v>
      </c>
      <c r="AZ47" s="415">
        <v>1.076E-2</v>
      </c>
      <c r="BA47" s="415">
        <v>2E-3</v>
      </c>
      <c r="BB47" s="415">
        <v>-3.5659999999999997E-2</v>
      </c>
      <c r="BC47" s="448">
        <v>-2.4000000000000001E-4</v>
      </c>
      <c r="BD47" s="448">
        <v>0</v>
      </c>
      <c r="BF47" s="20">
        <f t="shared" si="16"/>
        <v>2E-3</v>
      </c>
      <c r="BG47" s="20">
        <f t="shared" si="17"/>
        <v>-3.3659999999999995E-2</v>
      </c>
    </row>
    <row r="48" spans="1:59" x14ac:dyDescent="0.2">
      <c r="A48" s="4">
        <f t="shared" si="0"/>
        <v>42</v>
      </c>
      <c r="B48" s="63"/>
      <c r="C48" s="18" t="s">
        <v>7</v>
      </c>
      <c r="D48" s="356">
        <v>-2.445E-2</v>
      </c>
      <c r="E48" s="356">
        <v>-3.5659999999999997E-2</v>
      </c>
      <c r="F48" s="422">
        <v>-2.6290000000000001E-2</v>
      </c>
      <c r="G48" s="422">
        <v>0</v>
      </c>
      <c r="H48" s="422">
        <v>-9.3699999999999999E-3</v>
      </c>
      <c r="I48" s="422">
        <v>-3.5659999999999997E-2</v>
      </c>
      <c r="J48" s="422">
        <v>-1.9099999999999999E-2</v>
      </c>
      <c r="K48" s="422">
        <v>9.6299999999999997E-3</v>
      </c>
      <c r="L48" s="422">
        <v>1.4499999999999999E-3</v>
      </c>
      <c r="M48" s="423">
        <v>0</v>
      </c>
      <c r="N48" s="423">
        <v>0</v>
      </c>
      <c r="O48" s="424"/>
      <c r="P48" s="424"/>
      <c r="Q48" s="424"/>
      <c r="R48" s="424"/>
      <c r="S48" s="424"/>
      <c r="T48" s="424"/>
      <c r="U48" s="424"/>
      <c r="V48" s="424">
        <v>3.4000000000000002E-4</v>
      </c>
      <c r="W48" s="424">
        <v>-2.1000000000000001E-4</v>
      </c>
      <c r="X48" s="20"/>
      <c r="Y48" s="20"/>
      <c r="Z48" s="20"/>
      <c r="AA48" s="20"/>
      <c r="AB48" s="20"/>
      <c r="AC48" s="20"/>
      <c r="AD48" s="20">
        <f t="shared" si="10"/>
        <v>-2.445E-2</v>
      </c>
      <c r="AE48" s="20">
        <f t="shared" si="28"/>
        <v>0</v>
      </c>
      <c r="AF48" s="20"/>
      <c r="AG48" s="171">
        <f t="shared" si="29"/>
        <v>-3.4079999999999999E-2</v>
      </c>
      <c r="AH48" s="171">
        <f t="shared" si="1"/>
        <v>1.5799999999999998E-3</v>
      </c>
      <c r="AI48" s="171">
        <f t="shared" si="18"/>
        <v>-2.6290000000000001E-2</v>
      </c>
      <c r="AJ48" s="171">
        <f t="shared" si="19"/>
        <v>-9.3699999999999999E-3</v>
      </c>
      <c r="AK48" s="384">
        <f t="shared" si="13"/>
        <v>1.142E-2</v>
      </c>
      <c r="AL48" s="171">
        <f t="shared" si="22"/>
        <v>-2.4239999999999998E-2</v>
      </c>
      <c r="AM48" s="20">
        <f t="shared" si="23"/>
        <v>2.1000000000000012E-4</v>
      </c>
      <c r="AN48" s="20">
        <f t="shared" si="14"/>
        <v>-3.5659999999999997E-2</v>
      </c>
      <c r="AO48" s="20">
        <f t="shared" si="24"/>
        <v>-2.1000000000000001E-4</v>
      </c>
      <c r="AQ48" s="20">
        <f t="shared" si="25"/>
        <v>9.6299999999999997E-3</v>
      </c>
      <c r="AS48" s="20">
        <f>+'Rates in detail'!Q48</f>
        <v>-5.9199999999999999E-3</v>
      </c>
      <c r="AT48" s="20"/>
      <c r="AU48" s="20"/>
      <c r="AV48" s="20">
        <f t="shared" si="26"/>
        <v>1.4499999999999999E-3</v>
      </c>
      <c r="AW48" s="20">
        <f t="shared" si="27"/>
        <v>3.4000000000000002E-4</v>
      </c>
      <c r="AX48" s="20">
        <f t="shared" si="15"/>
        <v>1.7899999999999999E-3</v>
      </c>
      <c r="AZ48" s="415">
        <v>9.6299999999999997E-3</v>
      </c>
      <c r="BA48" s="415">
        <v>1.7899999999999999E-3</v>
      </c>
      <c r="BB48" s="415">
        <v>-3.5659999999999997E-2</v>
      </c>
      <c r="BC48" s="448">
        <v>-2.1000000000000001E-4</v>
      </c>
      <c r="BD48" s="448">
        <v>0</v>
      </c>
      <c r="BF48" s="20">
        <f t="shared" si="16"/>
        <v>1.7899999999999999E-3</v>
      </c>
      <c r="BG48" s="20">
        <f t="shared" si="17"/>
        <v>-3.3869999999999997E-2</v>
      </c>
    </row>
    <row r="49" spans="1:59" x14ac:dyDescent="0.2">
      <c r="A49" s="4">
        <f t="shared" si="0"/>
        <v>43</v>
      </c>
      <c r="B49" s="63"/>
      <c r="C49" s="18" t="s">
        <v>8</v>
      </c>
      <c r="D49" s="356">
        <v>-2.7069999999999997E-2</v>
      </c>
      <c r="E49" s="356">
        <v>-3.5659999999999997E-2</v>
      </c>
      <c r="F49" s="422">
        <v>-2.6290000000000001E-2</v>
      </c>
      <c r="G49" s="422">
        <v>0</v>
      </c>
      <c r="H49" s="422">
        <v>-9.3699999999999999E-3</v>
      </c>
      <c r="I49" s="422">
        <v>-3.5659999999999997E-2</v>
      </c>
      <c r="J49" s="422">
        <v>-1.9099999999999999E-2</v>
      </c>
      <c r="K49" s="422">
        <v>7.3800000000000003E-3</v>
      </c>
      <c r="L49" s="422">
        <v>1.1100000000000001E-3</v>
      </c>
      <c r="M49" s="423">
        <v>0</v>
      </c>
      <c r="N49" s="423">
        <v>0</v>
      </c>
      <c r="O49" s="424"/>
      <c r="P49" s="424"/>
      <c r="Q49" s="424"/>
      <c r="R49" s="424"/>
      <c r="S49" s="424"/>
      <c r="T49" s="424"/>
      <c r="U49" s="424"/>
      <c r="V49" s="424">
        <v>2.5999999999999998E-4</v>
      </c>
      <c r="W49" s="424">
        <v>-1.6000000000000001E-4</v>
      </c>
      <c r="X49" s="20"/>
      <c r="Y49" s="20"/>
      <c r="Z49" s="20"/>
      <c r="AA49" s="20"/>
      <c r="AB49" s="20"/>
      <c r="AC49" s="20"/>
      <c r="AD49" s="20">
        <f t="shared" si="10"/>
        <v>-2.7069999999999997E-2</v>
      </c>
      <c r="AE49" s="20">
        <f t="shared" si="28"/>
        <v>0</v>
      </c>
      <c r="AF49" s="20"/>
      <c r="AG49" s="171">
        <f t="shared" si="29"/>
        <v>-3.4449999999999995E-2</v>
      </c>
      <c r="AH49" s="171">
        <f t="shared" si="1"/>
        <v>1.2100000000000001E-3</v>
      </c>
      <c r="AI49" s="171">
        <f t="shared" si="18"/>
        <v>-2.6290000000000001E-2</v>
      </c>
      <c r="AJ49" s="171">
        <f t="shared" si="19"/>
        <v>-9.3699999999999999E-3</v>
      </c>
      <c r="AK49" s="384">
        <f t="shared" si="13"/>
        <v>8.7500000000000008E-3</v>
      </c>
      <c r="AL49" s="171">
        <f t="shared" si="22"/>
        <v>-2.6909999999999996E-2</v>
      </c>
      <c r="AM49" s="20">
        <f t="shared" si="23"/>
        <v>1.6000000000000085E-4</v>
      </c>
      <c r="AN49" s="20">
        <f t="shared" si="14"/>
        <v>-3.5659999999999997E-2</v>
      </c>
      <c r="AO49" s="20">
        <f t="shared" si="24"/>
        <v>-1.6000000000000001E-4</v>
      </c>
      <c r="AQ49" s="20">
        <f t="shared" si="25"/>
        <v>7.3800000000000003E-3</v>
      </c>
      <c r="AS49" s="20">
        <f>+'Rates in detail'!Q49</f>
        <v>-4.5300000000000002E-3</v>
      </c>
      <c r="AT49" s="20"/>
      <c r="AU49" s="20"/>
      <c r="AV49" s="20">
        <f t="shared" si="26"/>
        <v>1.1100000000000001E-3</v>
      </c>
      <c r="AW49" s="20">
        <f t="shared" si="27"/>
        <v>2.5999999999999998E-4</v>
      </c>
      <c r="AX49" s="20">
        <f t="shared" si="15"/>
        <v>1.3700000000000001E-3</v>
      </c>
      <c r="AZ49" s="415">
        <v>7.3800000000000003E-3</v>
      </c>
      <c r="BA49" s="415">
        <v>1.3700000000000001E-3</v>
      </c>
      <c r="BB49" s="415">
        <v>-3.5659999999999997E-2</v>
      </c>
      <c r="BC49" s="448">
        <v>-1.6000000000000001E-4</v>
      </c>
      <c r="BD49" s="448">
        <v>0</v>
      </c>
      <c r="BF49" s="20">
        <f t="shared" si="16"/>
        <v>1.3700000000000006E-3</v>
      </c>
      <c r="BG49" s="20">
        <f t="shared" si="17"/>
        <v>-3.4289999999999994E-2</v>
      </c>
    </row>
    <row r="50" spans="1:59" x14ac:dyDescent="0.2">
      <c r="A50" s="4">
        <f t="shared" si="0"/>
        <v>44</v>
      </c>
      <c r="B50" s="63"/>
      <c r="C50" s="18" t="s">
        <v>9</v>
      </c>
      <c r="D50" s="356">
        <v>-2.8779999999999997E-2</v>
      </c>
      <c r="E50" s="356">
        <v>-3.5659999999999997E-2</v>
      </c>
      <c r="F50" s="422">
        <v>-2.6290000000000001E-2</v>
      </c>
      <c r="G50" s="422">
        <v>0</v>
      </c>
      <c r="H50" s="422">
        <v>-9.3699999999999999E-3</v>
      </c>
      <c r="I50" s="422">
        <v>-3.5659999999999997E-2</v>
      </c>
      <c r="J50" s="422">
        <v>-1.9099999999999999E-2</v>
      </c>
      <c r="K50" s="422">
        <v>5.9100000000000003E-3</v>
      </c>
      <c r="L50" s="422">
        <v>8.8999999999999995E-4</v>
      </c>
      <c r="M50" s="423">
        <v>0</v>
      </c>
      <c r="N50" s="423">
        <v>0</v>
      </c>
      <c r="O50" s="424"/>
      <c r="P50" s="424"/>
      <c r="Q50" s="424"/>
      <c r="R50" s="424"/>
      <c r="S50" s="424"/>
      <c r="T50" s="424"/>
      <c r="U50" s="424"/>
      <c r="V50" s="424">
        <v>2.1000000000000001E-4</v>
      </c>
      <c r="W50" s="424">
        <v>-1.2999999999999999E-4</v>
      </c>
      <c r="X50" s="20"/>
      <c r="Y50" s="20"/>
      <c r="Z50" s="20"/>
      <c r="AA50" s="20"/>
      <c r="AB50" s="20"/>
      <c r="AC50" s="20"/>
      <c r="AD50" s="20">
        <f t="shared" si="10"/>
        <v>-2.8779999999999997E-2</v>
      </c>
      <c r="AE50" s="20">
        <f t="shared" si="28"/>
        <v>0</v>
      </c>
      <c r="AF50" s="20"/>
      <c r="AG50" s="171">
        <f t="shared" si="29"/>
        <v>-3.4689999999999999E-2</v>
      </c>
      <c r="AH50" s="171">
        <f t="shared" si="1"/>
        <v>9.6999999999999994E-4</v>
      </c>
      <c r="AI50" s="171">
        <f t="shared" si="18"/>
        <v>-2.6290000000000001E-2</v>
      </c>
      <c r="AJ50" s="171">
        <f t="shared" si="19"/>
        <v>-9.3699999999999999E-3</v>
      </c>
      <c r="AK50" s="384">
        <f t="shared" si="13"/>
        <v>7.0100000000000006E-3</v>
      </c>
      <c r="AL50" s="171">
        <f t="shared" si="22"/>
        <v>-2.8649999999999995E-2</v>
      </c>
      <c r="AM50" s="20">
        <f t="shared" si="23"/>
        <v>1.3000000000000034E-4</v>
      </c>
      <c r="AN50" s="20">
        <f t="shared" si="14"/>
        <v>-3.5659999999999997E-2</v>
      </c>
      <c r="AO50" s="20">
        <f t="shared" si="24"/>
        <v>-1.2999999999999999E-4</v>
      </c>
      <c r="AQ50" s="20">
        <f t="shared" si="25"/>
        <v>5.9100000000000003E-3</v>
      </c>
      <c r="AS50" s="20">
        <f>+'Rates in detail'!Q50</f>
        <v>-3.64E-3</v>
      </c>
      <c r="AT50" s="20"/>
      <c r="AU50" s="20"/>
      <c r="AV50" s="20">
        <f t="shared" si="26"/>
        <v>8.8999999999999995E-4</v>
      </c>
      <c r="AW50" s="20">
        <f t="shared" si="27"/>
        <v>2.1000000000000001E-4</v>
      </c>
      <c r="AX50" s="20">
        <f t="shared" si="15"/>
        <v>1.0999999999999998E-3</v>
      </c>
      <c r="AZ50" s="415">
        <v>5.9100000000000003E-3</v>
      </c>
      <c r="BA50" s="415">
        <v>1.0999999999999998E-3</v>
      </c>
      <c r="BB50" s="415">
        <v>-3.5659999999999997E-2</v>
      </c>
      <c r="BC50" s="448">
        <v>-1.2999999999999999E-4</v>
      </c>
      <c r="BD50" s="448">
        <v>0</v>
      </c>
      <c r="BF50" s="20">
        <f t="shared" si="16"/>
        <v>1.1000000000000003E-3</v>
      </c>
      <c r="BG50" s="20">
        <f t="shared" si="17"/>
        <v>-3.4559999999999994E-2</v>
      </c>
    </row>
    <row r="51" spans="1:59" x14ac:dyDescent="0.2">
      <c r="A51" s="4">
        <f t="shared" si="0"/>
        <v>45</v>
      </c>
      <c r="B51" s="63"/>
      <c r="C51" s="18" t="s">
        <v>10</v>
      </c>
      <c r="D51" s="356">
        <v>-3.1079999999999997E-2</v>
      </c>
      <c r="E51" s="356">
        <v>-3.5659999999999997E-2</v>
      </c>
      <c r="F51" s="422">
        <v>-2.6290000000000001E-2</v>
      </c>
      <c r="G51" s="422">
        <v>0</v>
      </c>
      <c r="H51" s="422">
        <v>-9.3699999999999999E-3</v>
      </c>
      <c r="I51" s="422">
        <v>-3.5659999999999997E-2</v>
      </c>
      <c r="J51" s="422">
        <v>-1.9099999999999999E-2</v>
      </c>
      <c r="K51" s="422">
        <v>3.9399999999999999E-3</v>
      </c>
      <c r="L51" s="422">
        <v>5.9000000000000003E-4</v>
      </c>
      <c r="M51" s="423">
        <v>0</v>
      </c>
      <c r="N51" s="423">
        <v>0</v>
      </c>
      <c r="O51" s="424"/>
      <c r="P51" s="424"/>
      <c r="Q51" s="424"/>
      <c r="R51" s="424"/>
      <c r="S51" s="424"/>
      <c r="T51" s="424"/>
      <c r="U51" s="424"/>
      <c r="V51" s="424">
        <v>1.3999999999999999E-4</v>
      </c>
      <c r="W51" s="424">
        <v>-9.0000000000000006E-5</v>
      </c>
      <c r="X51" s="20"/>
      <c r="Y51" s="20"/>
      <c r="Z51" s="20"/>
      <c r="AA51" s="20"/>
      <c r="AB51" s="20"/>
      <c r="AC51" s="20"/>
      <c r="AD51" s="20">
        <f t="shared" si="10"/>
        <v>-3.1079999999999997E-2</v>
      </c>
      <c r="AE51" s="20">
        <f t="shared" si="28"/>
        <v>0</v>
      </c>
      <c r="AF51" s="20"/>
      <c r="AG51" s="171">
        <f t="shared" si="29"/>
        <v>-3.5019999999999996E-2</v>
      </c>
      <c r="AH51" s="171">
        <f t="shared" si="1"/>
        <v>6.4000000000000005E-4</v>
      </c>
      <c r="AI51" s="171">
        <f t="shared" si="18"/>
        <v>-2.6290000000000001E-2</v>
      </c>
      <c r="AJ51" s="171">
        <f t="shared" si="19"/>
        <v>-9.3699999999999999E-3</v>
      </c>
      <c r="AK51" s="384">
        <f t="shared" si="13"/>
        <v>4.6700000000000005E-3</v>
      </c>
      <c r="AL51" s="171">
        <f t="shared" si="22"/>
        <v>-3.0989999999999997E-2</v>
      </c>
      <c r="AM51" s="20">
        <f t="shared" si="23"/>
        <v>9.0000000000000453E-5</v>
      </c>
      <c r="AN51" s="20">
        <f t="shared" si="14"/>
        <v>-3.5659999999999997E-2</v>
      </c>
      <c r="AO51" s="20">
        <f t="shared" si="24"/>
        <v>-9.0000000000000006E-5</v>
      </c>
      <c r="AQ51" s="20">
        <f t="shared" si="25"/>
        <v>3.9399999999999999E-3</v>
      </c>
      <c r="AS51" s="20">
        <f>+'Rates in detail'!Q51</f>
        <v>-2.4199999999999998E-3</v>
      </c>
      <c r="AT51" s="20"/>
      <c r="AU51" s="20"/>
      <c r="AV51" s="20">
        <f t="shared" si="26"/>
        <v>5.9000000000000003E-4</v>
      </c>
      <c r="AW51" s="20">
        <f t="shared" si="27"/>
        <v>1.3999999999999999E-4</v>
      </c>
      <c r="AX51" s="20">
        <f t="shared" si="15"/>
        <v>7.2999999999999996E-4</v>
      </c>
      <c r="AZ51" s="415">
        <v>3.9399999999999999E-3</v>
      </c>
      <c r="BA51" s="415">
        <v>7.2999999999999996E-4</v>
      </c>
      <c r="BB51" s="415">
        <v>-3.5659999999999997E-2</v>
      </c>
      <c r="BC51" s="448">
        <v>-9.0000000000000006E-5</v>
      </c>
      <c r="BD51" s="448">
        <v>0</v>
      </c>
      <c r="BF51" s="20">
        <f t="shared" si="16"/>
        <v>7.3000000000000061E-4</v>
      </c>
      <c r="BG51" s="20">
        <f t="shared" si="17"/>
        <v>-3.4929999999999996E-2</v>
      </c>
    </row>
    <row r="52" spans="1:59" x14ac:dyDescent="0.2">
      <c r="A52" s="4">
        <f t="shared" si="0"/>
        <v>46</v>
      </c>
      <c r="B52" s="68"/>
      <c r="C52" s="22" t="s">
        <v>11</v>
      </c>
      <c r="D52" s="354">
        <v>-3.3939999999999998E-2</v>
      </c>
      <c r="E52" s="354">
        <v>-3.5659999999999997E-2</v>
      </c>
      <c r="F52" s="360">
        <v>-2.6290000000000001E-2</v>
      </c>
      <c r="G52" s="360">
        <v>0</v>
      </c>
      <c r="H52" s="360">
        <v>-9.3699999999999999E-3</v>
      </c>
      <c r="I52" s="360">
        <v>-3.5659999999999997E-2</v>
      </c>
      <c r="J52" s="360">
        <v>-1.9099999999999999E-2</v>
      </c>
      <c r="K52" s="360">
        <v>1.48E-3</v>
      </c>
      <c r="L52" s="360">
        <v>2.2000000000000001E-4</v>
      </c>
      <c r="M52" s="421">
        <v>0</v>
      </c>
      <c r="N52" s="421">
        <v>0</v>
      </c>
      <c r="O52" s="361"/>
      <c r="P52" s="361"/>
      <c r="Q52" s="361"/>
      <c r="R52" s="361"/>
      <c r="S52" s="361"/>
      <c r="T52" s="361"/>
      <c r="U52" s="361"/>
      <c r="V52" s="361">
        <v>5.0000000000000002E-5</v>
      </c>
      <c r="W52" s="361">
        <v>-3.0000000000000001E-5</v>
      </c>
      <c r="X52" s="14"/>
      <c r="Y52" s="14"/>
      <c r="Z52" s="14"/>
      <c r="AA52" s="14"/>
      <c r="AB52" s="14"/>
      <c r="AC52" s="14"/>
      <c r="AD52" s="14">
        <f t="shared" si="10"/>
        <v>-3.3939999999999998E-2</v>
      </c>
      <c r="AE52" s="14">
        <f t="shared" si="28"/>
        <v>0</v>
      </c>
      <c r="AF52" s="20"/>
      <c r="AG52" s="171">
        <f t="shared" si="29"/>
        <v>-3.542E-2</v>
      </c>
      <c r="AH52" s="171">
        <f t="shared" si="1"/>
        <v>2.4000000000000001E-4</v>
      </c>
      <c r="AI52" s="171">
        <f t="shared" si="18"/>
        <v>-2.6290000000000001E-2</v>
      </c>
      <c r="AJ52" s="171">
        <f t="shared" si="19"/>
        <v>-9.3699999999999999E-3</v>
      </c>
      <c r="AK52" s="384">
        <f t="shared" si="13"/>
        <v>1.7499999999999998E-3</v>
      </c>
      <c r="AL52" s="171">
        <f t="shared" si="22"/>
        <v>-3.3909999999999996E-2</v>
      </c>
      <c r="AM52" s="20">
        <f t="shared" si="23"/>
        <v>2.9999999999999916E-5</v>
      </c>
      <c r="AN52" s="20">
        <f t="shared" si="14"/>
        <v>-3.5659999999999997E-2</v>
      </c>
      <c r="AO52" s="20">
        <f t="shared" si="24"/>
        <v>-3.0000000000000001E-5</v>
      </c>
      <c r="AQ52" s="20">
        <f t="shared" si="25"/>
        <v>1.48E-3</v>
      </c>
      <c r="AS52" s="20">
        <f>+'Rates in detail'!Q52</f>
        <v>-9.1E-4</v>
      </c>
      <c r="AT52" s="20"/>
      <c r="AU52" s="20"/>
      <c r="AV52" s="20">
        <f t="shared" si="26"/>
        <v>2.2000000000000001E-4</v>
      </c>
      <c r="AW52" s="20">
        <f t="shared" si="27"/>
        <v>5.0000000000000002E-5</v>
      </c>
      <c r="AX52" s="20">
        <f t="shared" si="15"/>
        <v>2.7E-4</v>
      </c>
      <c r="AZ52" s="415">
        <v>1.48E-3</v>
      </c>
      <c r="BA52" s="415">
        <v>2.7E-4</v>
      </c>
      <c r="BB52" s="415">
        <v>-3.5659999999999997E-2</v>
      </c>
      <c r="BC52" s="448">
        <v>-3.0000000000000001E-5</v>
      </c>
      <c r="BD52" s="448">
        <v>0</v>
      </c>
      <c r="BF52" s="20">
        <f t="shared" si="16"/>
        <v>2.6999999999999984E-4</v>
      </c>
      <c r="BG52" s="20">
        <f t="shared" si="17"/>
        <v>-3.5389999999999998E-2</v>
      </c>
    </row>
    <row r="53" spans="1:59" x14ac:dyDescent="0.2">
      <c r="A53" s="4">
        <f t="shared" si="0"/>
        <v>47</v>
      </c>
      <c r="B53" s="63" t="s">
        <v>247</v>
      </c>
      <c r="C53" s="18" t="s">
        <v>6</v>
      </c>
      <c r="D53" s="356">
        <v>-3.3389999999999996E-2</v>
      </c>
      <c r="E53" s="356">
        <v>-3.5659999999999997E-2</v>
      </c>
      <c r="F53" s="422">
        <v>-2.6290000000000001E-2</v>
      </c>
      <c r="G53" s="422">
        <v>0</v>
      </c>
      <c r="H53" s="422">
        <v>-9.3699999999999999E-3</v>
      </c>
      <c r="I53" s="422">
        <v>-3.5659999999999997E-2</v>
      </c>
      <c r="J53" s="422">
        <v>-1.9099999999999999E-2</v>
      </c>
      <c r="K53" s="422">
        <v>0</v>
      </c>
      <c r="L53" s="422">
        <v>2.0899999999999998E-3</v>
      </c>
      <c r="M53" s="423">
        <v>0</v>
      </c>
      <c r="N53" s="423">
        <v>0</v>
      </c>
      <c r="O53" s="424"/>
      <c r="P53" s="424"/>
      <c r="Q53" s="424"/>
      <c r="R53" s="424"/>
      <c r="S53" s="424"/>
      <c r="T53" s="424"/>
      <c r="U53" s="424"/>
      <c r="V53" s="424">
        <v>4.8999999999999998E-4</v>
      </c>
      <c r="W53" s="424">
        <v>-3.1E-4</v>
      </c>
      <c r="X53" s="20"/>
      <c r="Y53" s="20"/>
      <c r="Z53" s="20"/>
      <c r="AA53" s="20"/>
      <c r="AB53" s="20"/>
      <c r="AC53" s="20"/>
      <c r="AD53" s="20">
        <f t="shared" si="10"/>
        <v>-3.3389999999999996E-2</v>
      </c>
      <c r="AE53" s="20">
        <f t="shared" si="11"/>
        <v>0</v>
      </c>
      <c r="AF53" s="20"/>
      <c r="AG53" s="171">
        <f t="shared" si="29"/>
        <v>-3.3389999999999996E-2</v>
      </c>
      <c r="AH53" s="171">
        <f t="shared" si="1"/>
        <v>2.2699999999999999E-3</v>
      </c>
      <c r="AI53" s="171">
        <f t="shared" si="18"/>
        <v>-2.6290000000000001E-2</v>
      </c>
      <c r="AJ53" s="171">
        <f t="shared" si="19"/>
        <v>-9.3699999999999999E-3</v>
      </c>
      <c r="AK53" s="384">
        <f t="shared" si="13"/>
        <v>2.5799999999999998E-3</v>
      </c>
      <c r="AL53" s="171">
        <f t="shared" si="22"/>
        <v>-3.3079999999999998E-2</v>
      </c>
      <c r="AM53" s="20">
        <f t="shared" si="23"/>
        <v>3.0999999999999995E-4</v>
      </c>
      <c r="AN53" s="20">
        <f t="shared" si="14"/>
        <v>-3.5659999999999997E-2</v>
      </c>
      <c r="AO53" s="20">
        <f t="shared" si="24"/>
        <v>-3.1E-4</v>
      </c>
      <c r="AQ53" s="20">
        <f t="shared" si="25"/>
        <v>0</v>
      </c>
      <c r="AS53" s="20">
        <f>+'Rates in detail'!Q53</f>
        <v>-8.6E-3</v>
      </c>
      <c r="AT53" s="20"/>
      <c r="AU53" s="20"/>
      <c r="AV53" s="20">
        <f t="shared" si="26"/>
        <v>2.0899999999999998E-3</v>
      </c>
      <c r="AW53" s="20">
        <f t="shared" si="27"/>
        <v>4.8999999999999998E-4</v>
      </c>
      <c r="AX53" s="20">
        <f t="shared" si="15"/>
        <v>2.5799999999999998E-3</v>
      </c>
      <c r="AZ53" s="415">
        <v>0</v>
      </c>
      <c r="BA53" s="415">
        <v>2.5799999999999998E-3</v>
      </c>
      <c r="BB53" s="415">
        <v>-3.5659999999999997E-2</v>
      </c>
      <c r="BC53" s="448">
        <v>-3.1E-4</v>
      </c>
      <c r="BD53" s="448">
        <v>0</v>
      </c>
      <c r="BF53" s="20">
        <f t="shared" si="16"/>
        <v>2.5799999999999998E-3</v>
      </c>
      <c r="BG53" s="20">
        <f t="shared" si="17"/>
        <v>-3.3079999999999998E-2</v>
      </c>
    </row>
    <row r="54" spans="1:59" x14ac:dyDescent="0.2">
      <c r="A54" s="4">
        <f t="shared" si="0"/>
        <v>48</v>
      </c>
      <c r="B54" s="63"/>
      <c r="C54" s="18" t="s">
        <v>7</v>
      </c>
      <c r="D54" s="356">
        <v>-3.363E-2</v>
      </c>
      <c r="E54" s="356">
        <v>-3.5659999999999997E-2</v>
      </c>
      <c r="F54" s="422">
        <v>-2.6290000000000001E-2</v>
      </c>
      <c r="G54" s="422">
        <v>0</v>
      </c>
      <c r="H54" s="422">
        <v>-9.3699999999999999E-3</v>
      </c>
      <c r="I54" s="422">
        <v>-3.5659999999999997E-2</v>
      </c>
      <c r="J54" s="422">
        <v>-1.9099999999999999E-2</v>
      </c>
      <c r="K54" s="422">
        <v>0</v>
      </c>
      <c r="L54" s="422">
        <v>1.8699999999999999E-3</v>
      </c>
      <c r="M54" s="423">
        <v>0</v>
      </c>
      <c r="N54" s="423">
        <v>0</v>
      </c>
      <c r="O54" s="424"/>
      <c r="P54" s="424"/>
      <c r="Q54" s="424"/>
      <c r="R54" s="424"/>
      <c r="S54" s="424"/>
      <c r="T54" s="424"/>
      <c r="U54" s="424"/>
      <c r="V54" s="424">
        <v>4.4000000000000002E-4</v>
      </c>
      <c r="W54" s="424">
        <v>-2.7999999999999998E-4</v>
      </c>
      <c r="X54" s="20"/>
      <c r="Y54" s="20"/>
      <c r="Z54" s="20"/>
      <c r="AA54" s="20"/>
      <c r="AB54" s="20"/>
      <c r="AC54" s="20"/>
      <c r="AD54" s="20">
        <f t="shared" si="10"/>
        <v>-3.363E-2</v>
      </c>
      <c r="AE54" s="20">
        <f t="shared" si="11"/>
        <v>0</v>
      </c>
      <c r="AF54" s="20"/>
      <c r="AG54" s="171">
        <f t="shared" si="29"/>
        <v>-3.363E-2</v>
      </c>
      <c r="AH54" s="171">
        <f t="shared" si="1"/>
        <v>2.0300000000000001E-3</v>
      </c>
      <c r="AI54" s="171">
        <f t="shared" ref="AI54:AI66" si="30">+F54</f>
        <v>-2.6290000000000001E-2</v>
      </c>
      <c r="AJ54" s="171">
        <f t="shared" ref="AJ54:AJ66" si="31">+G54+H54</f>
        <v>-9.3699999999999999E-3</v>
      </c>
      <c r="AK54" s="384">
        <f t="shared" si="13"/>
        <v>2.31E-3</v>
      </c>
      <c r="AL54" s="171">
        <f t="shared" si="22"/>
        <v>-3.3349999999999998E-2</v>
      </c>
      <c r="AM54" s="20">
        <f t="shared" si="23"/>
        <v>2.7999999999999987E-4</v>
      </c>
      <c r="AN54" s="20">
        <f t="shared" si="14"/>
        <v>-3.5659999999999997E-2</v>
      </c>
      <c r="AO54" s="20">
        <f t="shared" si="24"/>
        <v>-2.7999999999999998E-4</v>
      </c>
      <c r="AQ54" s="20">
        <f t="shared" si="25"/>
        <v>0</v>
      </c>
      <c r="AS54" s="20">
        <f>+'Rates in detail'!Q54</f>
        <v>-7.6900000000000007E-3</v>
      </c>
      <c r="AT54" s="20"/>
      <c r="AU54" s="20"/>
      <c r="AV54" s="20">
        <f t="shared" si="26"/>
        <v>1.8699999999999999E-3</v>
      </c>
      <c r="AW54" s="20">
        <f t="shared" si="27"/>
        <v>4.4000000000000002E-4</v>
      </c>
      <c r="AX54" s="20">
        <f t="shared" si="15"/>
        <v>2.31E-3</v>
      </c>
      <c r="AZ54" s="415">
        <v>0</v>
      </c>
      <c r="BA54" s="415">
        <v>2.31E-3</v>
      </c>
      <c r="BB54" s="415">
        <v>-3.5659999999999997E-2</v>
      </c>
      <c r="BC54" s="448">
        <v>-2.7999999999999998E-4</v>
      </c>
      <c r="BD54" s="448">
        <v>0</v>
      </c>
      <c r="BF54" s="20">
        <f t="shared" si="16"/>
        <v>2.31E-3</v>
      </c>
      <c r="BG54" s="20">
        <f t="shared" si="17"/>
        <v>-3.3349999999999998E-2</v>
      </c>
    </row>
    <row r="55" spans="1:59" x14ac:dyDescent="0.2">
      <c r="A55" s="4">
        <f t="shared" ref="A55:A75" si="32">+A54+1</f>
        <v>49</v>
      </c>
      <c r="B55" s="63"/>
      <c r="C55" s="18" t="s">
        <v>8</v>
      </c>
      <c r="D55" s="356">
        <v>-3.4099999999999998E-2</v>
      </c>
      <c r="E55" s="356">
        <v>-3.5659999999999997E-2</v>
      </c>
      <c r="F55" s="422">
        <v>-2.6290000000000001E-2</v>
      </c>
      <c r="G55" s="422">
        <v>0</v>
      </c>
      <c r="H55" s="422">
        <v>-9.3699999999999999E-3</v>
      </c>
      <c r="I55" s="422">
        <v>-3.5659999999999997E-2</v>
      </c>
      <c r="J55" s="422">
        <v>-1.9099999999999999E-2</v>
      </c>
      <c r="K55" s="422">
        <v>0</v>
      </c>
      <c r="L55" s="422">
        <v>1.4300000000000001E-3</v>
      </c>
      <c r="M55" s="423">
        <v>0</v>
      </c>
      <c r="N55" s="423">
        <v>0</v>
      </c>
      <c r="O55" s="424"/>
      <c r="P55" s="424"/>
      <c r="Q55" s="424"/>
      <c r="R55" s="424"/>
      <c r="S55" s="424"/>
      <c r="T55" s="424"/>
      <c r="U55" s="424"/>
      <c r="V55" s="424">
        <v>3.4000000000000002E-4</v>
      </c>
      <c r="W55" s="424">
        <v>-2.1000000000000001E-4</v>
      </c>
      <c r="X55" s="20"/>
      <c r="Y55" s="20"/>
      <c r="Z55" s="20"/>
      <c r="AA55" s="20"/>
      <c r="AB55" s="20"/>
      <c r="AC55" s="20"/>
      <c r="AD55" s="20">
        <f t="shared" si="10"/>
        <v>-3.4099999999999998E-2</v>
      </c>
      <c r="AE55" s="20">
        <f t="shared" si="11"/>
        <v>0</v>
      </c>
      <c r="AF55" s="20"/>
      <c r="AG55" s="171">
        <f t="shared" si="29"/>
        <v>-3.4099999999999998E-2</v>
      </c>
      <c r="AH55" s="171">
        <f t="shared" si="1"/>
        <v>1.5600000000000002E-3</v>
      </c>
      <c r="AI55" s="171">
        <f t="shared" si="30"/>
        <v>-2.6290000000000001E-2</v>
      </c>
      <c r="AJ55" s="171">
        <f t="shared" si="31"/>
        <v>-9.3699999999999999E-3</v>
      </c>
      <c r="AK55" s="384">
        <f t="shared" si="13"/>
        <v>1.7700000000000001E-3</v>
      </c>
      <c r="AL55" s="171">
        <f t="shared" si="22"/>
        <v>-3.3889999999999997E-2</v>
      </c>
      <c r="AM55" s="20">
        <f t="shared" si="23"/>
        <v>2.099999999999999E-4</v>
      </c>
      <c r="AN55" s="20">
        <f t="shared" si="14"/>
        <v>-3.5659999999999997E-2</v>
      </c>
      <c r="AO55" s="20">
        <f t="shared" si="24"/>
        <v>-2.1000000000000001E-4</v>
      </c>
      <c r="AQ55" s="20">
        <f t="shared" si="25"/>
        <v>0</v>
      </c>
      <c r="AS55" s="20">
        <f>+'Rates in detail'!Q55</f>
        <v>-5.8999999999999999E-3</v>
      </c>
      <c r="AT55" s="20"/>
      <c r="AU55" s="20"/>
      <c r="AV55" s="20">
        <f t="shared" si="26"/>
        <v>1.4300000000000001E-3</v>
      </c>
      <c r="AW55" s="20">
        <f t="shared" si="27"/>
        <v>3.4000000000000002E-4</v>
      </c>
      <c r="AX55" s="20">
        <f t="shared" si="15"/>
        <v>1.7700000000000001E-3</v>
      </c>
      <c r="AZ55" s="415">
        <v>0</v>
      </c>
      <c r="BA55" s="415">
        <v>1.7700000000000001E-3</v>
      </c>
      <c r="BB55" s="415">
        <v>-3.5659999999999997E-2</v>
      </c>
      <c r="BC55" s="448">
        <v>-2.1000000000000001E-4</v>
      </c>
      <c r="BD55" s="448">
        <v>0</v>
      </c>
      <c r="BF55" s="20">
        <f t="shared" si="16"/>
        <v>1.7700000000000001E-3</v>
      </c>
      <c r="BG55" s="20">
        <f t="shared" si="17"/>
        <v>-3.3889999999999997E-2</v>
      </c>
    </row>
    <row r="56" spans="1:59" x14ac:dyDescent="0.2">
      <c r="A56" s="4">
        <f t="shared" si="32"/>
        <v>50</v>
      </c>
      <c r="B56" s="63"/>
      <c r="C56" s="18" t="s">
        <v>9</v>
      </c>
      <c r="D56" s="356">
        <v>-3.4409999999999996E-2</v>
      </c>
      <c r="E56" s="356">
        <v>-3.5659999999999997E-2</v>
      </c>
      <c r="F56" s="422">
        <v>-2.6290000000000001E-2</v>
      </c>
      <c r="G56" s="422">
        <v>0</v>
      </c>
      <c r="H56" s="422">
        <v>-9.3699999999999999E-3</v>
      </c>
      <c r="I56" s="422">
        <v>-3.5659999999999997E-2</v>
      </c>
      <c r="J56" s="422">
        <v>-1.9099999999999999E-2</v>
      </c>
      <c r="K56" s="422">
        <v>0</v>
      </c>
      <c r="L56" s="422">
        <v>1.15E-3</v>
      </c>
      <c r="M56" s="423">
        <v>0</v>
      </c>
      <c r="N56" s="423">
        <v>0</v>
      </c>
      <c r="O56" s="424"/>
      <c r="P56" s="424"/>
      <c r="Q56" s="424"/>
      <c r="R56" s="424"/>
      <c r="S56" s="424"/>
      <c r="T56" s="424"/>
      <c r="U56" s="424"/>
      <c r="V56" s="424">
        <v>2.7E-4</v>
      </c>
      <c r="W56" s="424">
        <v>-1.7000000000000001E-4</v>
      </c>
      <c r="X56" s="20"/>
      <c r="Y56" s="20"/>
      <c r="Z56" s="20"/>
      <c r="AA56" s="20"/>
      <c r="AB56" s="20"/>
      <c r="AC56" s="20"/>
      <c r="AD56" s="20">
        <f t="shared" si="10"/>
        <v>-3.4409999999999996E-2</v>
      </c>
      <c r="AE56" s="20">
        <f t="shared" si="11"/>
        <v>0</v>
      </c>
      <c r="AF56" s="20"/>
      <c r="AG56" s="171">
        <f t="shared" si="29"/>
        <v>-3.4409999999999996E-2</v>
      </c>
      <c r="AH56" s="171">
        <f t="shared" si="1"/>
        <v>1.25E-3</v>
      </c>
      <c r="AI56" s="171">
        <f t="shared" si="30"/>
        <v>-2.6290000000000001E-2</v>
      </c>
      <c r="AJ56" s="171">
        <f t="shared" si="31"/>
        <v>-9.3699999999999999E-3</v>
      </c>
      <c r="AK56" s="384">
        <f t="shared" si="13"/>
        <v>1.42E-3</v>
      </c>
      <c r="AL56" s="171">
        <f t="shared" si="22"/>
        <v>-3.424E-2</v>
      </c>
      <c r="AM56" s="20">
        <f t="shared" si="23"/>
        <v>1.7000000000000001E-4</v>
      </c>
      <c r="AN56" s="20">
        <f t="shared" si="14"/>
        <v>-3.5659999999999997E-2</v>
      </c>
      <c r="AO56" s="20">
        <f t="shared" si="24"/>
        <v>-1.7000000000000001E-4</v>
      </c>
      <c r="AQ56" s="20">
        <f t="shared" si="25"/>
        <v>0</v>
      </c>
      <c r="AS56" s="20">
        <f>+'Rates in detail'!Q56</f>
        <v>-4.7200000000000002E-3</v>
      </c>
      <c r="AT56" s="20"/>
      <c r="AU56" s="20"/>
      <c r="AV56" s="20">
        <f t="shared" si="26"/>
        <v>1.15E-3</v>
      </c>
      <c r="AW56" s="20">
        <f t="shared" si="27"/>
        <v>2.7E-4</v>
      </c>
      <c r="AX56" s="20">
        <f t="shared" si="15"/>
        <v>1.42E-3</v>
      </c>
      <c r="AZ56" s="415">
        <v>0</v>
      </c>
      <c r="BA56" s="415">
        <v>1.42E-3</v>
      </c>
      <c r="BB56" s="415">
        <v>-3.5659999999999997E-2</v>
      </c>
      <c r="BC56" s="448">
        <v>-1.7000000000000001E-4</v>
      </c>
      <c r="BD56" s="448">
        <v>0</v>
      </c>
      <c r="BF56" s="20">
        <f t="shared" si="16"/>
        <v>1.42E-3</v>
      </c>
      <c r="BG56" s="20">
        <f t="shared" si="17"/>
        <v>-3.424E-2</v>
      </c>
    </row>
    <row r="57" spans="1:59" x14ac:dyDescent="0.2">
      <c r="A57" s="4">
        <f t="shared" si="32"/>
        <v>51</v>
      </c>
      <c r="B57" s="63"/>
      <c r="C57" s="18" t="s">
        <v>10</v>
      </c>
      <c r="D57" s="356">
        <v>-3.483E-2</v>
      </c>
      <c r="E57" s="356">
        <v>-3.5659999999999997E-2</v>
      </c>
      <c r="F57" s="422">
        <v>-2.6290000000000001E-2</v>
      </c>
      <c r="G57" s="422">
        <v>0</v>
      </c>
      <c r="H57" s="422">
        <v>-9.3699999999999999E-3</v>
      </c>
      <c r="I57" s="422">
        <v>-3.5659999999999997E-2</v>
      </c>
      <c r="J57" s="422">
        <v>-1.9099999999999999E-2</v>
      </c>
      <c r="K57" s="422">
        <v>0</v>
      </c>
      <c r="L57" s="422">
        <v>7.6000000000000004E-4</v>
      </c>
      <c r="M57" s="423">
        <v>0</v>
      </c>
      <c r="N57" s="423">
        <v>0</v>
      </c>
      <c r="O57" s="424"/>
      <c r="P57" s="424"/>
      <c r="Q57" s="424"/>
      <c r="R57" s="424"/>
      <c r="S57" s="424"/>
      <c r="T57" s="424"/>
      <c r="U57" s="424"/>
      <c r="V57" s="424">
        <v>1.8000000000000001E-4</v>
      </c>
      <c r="W57" s="424">
        <v>-1.1E-4</v>
      </c>
      <c r="X57" s="20"/>
      <c r="Y57" s="20"/>
      <c r="Z57" s="20"/>
      <c r="AA57" s="20"/>
      <c r="AB57" s="20"/>
      <c r="AC57" s="20"/>
      <c r="AD57" s="20">
        <f t="shared" si="10"/>
        <v>-3.483E-2</v>
      </c>
      <c r="AE57" s="20">
        <f t="shared" si="11"/>
        <v>0</v>
      </c>
      <c r="AF57" s="20"/>
      <c r="AG57" s="171">
        <f t="shared" si="29"/>
        <v>-3.483E-2</v>
      </c>
      <c r="AH57" s="171">
        <f t="shared" si="1"/>
        <v>8.3000000000000001E-4</v>
      </c>
      <c r="AI57" s="171">
        <f t="shared" si="30"/>
        <v>-2.6290000000000001E-2</v>
      </c>
      <c r="AJ57" s="171">
        <f t="shared" si="31"/>
        <v>-9.3699999999999999E-3</v>
      </c>
      <c r="AK57" s="384">
        <f t="shared" si="13"/>
        <v>9.4000000000000008E-4</v>
      </c>
      <c r="AL57" s="171">
        <f t="shared" si="22"/>
        <v>-3.4719999999999994E-2</v>
      </c>
      <c r="AM57" s="20">
        <f t="shared" si="23"/>
        <v>1.1000000000000007E-4</v>
      </c>
      <c r="AN57" s="20">
        <f t="shared" si="14"/>
        <v>-3.5659999999999997E-2</v>
      </c>
      <c r="AO57" s="20">
        <f t="shared" si="24"/>
        <v>-1.1E-4</v>
      </c>
      <c r="AQ57" s="20">
        <f t="shared" si="25"/>
        <v>0</v>
      </c>
      <c r="AS57" s="20">
        <f>+'Rates in detail'!Q57</f>
        <v>-3.15E-3</v>
      </c>
      <c r="AT57" s="20"/>
      <c r="AU57" s="20"/>
      <c r="AV57" s="20">
        <f t="shared" si="26"/>
        <v>7.6000000000000004E-4</v>
      </c>
      <c r="AW57" s="20">
        <f t="shared" si="27"/>
        <v>1.8000000000000001E-4</v>
      </c>
      <c r="AX57" s="20">
        <f t="shared" si="15"/>
        <v>9.4000000000000008E-4</v>
      </c>
      <c r="AZ57" s="415">
        <v>0</v>
      </c>
      <c r="BA57" s="415">
        <v>9.4000000000000008E-4</v>
      </c>
      <c r="BB57" s="415">
        <v>-3.5659999999999997E-2</v>
      </c>
      <c r="BC57" s="448">
        <v>-1.1E-4</v>
      </c>
      <c r="BD57" s="448">
        <v>0</v>
      </c>
      <c r="BF57" s="20">
        <f t="shared" si="16"/>
        <v>9.4000000000000008E-4</v>
      </c>
      <c r="BG57" s="20">
        <f t="shared" si="17"/>
        <v>-3.4719999999999994E-2</v>
      </c>
    </row>
    <row r="58" spans="1:59" x14ac:dyDescent="0.2">
      <c r="A58" s="4">
        <f t="shared" si="32"/>
        <v>52</v>
      </c>
      <c r="B58" s="68"/>
      <c r="C58" s="22" t="s">
        <v>11</v>
      </c>
      <c r="D58" s="354">
        <v>-3.5339999999999996E-2</v>
      </c>
      <c r="E58" s="354">
        <v>-3.5659999999999997E-2</v>
      </c>
      <c r="F58" s="360">
        <v>-2.6290000000000001E-2</v>
      </c>
      <c r="G58" s="360">
        <v>0</v>
      </c>
      <c r="H58" s="360">
        <v>-9.3699999999999999E-3</v>
      </c>
      <c r="I58" s="360">
        <v>-3.5659999999999997E-2</v>
      </c>
      <c r="J58" s="360">
        <v>-1.9099999999999999E-2</v>
      </c>
      <c r="K58" s="360">
        <v>0</v>
      </c>
      <c r="L58" s="360">
        <v>2.9E-4</v>
      </c>
      <c r="M58" s="421">
        <v>0</v>
      </c>
      <c r="N58" s="421">
        <v>0</v>
      </c>
      <c r="O58" s="361"/>
      <c r="P58" s="361"/>
      <c r="Q58" s="361"/>
      <c r="R58" s="361"/>
      <c r="S58" s="361"/>
      <c r="T58" s="361"/>
      <c r="U58" s="361"/>
      <c r="V58" s="361">
        <v>6.9999999999999994E-5</v>
      </c>
      <c r="W58" s="361">
        <v>-4.0000000000000003E-5</v>
      </c>
      <c r="X58" s="14"/>
      <c r="Y58" s="14"/>
      <c r="Z58" s="14"/>
      <c r="AA58" s="14"/>
      <c r="AB58" s="14"/>
      <c r="AC58" s="14"/>
      <c r="AD58" s="14">
        <f t="shared" si="10"/>
        <v>-3.5339999999999996E-2</v>
      </c>
      <c r="AE58" s="14">
        <f t="shared" si="11"/>
        <v>0</v>
      </c>
      <c r="AF58" s="20"/>
      <c r="AG58" s="171">
        <f t="shared" si="29"/>
        <v>-3.5339999999999996E-2</v>
      </c>
      <c r="AH58" s="171">
        <f t="shared" ref="AH58:AH66" si="33">+W58+V58+L58</f>
        <v>3.1999999999999997E-4</v>
      </c>
      <c r="AI58" s="171">
        <f t="shared" si="30"/>
        <v>-2.6290000000000001E-2</v>
      </c>
      <c r="AJ58" s="171">
        <f t="shared" si="31"/>
        <v>-9.3699999999999999E-3</v>
      </c>
      <c r="AK58" s="384">
        <f t="shared" si="13"/>
        <v>3.5999999999999997E-4</v>
      </c>
      <c r="AL58" s="171">
        <f t="shared" si="22"/>
        <v>-3.5299999999999998E-2</v>
      </c>
      <c r="AM58" s="20">
        <f t="shared" si="23"/>
        <v>3.9999999999999996E-5</v>
      </c>
      <c r="AN58" s="20">
        <f t="shared" si="14"/>
        <v>-3.5659999999999997E-2</v>
      </c>
      <c r="AO58" s="20">
        <f t="shared" si="24"/>
        <v>-4.0000000000000003E-5</v>
      </c>
      <c r="AQ58" s="20">
        <f t="shared" si="25"/>
        <v>0</v>
      </c>
      <c r="AS58" s="20">
        <f>+'Rates in detail'!Q58</f>
        <v>-1.1800000000000001E-3</v>
      </c>
      <c r="AT58" s="20"/>
      <c r="AU58" s="20"/>
      <c r="AV58" s="20">
        <f t="shared" si="26"/>
        <v>2.9E-4</v>
      </c>
      <c r="AW58" s="20">
        <f t="shared" si="27"/>
        <v>6.9999999999999994E-5</v>
      </c>
      <c r="AX58" s="20">
        <f t="shared" si="15"/>
        <v>3.5999999999999997E-4</v>
      </c>
      <c r="AZ58" s="415">
        <v>0</v>
      </c>
      <c r="BA58" s="415">
        <v>3.5999999999999997E-4</v>
      </c>
      <c r="BB58" s="415">
        <v>-3.5659999999999997E-2</v>
      </c>
      <c r="BC58" s="448">
        <v>-4.0000000000000003E-5</v>
      </c>
      <c r="BD58" s="448">
        <v>0</v>
      </c>
      <c r="BF58" s="20">
        <f t="shared" si="16"/>
        <v>3.5999999999999997E-4</v>
      </c>
      <c r="BG58" s="20">
        <f t="shared" si="17"/>
        <v>-3.5299999999999998E-2</v>
      </c>
    </row>
    <row r="59" spans="1:59" x14ac:dyDescent="0.2">
      <c r="A59" s="4">
        <f t="shared" si="32"/>
        <v>53</v>
      </c>
      <c r="B59" s="63" t="s">
        <v>130</v>
      </c>
      <c r="C59" s="18" t="s">
        <v>6</v>
      </c>
      <c r="D59" s="356">
        <v>-2.1000000000000001E-4</v>
      </c>
      <c r="E59" s="356">
        <v>0</v>
      </c>
      <c r="F59" s="422">
        <v>0</v>
      </c>
      <c r="G59" s="422">
        <v>0</v>
      </c>
      <c r="H59" s="422">
        <v>0</v>
      </c>
      <c r="I59" s="422">
        <v>0</v>
      </c>
      <c r="J59" s="422">
        <v>0</v>
      </c>
      <c r="K59" s="422">
        <v>0</v>
      </c>
      <c r="L59" s="422">
        <v>0</v>
      </c>
      <c r="M59" s="423">
        <v>0</v>
      </c>
      <c r="N59" s="423">
        <v>0</v>
      </c>
      <c r="O59" s="424"/>
      <c r="P59" s="424"/>
      <c r="Q59" s="424"/>
      <c r="R59" s="424"/>
      <c r="S59" s="424"/>
      <c r="T59" s="424"/>
      <c r="U59" s="424"/>
      <c r="V59" s="424">
        <v>0</v>
      </c>
      <c r="W59" s="424">
        <v>-2.1000000000000001E-4</v>
      </c>
      <c r="X59" s="20"/>
      <c r="Y59" s="20"/>
      <c r="Z59" s="20"/>
      <c r="AA59" s="20"/>
      <c r="AB59" s="20"/>
      <c r="AC59" s="20"/>
      <c r="AD59" s="20">
        <f t="shared" si="10"/>
        <v>-2.1000000000000001E-4</v>
      </c>
      <c r="AE59" s="20">
        <f t="shared" si="11"/>
        <v>0</v>
      </c>
      <c r="AF59" s="20"/>
      <c r="AG59" s="171">
        <f t="shared" si="29"/>
        <v>-2.1000000000000001E-4</v>
      </c>
      <c r="AH59" s="171">
        <f t="shared" si="33"/>
        <v>-2.1000000000000001E-4</v>
      </c>
      <c r="AI59" s="171">
        <f t="shared" si="30"/>
        <v>0</v>
      </c>
      <c r="AJ59" s="171">
        <f t="shared" si="31"/>
        <v>0</v>
      </c>
      <c r="AK59" s="384">
        <f t="shared" si="13"/>
        <v>0</v>
      </c>
      <c r="AL59" s="171">
        <f t="shared" si="22"/>
        <v>0</v>
      </c>
      <c r="AM59" s="20">
        <f t="shared" si="23"/>
        <v>2.1000000000000001E-4</v>
      </c>
      <c r="AN59" s="20">
        <f t="shared" si="14"/>
        <v>0</v>
      </c>
      <c r="AO59" s="20">
        <f t="shared" si="24"/>
        <v>-2.1000000000000001E-4</v>
      </c>
      <c r="AQ59" s="20">
        <f t="shared" si="25"/>
        <v>0</v>
      </c>
      <c r="AS59" s="20">
        <f>+'Rates in detail'!Q59</f>
        <v>-5.6699999999999997E-3</v>
      </c>
      <c r="AT59" s="20"/>
      <c r="AU59" s="20"/>
      <c r="AV59" s="20">
        <f t="shared" si="26"/>
        <v>0</v>
      </c>
      <c r="AW59" s="20">
        <f t="shared" si="27"/>
        <v>0</v>
      </c>
      <c r="AX59" s="20">
        <f t="shared" si="15"/>
        <v>0</v>
      </c>
      <c r="AZ59" s="415">
        <v>0</v>
      </c>
      <c r="BA59" s="415">
        <v>0</v>
      </c>
      <c r="BB59" s="415">
        <v>0</v>
      </c>
      <c r="BC59" s="448">
        <v>-2.1000000000000001E-4</v>
      </c>
      <c r="BD59" s="448">
        <v>0</v>
      </c>
      <c r="BF59" s="20">
        <f t="shared" si="16"/>
        <v>0</v>
      </c>
      <c r="BG59" s="20">
        <f t="shared" si="17"/>
        <v>0</v>
      </c>
    </row>
    <row r="60" spans="1:59" x14ac:dyDescent="0.2">
      <c r="A60" s="4">
        <f t="shared" si="32"/>
        <v>54</v>
      </c>
      <c r="B60" s="63"/>
      <c r="C60" s="18" t="s">
        <v>7</v>
      </c>
      <c r="D60" s="356">
        <v>-1.9000000000000001E-4</v>
      </c>
      <c r="E60" s="356">
        <v>0</v>
      </c>
      <c r="F60" s="422">
        <v>0</v>
      </c>
      <c r="G60" s="422">
        <v>0</v>
      </c>
      <c r="H60" s="422">
        <v>0</v>
      </c>
      <c r="I60" s="422">
        <v>0</v>
      </c>
      <c r="J60" s="422">
        <v>0</v>
      </c>
      <c r="K60" s="422">
        <v>0</v>
      </c>
      <c r="L60" s="422">
        <v>0</v>
      </c>
      <c r="M60" s="423">
        <v>0</v>
      </c>
      <c r="N60" s="423">
        <v>0</v>
      </c>
      <c r="O60" s="424"/>
      <c r="P60" s="424"/>
      <c r="Q60" s="424"/>
      <c r="R60" s="424"/>
      <c r="S60" s="424"/>
      <c r="T60" s="424"/>
      <c r="U60" s="424"/>
      <c r="V60" s="424">
        <v>0</v>
      </c>
      <c r="W60" s="424">
        <v>-1.9000000000000001E-4</v>
      </c>
      <c r="X60" s="20"/>
      <c r="Y60" s="20"/>
      <c r="Z60" s="20"/>
      <c r="AA60" s="20"/>
      <c r="AB60" s="20"/>
      <c r="AC60" s="20"/>
      <c r="AD60" s="20">
        <f t="shared" si="10"/>
        <v>-1.9000000000000001E-4</v>
      </c>
      <c r="AE60" s="20">
        <f t="shared" si="11"/>
        <v>0</v>
      </c>
      <c r="AF60" s="20"/>
      <c r="AG60" s="171">
        <f t="shared" si="29"/>
        <v>-1.9000000000000001E-4</v>
      </c>
      <c r="AH60" s="171">
        <f t="shared" si="33"/>
        <v>-1.9000000000000001E-4</v>
      </c>
      <c r="AI60" s="171">
        <f t="shared" si="30"/>
        <v>0</v>
      </c>
      <c r="AJ60" s="171">
        <f t="shared" si="31"/>
        <v>0</v>
      </c>
      <c r="AK60" s="384">
        <f t="shared" si="13"/>
        <v>0</v>
      </c>
      <c r="AL60" s="171">
        <f t="shared" si="22"/>
        <v>0</v>
      </c>
      <c r="AM60" s="20">
        <f t="shared" si="23"/>
        <v>1.9000000000000001E-4</v>
      </c>
      <c r="AN60" s="20">
        <f t="shared" si="14"/>
        <v>0</v>
      </c>
      <c r="AO60" s="20">
        <f t="shared" si="24"/>
        <v>-1.9000000000000001E-4</v>
      </c>
      <c r="AQ60" s="20">
        <f t="shared" si="25"/>
        <v>0</v>
      </c>
      <c r="AS60" s="20">
        <f>+'Rates in detail'!Q60</f>
        <v>-5.0799999999999994E-3</v>
      </c>
      <c r="AT60" s="20"/>
      <c r="AU60" s="20"/>
      <c r="AV60" s="20">
        <f t="shared" si="26"/>
        <v>0</v>
      </c>
      <c r="AW60" s="20">
        <f t="shared" si="27"/>
        <v>0</v>
      </c>
      <c r="AX60" s="20">
        <f t="shared" si="15"/>
        <v>0</v>
      </c>
      <c r="AZ60" s="415">
        <v>0</v>
      </c>
      <c r="BA60" s="415">
        <v>0</v>
      </c>
      <c r="BB60" s="415">
        <v>0</v>
      </c>
      <c r="BC60" s="448">
        <v>-1.9000000000000001E-4</v>
      </c>
      <c r="BD60" s="448">
        <v>0</v>
      </c>
      <c r="BF60" s="20">
        <f t="shared" si="16"/>
        <v>0</v>
      </c>
      <c r="BG60" s="20">
        <f t="shared" si="17"/>
        <v>0</v>
      </c>
    </row>
    <row r="61" spans="1:59" x14ac:dyDescent="0.2">
      <c r="A61" s="4">
        <f t="shared" si="32"/>
        <v>55</v>
      </c>
      <c r="B61" s="63"/>
      <c r="C61" s="18" t="s">
        <v>8</v>
      </c>
      <c r="D61" s="356">
        <v>-1.3999999999999999E-4</v>
      </c>
      <c r="E61" s="356">
        <v>0</v>
      </c>
      <c r="F61" s="422">
        <v>0</v>
      </c>
      <c r="G61" s="422">
        <v>0</v>
      </c>
      <c r="H61" s="422">
        <v>0</v>
      </c>
      <c r="I61" s="422">
        <v>0</v>
      </c>
      <c r="J61" s="422">
        <v>0</v>
      </c>
      <c r="K61" s="422">
        <v>0</v>
      </c>
      <c r="L61" s="422">
        <v>0</v>
      </c>
      <c r="M61" s="423">
        <v>0</v>
      </c>
      <c r="N61" s="423">
        <v>0</v>
      </c>
      <c r="O61" s="424"/>
      <c r="P61" s="424"/>
      <c r="Q61" s="424"/>
      <c r="R61" s="424"/>
      <c r="S61" s="424"/>
      <c r="T61" s="424"/>
      <c r="U61" s="424"/>
      <c r="V61" s="424">
        <v>0</v>
      </c>
      <c r="W61" s="424">
        <v>-1.3999999999999999E-4</v>
      </c>
      <c r="X61" s="20"/>
      <c r="Y61" s="20"/>
      <c r="Z61" s="20"/>
      <c r="AA61" s="20"/>
      <c r="AB61" s="20"/>
      <c r="AC61" s="20"/>
      <c r="AD61" s="20">
        <f t="shared" si="10"/>
        <v>-1.3999999999999999E-4</v>
      </c>
      <c r="AE61" s="20">
        <f t="shared" si="11"/>
        <v>0</v>
      </c>
      <c r="AF61" s="20"/>
      <c r="AG61" s="171">
        <f t="shared" si="29"/>
        <v>-1.3999999999999999E-4</v>
      </c>
      <c r="AH61" s="171">
        <f t="shared" si="33"/>
        <v>-1.3999999999999999E-4</v>
      </c>
      <c r="AI61" s="171">
        <f t="shared" si="30"/>
        <v>0</v>
      </c>
      <c r="AJ61" s="171">
        <f t="shared" si="31"/>
        <v>0</v>
      </c>
      <c r="AK61" s="384">
        <f t="shared" si="13"/>
        <v>0</v>
      </c>
      <c r="AL61" s="171">
        <f t="shared" si="22"/>
        <v>0</v>
      </c>
      <c r="AM61" s="20">
        <f t="shared" si="23"/>
        <v>1.3999999999999999E-4</v>
      </c>
      <c r="AN61" s="20">
        <f t="shared" si="14"/>
        <v>0</v>
      </c>
      <c r="AO61" s="20">
        <f t="shared" si="24"/>
        <v>-1.3999999999999999E-4</v>
      </c>
      <c r="AQ61" s="20">
        <f t="shared" si="25"/>
        <v>0</v>
      </c>
      <c r="AS61" s="20">
        <f>+'Rates in detail'!Q61</f>
        <v>-3.8899999999999998E-3</v>
      </c>
      <c r="AT61" s="20"/>
      <c r="AU61" s="20"/>
      <c r="AV61" s="20">
        <f t="shared" si="26"/>
        <v>0</v>
      </c>
      <c r="AW61" s="20">
        <f t="shared" si="27"/>
        <v>0</v>
      </c>
      <c r="AX61" s="20">
        <f t="shared" si="15"/>
        <v>0</v>
      </c>
      <c r="AZ61" s="415">
        <v>0</v>
      </c>
      <c r="BA61" s="415">
        <v>0</v>
      </c>
      <c r="BB61" s="415">
        <v>0</v>
      </c>
      <c r="BC61" s="448">
        <v>-1.3999999999999999E-4</v>
      </c>
      <c r="BD61" s="448">
        <v>0</v>
      </c>
      <c r="BF61" s="20">
        <f t="shared" si="16"/>
        <v>0</v>
      </c>
      <c r="BG61" s="20">
        <f t="shared" si="17"/>
        <v>0</v>
      </c>
    </row>
    <row r="62" spans="1:59" x14ac:dyDescent="0.2">
      <c r="A62" s="4">
        <f t="shared" si="32"/>
        <v>56</v>
      </c>
      <c r="B62" s="63"/>
      <c r="C62" s="18" t="s">
        <v>9</v>
      </c>
      <c r="D62" s="356">
        <v>-1.1E-4</v>
      </c>
      <c r="E62" s="356">
        <v>0</v>
      </c>
      <c r="F62" s="422">
        <v>0</v>
      </c>
      <c r="G62" s="422">
        <v>0</v>
      </c>
      <c r="H62" s="422">
        <v>0</v>
      </c>
      <c r="I62" s="422">
        <v>0</v>
      </c>
      <c r="J62" s="422">
        <v>0</v>
      </c>
      <c r="K62" s="422">
        <v>0</v>
      </c>
      <c r="L62" s="422">
        <v>0</v>
      </c>
      <c r="M62" s="423">
        <v>0</v>
      </c>
      <c r="N62" s="423">
        <v>0</v>
      </c>
      <c r="O62" s="424"/>
      <c r="P62" s="424"/>
      <c r="Q62" s="424"/>
      <c r="R62" s="424"/>
      <c r="S62" s="424"/>
      <c r="T62" s="424"/>
      <c r="U62" s="424"/>
      <c r="V62" s="424">
        <v>0</v>
      </c>
      <c r="W62" s="424">
        <v>-1.1E-4</v>
      </c>
      <c r="X62" s="20"/>
      <c r="Y62" s="20"/>
      <c r="Z62" s="20"/>
      <c r="AA62" s="20"/>
      <c r="AB62" s="20"/>
      <c r="AC62" s="20"/>
      <c r="AD62" s="20">
        <f t="shared" si="10"/>
        <v>-1.1E-4</v>
      </c>
      <c r="AE62" s="20">
        <f t="shared" si="11"/>
        <v>0</v>
      </c>
      <c r="AF62" s="20"/>
      <c r="AG62" s="171">
        <f t="shared" si="29"/>
        <v>-1.1E-4</v>
      </c>
      <c r="AH62" s="171">
        <f t="shared" si="33"/>
        <v>-1.1E-4</v>
      </c>
      <c r="AI62" s="171">
        <f t="shared" si="30"/>
        <v>0</v>
      </c>
      <c r="AJ62" s="171">
        <f t="shared" si="31"/>
        <v>0</v>
      </c>
      <c r="AK62" s="384">
        <f t="shared" si="13"/>
        <v>0</v>
      </c>
      <c r="AL62" s="171">
        <f t="shared" si="22"/>
        <v>0</v>
      </c>
      <c r="AM62" s="20">
        <f t="shared" si="23"/>
        <v>1.1E-4</v>
      </c>
      <c r="AN62" s="20">
        <f t="shared" si="14"/>
        <v>0</v>
      </c>
      <c r="AO62" s="20">
        <f t="shared" si="24"/>
        <v>-1.1E-4</v>
      </c>
      <c r="AQ62" s="20">
        <f t="shared" si="25"/>
        <v>0</v>
      </c>
      <c r="AS62" s="20">
        <f>+'Rates in detail'!Q62</f>
        <v>-3.1200000000000004E-3</v>
      </c>
      <c r="AT62" s="20"/>
      <c r="AU62" s="20"/>
      <c r="AV62" s="20">
        <f t="shared" si="26"/>
        <v>0</v>
      </c>
      <c r="AW62" s="20">
        <f t="shared" si="27"/>
        <v>0</v>
      </c>
      <c r="AX62" s="20">
        <f t="shared" si="15"/>
        <v>0</v>
      </c>
      <c r="AZ62" s="415">
        <v>0</v>
      </c>
      <c r="BA62" s="415">
        <v>0</v>
      </c>
      <c r="BB62" s="415">
        <v>0</v>
      </c>
      <c r="BC62" s="448">
        <v>-1.1E-4</v>
      </c>
      <c r="BD62" s="448">
        <v>0</v>
      </c>
      <c r="BF62" s="20">
        <f t="shared" si="16"/>
        <v>0</v>
      </c>
      <c r="BG62" s="20">
        <f t="shared" si="17"/>
        <v>0</v>
      </c>
    </row>
    <row r="63" spans="1:59" x14ac:dyDescent="0.2">
      <c r="A63" s="4">
        <f t="shared" si="32"/>
        <v>57</v>
      </c>
      <c r="B63" s="63"/>
      <c r="C63" s="18" t="s">
        <v>10</v>
      </c>
      <c r="D63" s="356">
        <v>-8.0000000000000007E-5</v>
      </c>
      <c r="E63" s="356">
        <v>0</v>
      </c>
      <c r="F63" s="422">
        <v>0</v>
      </c>
      <c r="G63" s="422">
        <v>0</v>
      </c>
      <c r="H63" s="422">
        <v>0</v>
      </c>
      <c r="I63" s="422">
        <v>0</v>
      </c>
      <c r="J63" s="422">
        <v>0</v>
      </c>
      <c r="K63" s="422">
        <v>0</v>
      </c>
      <c r="L63" s="422">
        <v>0</v>
      </c>
      <c r="M63" s="423">
        <v>0</v>
      </c>
      <c r="N63" s="423">
        <v>0</v>
      </c>
      <c r="O63" s="424"/>
      <c r="P63" s="424"/>
      <c r="Q63" s="424"/>
      <c r="R63" s="424"/>
      <c r="S63" s="424"/>
      <c r="T63" s="424"/>
      <c r="U63" s="424"/>
      <c r="V63" s="424">
        <v>0</v>
      </c>
      <c r="W63" s="424">
        <v>-8.0000000000000007E-5</v>
      </c>
      <c r="X63" s="20"/>
      <c r="Y63" s="20"/>
      <c r="Z63" s="20"/>
      <c r="AA63" s="20"/>
      <c r="AB63" s="20"/>
      <c r="AC63" s="20"/>
      <c r="AD63" s="20">
        <f t="shared" si="10"/>
        <v>-8.0000000000000007E-5</v>
      </c>
      <c r="AE63" s="20">
        <f t="shared" si="11"/>
        <v>0</v>
      </c>
      <c r="AF63" s="20"/>
      <c r="AG63" s="171">
        <f t="shared" si="29"/>
        <v>-8.0000000000000007E-5</v>
      </c>
      <c r="AH63" s="171">
        <f t="shared" si="33"/>
        <v>-8.0000000000000007E-5</v>
      </c>
      <c r="AI63" s="171">
        <f t="shared" si="30"/>
        <v>0</v>
      </c>
      <c r="AJ63" s="171">
        <f t="shared" si="31"/>
        <v>0</v>
      </c>
      <c r="AK63" s="384">
        <f t="shared" si="13"/>
        <v>0</v>
      </c>
      <c r="AL63" s="171">
        <f t="shared" si="22"/>
        <v>0</v>
      </c>
      <c r="AM63" s="20">
        <f t="shared" si="23"/>
        <v>8.0000000000000007E-5</v>
      </c>
      <c r="AN63" s="20">
        <f t="shared" si="14"/>
        <v>0</v>
      </c>
      <c r="AO63" s="20">
        <f t="shared" si="24"/>
        <v>-8.0000000000000007E-5</v>
      </c>
      <c r="AQ63" s="20">
        <f t="shared" si="25"/>
        <v>0</v>
      </c>
      <c r="AS63" s="20">
        <f>+'Rates in detail'!Q63</f>
        <v>-2.0799999999999998E-3</v>
      </c>
      <c r="AT63" s="20"/>
      <c r="AU63" s="20"/>
      <c r="AV63" s="20">
        <f t="shared" si="26"/>
        <v>0</v>
      </c>
      <c r="AW63" s="20">
        <f t="shared" si="27"/>
        <v>0</v>
      </c>
      <c r="AX63" s="20">
        <f t="shared" si="15"/>
        <v>0</v>
      </c>
      <c r="AZ63" s="415">
        <v>0</v>
      </c>
      <c r="BA63" s="415">
        <v>0</v>
      </c>
      <c r="BB63" s="415">
        <v>0</v>
      </c>
      <c r="BC63" s="448">
        <v>-8.0000000000000007E-5</v>
      </c>
      <c r="BD63" s="448">
        <v>0</v>
      </c>
      <c r="BF63" s="20">
        <f t="shared" si="16"/>
        <v>0</v>
      </c>
      <c r="BG63" s="20">
        <f t="shared" si="17"/>
        <v>0</v>
      </c>
    </row>
    <row r="64" spans="1:59" x14ac:dyDescent="0.2">
      <c r="A64" s="4">
        <f t="shared" si="32"/>
        <v>58</v>
      </c>
      <c r="B64" s="68"/>
      <c r="C64" s="22" t="s">
        <v>11</v>
      </c>
      <c r="D64" s="354">
        <v>-3.0000000000000001E-5</v>
      </c>
      <c r="E64" s="354">
        <v>0</v>
      </c>
      <c r="F64" s="360">
        <v>0</v>
      </c>
      <c r="G64" s="360">
        <v>0</v>
      </c>
      <c r="H64" s="360">
        <v>0</v>
      </c>
      <c r="I64" s="360">
        <v>0</v>
      </c>
      <c r="J64" s="360">
        <v>0</v>
      </c>
      <c r="K64" s="360">
        <v>0</v>
      </c>
      <c r="L64" s="360">
        <v>0</v>
      </c>
      <c r="M64" s="421">
        <v>0</v>
      </c>
      <c r="N64" s="421">
        <v>0</v>
      </c>
      <c r="O64" s="361"/>
      <c r="P64" s="361"/>
      <c r="Q64" s="361"/>
      <c r="R64" s="361"/>
      <c r="S64" s="361"/>
      <c r="T64" s="361"/>
      <c r="U64" s="361"/>
      <c r="V64" s="361">
        <v>0</v>
      </c>
      <c r="W64" s="361">
        <v>-3.0000000000000001E-5</v>
      </c>
      <c r="X64" s="14"/>
      <c r="Y64" s="14"/>
      <c r="Z64" s="14"/>
      <c r="AA64" s="14"/>
      <c r="AB64" s="14"/>
      <c r="AC64" s="14"/>
      <c r="AD64" s="14">
        <f t="shared" si="10"/>
        <v>-3.0000000000000001E-5</v>
      </c>
      <c r="AE64" s="14">
        <f t="shared" si="11"/>
        <v>0</v>
      </c>
      <c r="AF64" s="20"/>
      <c r="AG64" s="171">
        <f t="shared" si="29"/>
        <v>-3.0000000000000001E-5</v>
      </c>
      <c r="AH64" s="171">
        <f t="shared" si="33"/>
        <v>-3.0000000000000001E-5</v>
      </c>
      <c r="AI64" s="171">
        <f t="shared" si="30"/>
        <v>0</v>
      </c>
      <c r="AJ64" s="171">
        <f t="shared" si="31"/>
        <v>0</v>
      </c>
      <c r="AK64" s="384">
        <f t="shared" si="13"/>
        <v>0</v>
      </c>
      <c r="AL64" s="171">
        <f t="shared" si="22"/>
        <v>0</v>
      </c>
      <c r="AM64" s="20">
        <f t="shared" si="23"/>
        <v>3.0000000000000001E-5</v>
      </c>
      <c r="AN64" s="20">
        <f t="shared" si="14"/>
        <v>0</v>
      </c>
      <c r="AO64" s="20">
        <f t="shared" si="24"/>
        <v>-3.0000000000000001E-5</v>
      </c>
      <c r="AQ64" s="20">
        <f t="shared" si="25"/>
        <v>0</v>
      </c>
      <c r="AS64" s="20">
        <f>+'Rates in detail'!Q64</f>
        <v>-7.8000000000000009E-4</v>
      </c>
      <c r="AT64" s="20"/>
      <c r="AU64" s="20"/>
      <c r="AV64" s="20">
        <f t="shared" si="26"/>
        <v>0</v>
      </c>
      <c r="AW64" s="20">
        <f t="shared" si="27"/>
        <v>0</v>
      </c>
      <c r="AX64" s="20">
        <f t="shared" si="15"/>
        <v>0</v>
      </c>
      <c r="AZ64" s="415">
        <v>0</v>
      </c>
      <c r="BA64" s="415">
        <v>0</v>
      </c>
      <c r="BB64" s="415">
        <v>0</v>
      </c>
      <c r="BC64" s="448">
        <v>-3.0000000000000001E-5</v>
      </c>
      <c r="BD64" s="448">
        <v>0</v>
      </c>
      <c r="BF64" s="20">
        <f t="shared" si="16"/>
        <v>0</v>
      </c>
      <c r="BG64" s="20">
        <f t="shared" si="17"/>
        <v>0</v>
      </c>
    </row>
    <row r="65" spans="1:59" x14ac:dyDescent="0.2">
      <c r="A65" s="4">
        <f t="shared" si="32"/>
        <v>59</v>
      </c>
      <c r="B65" s="68" t="s">
        <v>131</v>
      </c>
      <c r="C65" s="21"/>
      <c r="D65" s="359">
        <v>-1.0000000000000001E-5</v>
      </c>
      <c r="E65" s="359">
        <v>0</v>
      </c>
      <c r="F65" s="425">
        <v>0</v>
      </c>
      <c r="G65" s="425">
        <v>0</v>
      </c>
      <c r="H65" s="425">
        <v>0</v>
      </c>
      <c r="I65" s="425">
        <v>0</v>
      </c>
      <c r="J65" s="425">
        <v>0</v>
      </c>
      <c r="K65" s="425">
        <v>0</v>
      </c>
      <c r="L65" s="425">
        <v>0</v>
      </c>
      <c r="M65" s="426">
        <v>0</v>
      </c>
      <c r="N65" s="426">
        <v>0</v>
      </c>
      <c r="O65" s="425"/>
      <c r="P65" s="425"/>
      <c r="Q65" s="425"/>
      <c r="R65" s="425"/>
      <c r="S65" s="425"/>
      <c r="T65" s="425"/>
      <c r="U65" s="425"/>
      <c r="V65" s="425">
        <v>0</v>
      </c>
      <c r="W65" s="425">
        <v>-1.0000000000000001E-5</v>
      </c>
      <c r="X65" s="23"/>
      <c r="Y65" s="23"/>
      <c r="Z65" s="23"/>
      <c r="AA65" s="23"/>
      <c r="AB65" s="23"/>
      <c r="AC65" s="23"/>
      <c r="AD65" s="23">
        <f t="shared" si="10"/>
        <v>-1.0000000000000001E-5</v>
      </c>
      <c r="AE65" s="23">
        <f t="shared" si="11"/>
        <v>0</v>
      </c>
      <c r="AF65" s="20"/>
      <c r="AG65" s="171">
        <f t="shared" si="29"/>
        <v>-1.0000000000000001E-5</v>
      </c>
      <c r="AH65" s="171">
        <f t="shared" si="33"/>
        <v>-1.0000000000000001E-5</v>
      </c>
      <c r="AI65" s="171">
        <f t="shared" si="30"/>
        <v>0</v>
      </c>
      <c r="AJ65" s="171">
        <f t="shared" si="31"/>
        <v>0</v>
      </c>
      <c r="AK65" s="384">
        <f t="shared" si="13"/>
        <v>0</v>
      </c>
      <c r="AL65" s="171">
        <f t="shared" si="22"/>
        <v>0</v>
      </c>
      <c r="AM65" s="20">
        <f t="shared" si="23"/>
        <v>1.0000000000000001E-5</v>
      </c>
      <c r="AN65" s="20">
        <f t="shared" si="14"/>
        <v>0</v>
      </c>
      <c r="AO65" s="20">
        <f t="shared" si="24"/>
        <v>-1.0000000000000001E-5</v>
      </c>
      <c r="AQ65" s="20">
        <f t="shared" si="25"/>
        <v>0</v>
      </c>
      <c r="AS65" s="20">
        <f>+'Rates in detail'!Q65</f>
        <v>-2.5000000000000001E-4</v>
      </c>
      <c r="AT65" s="20"/>
      <c r="AU65" s="20"/>
      <c r="AV65" s="20">
        <f t="shared" si="26"/>
        <v>0</v>
      </c>
      <c r="AW65" s="20">
        <f t="shared" si="27"/>
        <v>0</v>
      </c>
      <c r="AX65" s="20">
        <f t="shared" si="15"/>
        <v>0</v>
      </c>
      <c r="AZ65" s="415">
        <v>0</v>
      </c>
      <c r="BA65" s="415">
        <v>0</v>
      </c>
      <c r="BB65" s="415">
        <v>0</v>
      </c>
      <c r="BC65" s="448">
        <v>-1.0000000000000001E-5</v>
      </c>
      <c r="BD65" s="448">
        <v>0</v>
      </c>
      <c r="BF65" s="20">
        <f t="shared" si="16"/>
        <v>0</v>
      </c>
      <c r="BG65" s="20">
        <f t="shared" si="17"/>
        <v>0</v>
      </c>
    </row>
    <row r="66" spans="1:59" x14ac:dyDescent="0.2">
      <c r="A66" s="4">
        <f t="shared" si="32"/>
        <v>60</v>
      </c>
      <c r="B66" s="16" t="s">
        <v>132</v>
      </c>
      <c r="C66" s="13"/>
      <c r="D66" s="82">
        <v>-1.0000000000000001E-5</v>
      </c>
      <c r="E66" s="82">
        <v>0</v>
      </c>
      <c r="F66" s="427">
        <v>0</v>
      </c>
      <c r="G66" s="427">
        <v>0</v>
      </c>
      <c r="H66" s="427">
        <v>0</v>
      </c>
      <c r="I66" s="427">
        <v>0</v>
      </c>
      <c r="J66" s="427">
        <v>0</v>
      </c>
      <c r="K66" s="427">
        <v>0</v>
      </c>
      <c r="L66" s="427">
        <v>0</v>
      </c>
      <c r="M66" s="428">
        <v>0</v>
      </c>
      <c r="N66" s="428">
        <v>0</v>
      </c>
      <c r="O66" s="427"/>
      <c r="P66" s="427"/>
      <c r="Q66" s="427"/>
      <c r="R66" s="427"/>
      <c r="S66" s="427"/>
      <c r="T66" s="427"/>
      <c r="U66" s="427"/>
      <c r="V66" s="427">
        <v>0</v>
      </c>
      <c r="W66" s="427">
        <v>-1.0000000000000001E-5</v>
      </c>
      <c r="X66" s="24"/>
      <c r="Y66" s="24"/>
      <c r="Z66" s="24"/>
      <c r="AA66" s="24"/>
      <c r="AB66" s="24"/>
      <c r="AC66" s="24"/>
      <c r="AD66" s="24">
        <f t="shared" si="10"/>
        <v>-1.0000000000000001E-5</v>
      </c>
      <c r="AE66" s="24">
        <f t="shared" si="11"/>
        <v>0</v>
      </c>
      <c r="AF66" s="20"/>
      <c r="AG66" s="171">
        <f t="shared" si="29"/>
        <v>-1.0000000000000001E-5</v>
      </c>
      <c r="AH66" s="171">
        <f t="shared" si="33"/>
        <v>-1.0000000000000001E-5</v>
      </c>
      <c r="AI66" s="171">
        <f t="shared" si="30"/>
        <v>0</v>
      </c>
      <c r="AJ66" s="171">
        <f t="shared" si="31"/>
        <v>0</v>
      </c>
      <c r="AK66" s="384">
        <f t="shared" si="13"/>
        <v>0</v>
      </c>
      <c r="AL66" s="171">
        <f t="shared" si="22"/>
        <v>0</v>
      </c>
      <c r="AM66" s="20">
        <f t="shared" si="23"/>
        <v>1.0000000000000001E-5</v>
      </c>
      <c r="AN66" s="20">
        <f t="shared" si="14"/>
        <v>0</v>
      </c>
      <c r="AO66" s="20">
        <f t="shared" si="24"/>
        <v>-1.0000000000000001E-5</v>
      </c>
      <c r="AQ66" s="20">
        <f t="shared" si="25"/>
        <v>0</v>
      </c>
      <c r="AS66" s="20">
        <f>+'Rates in detail'!Q66</f>
        <v>-2.5000000000000001E-4</v>
      </c>
      <c r="AT66" s="20"/>
      <c r="AU66" s="20"/>
      <c r="AV66" s="20">
        <f t="shared" si="26"/>
        <v>0</v>
      </c>
      <c r="AW66" s="20">
        <f t="shared" si="27"/>
        <v>0</v>
      </c>
      <c r="AX66" s="20">
        <f t="shared" si="15"/>
        <v>0</v>
      </c>
      <c r="AZ66" s="415">
        <v>0</v>
      </c>
      <c r="BA66" s="415">
        <v>0</v>
      </c>
      <c r="BB66" s="415">
        <v>0</v>
      </c>
      <c r="BC66" s="448">
        <v>-1.0000000000000001E-5</v>
      </c>
      <c r="BD66" s="448">
        <v>0</v>
      </c>
      <c r="BF66" s="20">
        <f t="shared" si="16"/>
        <v>0</v>
      </c>
      <c r="BG66" s="20">
        <f t="shared" si="17"/>
        <v>0</v>
      </c>
    </row>
    <row r="67" spans="1:59" x14ac:dyDescent="0.2">
      <c r="A67" s="4">
        <f t="shared" si="32"/>
        <v>61</v>
      </c>
      <c r="B67" s="15" t="s">
        <v>166</v>
      </c>
      <c r="C67" s="13"/>
      <c r="D67" s="83"/>
      <c r="E67" s="82"/>
      <c r="F67" s="308"/>
      <c r="G67" s="308"/>
      <c r="H67" s="24"/>
      <c r="I67" s="24"/>
      <c r="J67" s="24"/>
      <c r="K67" s="24"/>
      <c r="L67" s="24"/>
      <c r="M67" s="305"/>
      <c r="N67" s="305"/>
      <c r="O67" s="25"/>
      <c r="P67" s="25"/>
      <c r="Q67" s="25"/>
      <c r="R67" s="25"/>
      <c r="S67" s="25"/>
      <c r="T67" s="25"/>
      <c r="U67" s="25"/>
      <c r="V67" s="25"/>
      <c r="W67" s="25"/>
      <c r="X67" s="25"/>
      <c r="Y67" s="25"/>
      <c r="Z67" s="25"/>
      <c r="AA67" s="25"/>
      <c r="AB67" s="25"/>
      <c r="AC67" s="25"/>
      <c r="AD67" s="255"/>
      <c r="AE67" s="25"/>
      <c r="AI67" s="20"/>
      <c r="AJ67" s="20"/>
      <c r="AK67" s="246"/>
      <c r="AL67" s="20"/>
      <c r="AM67" s="20"/>
      <c r="AN67" s="20"/>
      <c r="AO67" s="20"/>
      <c r="AQ67" s="20"/>
      <c r="AS67" s="20"/>
      <c r="AT67" s="20"/>
      <c r="AU67" s="20"/>
      <c r="AV67" s="20"/>
      <c r="AW67" s="20"/>
      <c r="AX67" s="20"/>
      <c r="AZ67" s="274"/>
      <c r="BA67" s="447"/>
      <c r="BB67" s="274"/>
      <c r="BC67" s="398"/>
      <c r="BD67" s="398"/>
      <c r="BF67" s="20">
        <f t="shared" si="16"/>
        <v>0</v>
      </c>
      <c r="BG67" s="20">
        <f t="shared" si="17"/>
        <v>0</v>
      </c>
    </row>
    <row r="68" spans="1:59" x14ac:dyDescent="0.2">
      <c r="A68" s="4">
        <f t="shared" si="32"/>
        <v>62</v>
      </c>
      <c r="AZ68" s="43"/>
      <c r="BA68" s="43"/>
      <c r="BB68" s="43"/>
      <c r="BC68" s="43"/>
      <c r="BD68" s="43"/>
    </row>
    <row r="69" spans="1:59" ht="13.5" thickBot="1" x14ac:dyDescent="0.25">
      <c r="A69" s="4">
        <f t="shared" si="32"/>
        <v>63</v>
      </c>
      <c r="B69" s="26" t="s">
        <v>133</v>
      </c>
      <c r="D69" s="2"/>
      <c r="E69" s="163"/>
    </row>
    <row r="70" spans="1:59" ht="13.5" thickBot="1" x14ac:dyDescent="0.25">
      <c r="A70" s="4">
        <f t="shared" si="32"/>
        <v>64</v>
      </c>
      <c r="B70" s="27" t="s">
        <v>134</v>
      </c>
      <c r="C70" s="28"/>
      <c r="D70" s="309" t="s">
        <v>329</v>
      </c>
      <c r="E70" s="309"/>
      <c r="F70" s="80"/>
      <c r="G70" s="80"/>
      <c r="H70" s="80"/>
      <c r="I70" s="80"/>
      <c r="J70" s="80"/>
      <c r="K70" s="80"/>
      <c r="L70" s="80"/>
      <c r="M70" s="80"/>
      <c r="N70" s="80"/>
      <c r="O70" s="29"/>
      <c r="P70" s="29"/>
      <c r="Q70" s="29"/>
      <c r="R70" s="29"/>
      <c r="S70" s="29"/>
      <c r="T70" s="29"/>
      <c r="U70" s="29"/>
      <c r="V70" s="29"/>
      <c r="W70" s="29"/>
      <c r="X70" s="29"/>
      <c r="Y70" s="29"/>
      <c r="Z70" s="29"/>
      <c r="AA70" s="29"/>
      <c r="AB70" s="29"/>
      <c r="AC70" s="29"/>
      <c r="AD70" s="29"/>
      <c r="AE70" s="78"/>
    </row>
    <row r="71" spans="1:59" ht="13.5" thickBot="1" x14ac:dyDescent="0.25">
      <c r="A71" s="4">
        <f t="shared" si="32"/>
        <v>65</v>
      </c>
      <c r="D71" s="2"/>
      <c r="E71" s="163"/>
    </row>
    <row r="72" spans="1:59" ht="13.5" thickBot="1" x14ac:dyDescent="0.25">
      <c r="A72" s="4">
        <f t="shared" si="32"/>
        <v>66</v>
      </c>
      <c r="B72" s="27" t="s">
        <v>136</v>
      </c>
      <c r="C72" s="28"/>
      <c r="D72" s="29"/>
      <c r="E72" s="80"/>
      <c r="F72" s="30" t="s">
        <v>59</v>
      </c>
      <c r="G72" s="30" t="s">
        <v>139</v>
      </c>
      <c r="H72" s="30" t="s">
        <v>135</v>
      </c>
      <c r="I72" s="30"/>
      <c r="J72" s="30"/>
      <c r="K72" s="80"/>
      <c r="L72" s="80"/>
      <c r="M72" s="80"/>
      <c r="N72" s="80"/>
      <c r="O72" s="29"/>
      <c r="P72" s="29"/>
      <c r="Q72" s="29"/>
      <c r="R72" s="29"/>
      <c r="S72" s="29"/>
      <c r="T72" s="29"/>
      <c r="U72" s="29"/>
      <c r="V72" s="29"/>
      <c r="W72" s="29"/>
      <c r="X72" s="30"/>
      <c r="Y72" s="30"/>
      <c r="Z72" s="30"/>
      <c r="AA72" s="30"/>
      <c r="AB72" s="30"/>
      <c r="AC72" s="29"/>
      <c r="AD72" s="29"/>
      <c r="AE72" s="78"/>
    </row>
    <row r="73" spans="1:59" ht="13.5" thickBot="1" x14ac:dyDescent="0.25">
      <c r="A73" s="4">
        <f t="shared" si="32"/>
        <v>67</v>
      </c>
      <c r="B73" s="27" t="s">
        <v>137</v>
      </c>
      <c r="C73" s="28"/>
      <c r="D73" s="29"/>
      <c r="E73" s="80"/>
      <c r="F73" s="80"/>
      <c r="G73" s="80"/>
      <c r="H73" s="80"/>
      <c r="I73" s="80"/>
      <c r="J73" s="80"/>
      <c r="K73" s="30" t="s">
        <v>195</v>
      </c>
      <c r="L73" s="30" t="s">
        <v>236</v>
      </c>
      <c r="M73" s="30"/>
      <c r="N73" s="30"/>
      <c r="O73" s="30"/>
      <c r="P73" s="30"/>
      <c r="Q73" s="30"/>
      <c r="R73" s="30"/>
      <c r="S73" s="30"/>
      <c r="T73" s="30"/>
      <c r="U73" s="30"/>
      <c r="V73" s="30" t="s">
        <v>253</v>
      </c>
      <c r="W73" s="30" t="s">
        <v>258</v>
      </c>
      <c r="X73" s="29"/>
      <c r="Y73" s="29"/>
      <c r="Z73" s="29"/>
      <c r="AA73" s="29"/>
      <c r="AB73" s="29"/>
      <c r="AC73" s="30"/>
      <c r="AD73" s="29"/>
      <c r="AE73" s="78"/>
    </row>
    <row r="74" spans="1:59" s="87" customFormat="1" ht="13.5" thickBot="1" x14ac:dyDescent="0.25">
      <c r="A74" s="269">
        <f t="shared" si="32"/>
        <v>68</v>
      </c>
      <c r="B74" s="270" t="s">
        <v>259</v>
      </c>
      <c r="K74" s="63"/>
      <c r="L74" s="63"/>
      <c r="M74" s="63"/>
      <c r="N74" s="63"/>
      <c r="O74" s="63"/>
      <c r="P74" s="63"/>
      <c r="Q74" s="63"/>
      <c r="R74" s="63"/>
      <c r="S74" s="63"/>
      <c r="T74" s="63"/>
      <c r="U74" s="63"/>
      <c r="V74" s="63"/>
      <c r="AC74" s="63"/>
    </row>
    <row r="75" spans="1:59" ht="13.5" thickBot="1" x14ac:dyDescent="0.25">
      <c r="A75" s="4">
        <f t="shared" si="32"/>
        <v>69</v>
      </c>
      <c r="B75" s="27" t="s">
        <v>260</v>
      </c>
      <c r="C75" s="28"/>
      <c r="D75" s="29"/>
      <c r="E75" s="80"/>
      <c r="F75" s="30" t="e">
        <f>+#REF!</f>
        <v>#REF!</v>
      </c>
      <c r="G75" s="30" t="e">
        <f>+#REF!</f>
        <v>#REF!</v>
      </c>
      <c r="H75" s="30" t="e">
        <f>+#REF!</f>
        <v>#REF!</v>
      </c>
      <c r="I75" s="30"/>
      <c r="J75" s="30"/>
      <c r="K75" s="30" t="str">
        <f>+'Allocation = % of margin'!N74</f>
        <v>Sched 215</v>
      </c>
      <c r="L75" s="268" t="str">
        <f>+'Allocation = % of margin'!Q74</f>
        <v>Sched 230, Prg J</v>
      </c>
      <c r="M75" s="268"/>
      <c r="N75" s="268"/>
      <c r="O75" s="268"/>
      <c r="P75" s="268"/>
      <c r="Q75" s="268"/>
      <c r="R75" s="268"/>
      <c r="S75" s="268"/>
      <c r="T75" s="268"/>
      <c r="U75" s="268"/>
      <c r="V75" s="268" t="str">
        <f>+'Allocation = % of margin'!T74</f>
        <v>Sched 230, Prg I</v>
      </c>
      <c r="W75" s="268" t="str">
        <f>+'Allocation = % of margin'!W74</f>
        <v>Sched 209</v>
      </c>
      <c r="X75" s="29"/>
      <c r="Y75" s="29"/>
      <c r="Z75" s="29"/>
      <c r="AA75" s="29"/>
      <c r="AB75" s="29"/>
      <c r="AC75" s="30"/>
      <c r="AD75" s="29"/>
      <c r="AE75" s="78"/>
    </row>
    <row r="76" spans="1:59" x14ac:dyDescent="0.2">
      <c r="A76" s="31"/>
    </row>
    <row r="77" spans="1:59" x14ac:dyDescent="0.2">
      <c r="A77" s="31"/>
    </row>
    <row r="78" spans="1:59" x14ac:dyDescent="0.2">
      <c r="A78" s="31"/>
    </row>
    <row r="79" spans="1:59" x14ac:dyDescent="0.2">
      <c r="A79" s="31"/>
    </row>
    <row r="80" spans="1:59" x14ac:dyDescent="0.2">
      <c r="A80" s="31"/>
    </row>
    <row r="81" spans="1:2" x14ac:dyDescent="0.2">
      <c r="A81" s="31"/>
      <c r="B81" s="2" t="s">
        <v>283</v>
      </c>
    </row>
    <row r="82" spans="1:2" x14ac:dyDescent="0.2">
      <c r="A82" s="31"/>
    </row>
    <row r="83" spans="1:2" x14ac:dyDescent="0.2">
      <c r="A83" s="31"/>
    </row>
    <row r="84" spans="1:2" x14ac:dyDescent="0.2">
      <c r="A84" s="31"/>
    </row>
    <row r="85" spans="1:2" x14ac:dyDescent="0.2">
      <c r="A85" s="31"/>
    </row>
    <row r="86" spans="1:2" x14ac:dyDescent="0.2">
      <c r="A86" s="31"/>
    </row>
    <row r="87" spans="1:2" x14ac:dyDescent="0.2">
      <c r="A87" s="31"/>
    </row>
    <row r="88" spans="1:2" x14ac:dyDescent="0.2">
      <c r="A88" s="31"/>
    </row>
    <row r="89" spans="1:2" x14ac:dyDescent="0.2">
      <c r="A89" s="31"/>
    </row>
    <row r="90" spans="1:2" x14ac:dyDescent="0.2">
      <c r="A90" s="31"/>
    </row>
    <row r="91" spans="1:2" x14ac:dyDescent="0.2">
      <c r="A91" s="31"/>
    </row>
    <row r="92" spans="1:2" x14ac:dyDescent="0.2">
      <c r="A92" s="31"/>
    </row>
    <row r="93" spans="1:2" x14ac:dyDescent="0.2">
      <c r="A93" s="31"/>
    </row>
    <row r="94" spans="1:2" x14ac:dyDescent="0.2">
      <c r="A94" s="31"/>
    </row>
    <row r="95" spans="1:2" x14ac:dyDescent="0.2">
      <c r="A95" s="31"/>
    </row>
    <row r="96" spans="1:2"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row r="132" spans="1:1" x14ac:dyDescent="0.2">
      <c r="A132" s="31"/>
    </row>
    <row r="133" spans="1:1" x14ac:dyDescent="0.2">
      <c r="A133" s="31"/>
    </row>
    <row r="134" spans="1:1" x14ac:dyDescent="0.2">
      <c r="A134" s="31"/>
    </row>
    <row r="135" spans="1:1" x14ac:dyDescent="0.2">
      <c r="A135" s="31"/>
    </row>
  </sheetData>
  <mergeCells count="4">
    <mergeCell ref="BA11:BA12"/>
    <mergeCell ref="AZ11:AZ12"/>
    <mergeCell ref="BB11:BB12"/>
    <mergeCell ref="AN7:AN9"/>
  </mergeCells>
  <phoneticPr fontId="3" type="noConversion"/>
  <pageMargins left="0.7" right="0.7" top="0.75" bottom="0.75" header="0.3" footer="0.3"/>
  <pageSetup scale="56" orientation="portrait" r:id="rId1"/>
  <headerFooter alignWithMargins="0"/>
  <colBreaks count="1" manualBreakCount="1">
    <brk id="2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AK90"/>
  <sheetViews>
    <sheetView showGridLines="0" zoomScale="90" zoomScaleNormal="90" workbookViewId="0">
      <pane xSplit="3" ySplit="12" topLeftCell="D13" activePane="bottomRight" state="frozen"/>
      <selection activeCell="Q32" sqref="Q32"/>
      <selection pane="topRight" activeCell="Q32" sqref="Q32"/>
      <selection pane="bottomLeft" activeCell="Q32" sqref="Q32"/>
      <selection pane="bottomRight" activeCell="AD20" sqref="AD20"/>
    </sheetView>
  </sheetViews>
  <sheetFormatPr defaultColWidth="9.33203125" defaultRowHeight="12.75" outlineLevelCol="1" x14ac:dyDescent="0.2"/>
  <cols>
    <col min="1" max="1" width="5.6640625" style="3" customWidth="1"/>
    <col min="2" max="2" width="14.83203125" style="2" customWidth="1"/>
    <col min="3" max="3" width="8.33203125" style="2" customWidth="1"/>
    <col min="4" max="4" width="16.5" style="40" bestFit="1" customWidth="1"/>
    <col min="5" max="5" width="13.33203125" style="40" bestFit="1" customWidth="1"/>
    <col min="6" max="6" width="16.6640625" style="40" bestFit="1" customWidth="1"/>
    <col min="7" max="7" width="19.5" style="40" bestFit="1" customWidth="1"/>
    <col min="8" max="8" width="11.1640625" style="40" bestFit="1" customWidth="1"/>
    <col min="9" max="9" width="14.5" style="40" bestFit="1" customWidth="1"/>
    <col min="10" max="10" width="14" style="40" bestFit="1" customWidth="1"/>
    <col min="11" max="11" width="11.5" style="40" customWidth="1"/>
    <col min="12" max="12" width="19.83203125" style="40" bestFit="1" customWidth="1"/>
    <col min="13" max="13" width="29.5" style="40" customWidth="1"/>
    <col min="14" max="14" width="15.5" style="42" hidden="1" customWidth="1" outlineLevel="1"/>
    <col min="15" max="15" width="16.1640625" style="2" hidden="1" customWidth="1" outlineLevel="1"/>
    <col min="16" max="16" width="12" style="79" hidden="1" customWidth="1" outlineLevel="1"/>
    <col min="17" max="17" width="16.1640625" style="42" hidden="1" customWidth="1" outlineLevel="1"/>
    <col min="18" max="18" width="14" style="2" hidden="1" customWidth="1" outlineLevel="1"/>
    <col min="19" max="19" width="15.1640625" style="79" hidden="1" customWidth="1" outlineLevel="1"/>
    <col min="20" max="20" width="16.83203125" style="42" hidden="1" customWidth="1" outlineLevel="1"/>
    <col min="21" max="21" width="16.83203125" style="2" hidden="1" customWidth="1" outlineLevel="1"/>
    <col min="22" max="22" width="16.83203125" style="79" hidden="1" customWidth="1" outlineLevel="1"/>
    <col min="23" max="25" width="15.83203125" style="79" hidden="1" customWidth="1" outlineLevel="1"/>
    <col min="26" max="26" width="15.83203125" style="42" customWidth="1" collapsed="1"/>
    <col min="27" max="27" width="15.83203125" style="2" customWidth="1"/>
    <col min="28" max="28" width="13" style="79" bestFit="1" customWidth="1"/>
    <col min="29" max="29" width="15.83203125" style="429" customWidth="1"/>
    <col min="30" max="30" width="15.83203125" style="163" customWidth="1"/>
    <col min="31" max="31" width="13" style="313" bestFit="1" customWidth="1"/>
    <col min="32" max="32" width="15.83203125" style="429" customWidth="1"/>
    <col min="33" max="33" width="15.83203125" style="163" customWidth="1"/>
    <col min="34" max="34" width="13" style="313" bestFit="1" customWidth="1"/>
    <col min="35" max="35" width="13" style="313" customWidth="1"/>
    <col min="36" max="36" width="10.83203125" style="87" bestFit="1" customWidth="1"/>
    <col min="37" max="37" width="19.6640625" style="3" bestFit="1" customWidth="1"/>
    <col min="38" max="16384" width="9.33203125" style="3"/>
  </cols>
  <sheetData>
    <row r="1" spans="1:37" ht="14.25" x14ac:dyDescent="0.2">
      <c r="A1" s="1" t="str">
        <f>+'Washington volumes'!A1</f>
        <v>NW Natural</v>
      </c>
      <c r="N1" s="40"/>
      <c r="Q1" s="40"/>
      <c r="T1" s="40"/>
      <c r="Z1" s="40"/>
      <c r="AC1" s="165"/>
      <c r="AF1" s="165"/>
    </row>
    <row r="2" spans="1:37" ht="14.25" x14ac:dyDescent="0.2">
      <c r="A2" s="1" t="str">
        <f>+'Washington volumes'!A2</f>
        <v>Rates &amp; Regulatory Affairs</v>
      </c>
      <c r="N2" s="40"/>
      <c r="Q2" s="40"/>
      <c r="T2" s="40"/>
      <c r="Z2" s="40"/>
      <c r="AC2" s="165"/>
      <c r="AF2" s="165"/>
    </row>
    <row r="3" spans="1:37" ht="14.25" x14ac:dyDescent="0.2">
      <c r="A3" s="1" t="str">
        <f>+'Washington volumes'!A3</f>
        <v>2019 WA GRC</v>
      </c>
      <c r="N3" s="34"/>
      <c r="Q3" s="40"/>
      <c r="T3" s="40"/>
      <c r="Z3" s="40"/>
      <c r="AC3" s="165"/>
      <c r="AF3" s="165"/>
    </row>
    <row r="4" spans="1:37" ht="14.25" x14ac:dyDescent="0.2">
      <c r="A4" s="1" t="s">
        <v>58</v>
      </c>
      <c r="N4" s="34"/>
      <c r="Q4" s="40"/>
      <c r="T4" s="40"/>
      <c r="Z4" s="40"/>
      <c r="AC4" s="165"/>
      <c r="AF4" s="165"/>
    </row>
    <row r="5" spans="1:37" x14ac:dyDescent="0.2">
      <c r="D5" s="2"/>
      <c r="E5" s="2"/>
      <c r="F5" s="2"/>
      <c r="G5" s="2"/>
      <c r="H5" s="2"/>
      <c r="I5" s="2"/>
      <c r="J5" s="2"/>
      <c r="K5" s="2"/>
      <c r="L5" s="2"/>
      <c r="M5" s="2"/>
      <c r="N5" s="2"/>
      <c r="Q5" s="2"/>
      <c r="T5" s="2"/>
      <c r="Z5" s="2"/>
      <c r="AC5" s="163"/>
      <c r="AF5" s="163"/>
    </row>
    <row r="6" spans="1:37" x14ac:dyDescent="0.2">
      <c r="A6" s="213"/>
      <c r="B6" s="214"/>
      <c r="C6" s="214"/>
      <c r="D6" s="214"/>
      <c r="E6" s="163"/>
      <c r="F6" s="2"/>
      <c r="G6" s="2"/>
      <c r="H6" s="41"/>
      <c r="I6" s="2"/>
      <c r="J6" s="41"/>
      <c r="K6" s="2"/>
      <c r="L6" s="2"/>
    </row>
    <row r="7" spans="1:37" ht="15" customHeight="1" thickBot="1" x14ac:dyDescent="0.25">
      <c r="A7" s="43">
        <v>1</v>
      </c>
      <c r="D7" s="33"/>
      <c r="E7" s="33" t="s">
        <v>23</v>
      </c>
      <c r="F7" s="33" t="s">
        <v>47</v>
      </c>
      <c r="G7" s="33" t="s">
        <v>67</v>
      </c>
      <c r="H7" s="5"/>
      <c r="I7" s="33"/>
      <c r="J7" s="5"/>
      <c r="K7" s="33"/>
      <c r="L7" s="33"/>
      <c r="M7" s="2"/>
      <c r="N7" s="44" t="str">
        <f>+Inputs!C36</f>
        <v>R&amp;C Energy Efficiency Programs</v>
      </c>
      <c r="O7" s="45"/>
      <c r="P7" s="407"/>
      <c r="Q7" s="44" t="str">
        <f>+Inputs!C40</f>
        <v>Low Income Bill Pay Assistance (GREAT)</v>
      </c>
      <c r="R7" s="45"/>
      <c r="S7" s="167"/>
      <c r="T7" s="512" t="str">
        <f>+Inputs!C38</f>
        <v>WA-LIEE</v>
      </c>
      <c r="U7" s="513"/>
      <c r="V7" s="514"/>
      <c r="W7" s="507" t="s">
        <v>320</v>
      </c>
      <c r="X7" s="508"/>
      <c r="Y7" s="509"/>
      <c r="Z7" s="507" t="str">
        <f>+Inputs!C47</f>
        <v>Plant EDIT</v>
      </c>
      <c r="AA7" s="508"/>
      <c r="AB7" s="509"/>
      <c r="AC7" s="507" t="str">
        <f>Inputs!C49</f>
        <v>Non-Plant EDIT</v>
      </c>
      <c r="AD7" s="508"/>
      <c r="AE7" s="509"/>
      <c r="AF7" s="507" t="str">
        <f>Inputs!C51</f>
        <v>Interim Period Tax Deferral</v>
      </c>
      <c r="AG7" s="508"/>
      <c r="AH7" s="509"/>
      <c r="AI7" s="484"/>
    </row>
    <row r="8" spans="1:37" ht="15" customHeight="1" thickBot="1" x14ac:dyDescent="0.25">
      <c r="A8" s="43">
        <f t="shared" ref="A8:A73" si="0">+A7+1</f>
        <v>2</v>
      </c>
      <c r="D8" s="33" t="s">
        <v>338</v>
      </c>
      <c r="E8" s="33" t="s">
        <v>63</v>
      </c>
      <c r="F8" s="33" t="s">
        <v>65</v>
      </c>
      <c r="G8" s="33" t="s">
        <v>48</v>
      </c>
      <c r="H8" s="5"/>
      <c r="I8" s="33"/>
      <c r="J8" s="5"/>
      <c r="K8" s="33"/>
      <c r="L8" s="33"/>
      <c r="M8" s="46" t="s">
        <v>46</v>
      </c>
      <c r="N8" s="349">
        <f>+Inputs!B36</f>
        <v>2297298</v>
      </c>
      <c r="O8" s="28" t="str">
        <f>+Inputs!C28</f>
        <v>Temporary Increments</v>
      </c>
      <c r="P8" s="381"/>
      <c r="Q8" s="349">
        <f>+Inputs!B40</f>
        <v>354242</v>
      </c>
      <c r="R8" s="28" t="str">
        <f>+Inputs!C28</f>
        <v>Temporary Increments</v>
      </c>
      <c r="S8" s="168"/>
      <c r="T8" s="349">
        <f>+Inputs!B38</f>
        <v>82997</v>
      </c>
      <c r="U8" s="28" t="str">
        <f>+Inputs!C28</f>
        <v>Temporary Increments</v>
      </c>
      <c r="V8" s="381"/>
      <c r="W8" s="395">
        <f>+Inputs!B42</f>
        <v>-55000</v>
      </c>
      <c r="X8" s="385" t="str">
        <f>+Inputs!F28</f>
        <v>Allocated to Rate Schedules</v>
      </c>
      <c r="Y8" s="386"/>
      <c r="Z8" s="395">
        <f>+Inputs!B47</f>
        <v>-506000</v>
      </c>
      <c r="AA8" s="385" t="str">
        <f>+Inputs!C45</f>
        <v>Permanent Increment</v>
      </c>
      <c r="AB8" s="386"/>
      <c r="AC8" s="395">
        <f>Inputs!B49</f>
        <v>40000</v>
      </c>
      <c r="AD8" s="385" t="str">
        <f>+Inputs!C45</f>
        <v>Permanent Increment</v>
      </c>
      <c r="AE8" s="386"/>
      <c r="AF8" s="395">
        <f>Inputs!B51</f>
        <v>-1095652.1739130435</v>
      </c>
      <c r="AG8" s="385" t="str">
        <f>+Inputs!C45</f>
        <v>Permanent Increment</v>
      </c>
      <c r="AH8" s="386"/>
      <c r="AI8" s="20"/>
    </row>
    <row r="9" spans="1:37" ht="15" customHeight="1" thickBot="1" x14ac:dyDescent="0.25">
      <c r="A9" s="43">
        <f t="shared" si="0"/>
        <v>3</v>
      </c>
      <c r="D9" s="33" t="s">
        <v>62</v>
      </c>
      <c r="E9" s="33" t="s">
        <v>64</v>
      </c>
      <c r="F9" s="33" t="s">
        <v>64</v>
      </c>
      <c r="G9" s="33" t="s">
        <v>66</v>
      </c>
      <c r="H9" s="5" t="s">
        <v>44</v>
      </c>
      <c r="I9" s="33" t="s">
        <v>192</v>
      </c>
      <c r="J9" s="10" t="s">
        <v>176</v>
      </c>
      <c r="K9" s="33"/>
      <c r="L9" s="5" t="s">
        <v>51</v>
      </c>
      <c r="M9" s="46" t="s">
        <v>38</v>
      </c>
      <c r="N9" s="47">
        <f>+revsens</f>
        <v>4.1579999999999999E-2</v>
      </c>
      <c r="O9" s="48" t="s">
        <v>50</v>
      </c>
      <c r="P9" s="382"/>
      <c r="Q9" s="47">
        <f>+revsens</f>
        <v>4.1579999999999999E-2</v>
      </c>
      <c r="R9" s="48" t="s">
        <v>50</v>
      </c>
      <c r="S9" s="169"/>
      <c r="T9" s="47">
        <f>+revsens</f>
        <v>4.1579999999999999E-2</v>
      </c>
      <c r="U9" s="48" t="s">
        <v>50</v>
      </c>
      <c r="V9" s="382"/>
      <c r="W9" s="47">
        <f>+revsens</f>
        <v>4.1579999999999999E-2</v>
      </c>
      <c r="X9" s="48" t="s">
        <v>50</v>
      </c>
      <c r="Y9" s="382"/>
      <c r="Z9" s="47">
        <f>revsens</f>
        <v>4.1579999999999999E-2</v>
      </c>
      <c r="AA9" s="48" t="s">
        <v>50</v>
      </c>
      <c r="AB9" s="382"/>
      <c r="AC9" s="47">
        <f>revsens</f>
        <v>4.1579999999999999E-2</v>
      </c>
      <c r="AD9" s="48" t="s">
        <v>50</v>
      </c>
      <c r="AE9" s="382"/>
      <c r="AF9" s="47">
        <f>revsens</f>
        <v>4.1579999999999999E-2</v>
      </c>
      <c r="AG9" s="48" t="s">
        <v>50</v>
      </c>
      <c r="AH9" s="382"/>
      <c r="AI9" s="485"/>
    </row>
    <row r="10" spans="1:37" s="8" customFormat="1" ht="15" customHeight="1" thickBot="1" x14ac:dyDescent="0.25">
      <c r="A10" s="43">
        <f t="shared" si="0"/>
        <v>4</v>
      </c>
      <c r="B10" s="2"/>
      <c r="C10" s="2"/>
      <c r="D10" s="49" t="s">
        <v>59</v>
      </c>
      <c r="E10" s="49" t="s">
        <v>60</v>
      </c>
      <c r="F10" s="49" t="s">
        <v>83</v>
      </c>
      <c r="G10" s="49" t="s">
        <v>60</v>
      </c>
      <c r="H10" s="85" t="s">
        <v>45</v>
      </c>
      <c r="I10" s="49" t="s">
        <v>49</v>
      </c>
      <c r="J10" s="85" t="s">
        <v>152</v>
      </c>
      <c r="K10" s="49" t="s">
        <v>156</v>
      </c>
      <c r="L10" s="85" t="s">
        <v>49</v>
      </c>
      <c r="M10" s="50" t="s">
        <v>39</v>
      </c>
      <c r="N10" s="51">
        <f>IF(N9&lt;&gt;"N/A",ROUND(+N8/(1-N9),0),N8)</f>
        <v>2396964</v>
      </c>
      <c r="O10" s="271" t="s">
        <v>265</v>
      </c>
      <c r="P10" s="383"/>
      <c r="Q10" s="51">
        <f>IF(Q9&lt;&gt;"N/A",ROUND(+Q8/(1-Q9),0),Q8)</f>
        <v>369610</v>
      </c>
      <c r="R10" s="52" t="str">
        <f>+Inputs!F40</f>
        <v>All sales</v>
      </c>
      <c r="S10" s="170"/>
      <c r="T10" s="51">
        <f>IF(T9&lt;&gt;"N/A",ROUND(+T8/(1-T9),0),T8)</f>
        <v>86598</v>
      </c>
      <c r="U10" s="52" t="str">
        <f>+Inputs!F38</f>
        <v>All sales</v>
      </c>
      <c r="V10" s="383"/>
      <c r="W10" s="51">
        <f>IF(W9&lt;&gt;"N/A",ROUND(+W8/(1-W9),0),W8)</f>
        <v>-57386</v>
      </c>
      <c r="X10" s="279" t="str">
        <f>+Inputs!F42</f>
        <v>All Customers</v>
      </c>
      <c r="Y10" s="383"/>
      <c r="Z10" s="51">
        <f>IF(Z9&lt;&gt;"N/A",ROUND(+Z8/(1-Z9),0),Z8)</f>
        <v>-527952</v>
      </c>
      <c r="AA10" s="279" t="str">
        <f>Inputs!F47</f>
        <v>All Customers</v>
      </c>
      <c r="AB10" s="383"/>
      <c r="AC10" s="51">
        <f>IF(AC9&lt;&gt;"N/A",ROUND(+AC8/(1-AC9),0),AC8)</f>
        <v>41735</v>
      </c>
      <c r="AD10" s="279" t="str">
        <f>Inputs!F49</f>
        <v>All Customers</v>
      </c>
      <c r="AE10" s="383"/>
      <c r="AF10" s="51">
        <f>IF(AF9&lt;&gt;"N/A",ROUND(+AF8/(1-AF9),0),AF8)</f>
        <v>-1143186</v>
      </c>
      <c r="AG10" s="279" t="str">
        <f>Inputs!F51</f>
        <v>All Customers</v>
      </c>
      <c r="AH10" s="383"/>
      <c r="AI10" s="20"/>
      <c r="AJ10" s="295"/>
    </row>
    <row r="11" spans="1:37" s="8" customFormat="1" ht="13.5" thickBot="1" x14ac:dyDescent="0.25">
      <c r="A11" s="43">
        <f t="shared" si="0"/>
        <v>5</v>
      </c>
      <c r="B11" s="2"/>
      <c r="C11" s="2"/>
      <c r="D11" s="9"/>
      <c r="E11" s="9"/>
      <c r="F11" s="9"/>
      <c r="G11" s="9"/>
      <c r="H11" s="5" t="s">
        <v>82</v>
      </c>
      <c r="I11" s="9"/>
      <c r="J11" s="5"/>
      <c r="K11" s="9"/>
      <c r="L11" s="510" t="s">
        <v>211</v>
      </c>
      <c r="M11" s="53"/>
      <c r="N11" s="54" t="s">
        <v>36</v>
      </c>
      <c r="O11" s="43" t="s">
        <v>193</v>
      </c>
      <c r="P11" s="387" t="s">
        <v>37</v>
      </c>
      <c r="Q11" s="54" t="s">
        <v>36</v>
      </c>
      <c r="R11" s="43" t="s">
        <v>193</v>
      </c>
      <c r="S11" s="171" t="s">
        <v>37</v>
      </c>
      <c r="T11" s="373" t="s">
        <v>36</v>
      </c>
      <c r="U11" s="374" t="s">
        <v>193</v>
      </c>
      <c r="V11" s="375" t="s">
        <v>37</v>
      </c>
      <c r="W11" s="54" t="s">
        <v>36</v>
      </c>
      <c r="X11" s="43" t="s">
        <v>193</v>
      </c>
      <c r="Y11" s="387" t="s">
        <v>37</v>
      </c>
      <c r="Z11" s="54" t="s">
        <v>36</v>
      </c>
      <c r="AA11" s="43" t="s">
        <v>193</v>
      </c>
      <c r="AB11" s="387" t="s">
        <v>37</v>
      </c>
      <c r="AC11" s="54" t="s">
        <v>36</v>
      </c>
      <c r="AD11" s="43" t="s">
        <v>193</v>
      </c>
      <c r="AE11" s="387" t="s">
        <v>37</v>
      </c>
      <c r="AF11" s="54" t="s">
        <v>36</v>
      </c>
      <c r="AG11" s="43" t="s">
        <v>193</v>
      </c>
      <c r="AH11" s="387" t="s">
        <v>37</v>
      </c>
      <c r="AI11" s="171"/>
      <c r="AJ11" s="295"/>
    </row>
    <row r="12" spans="1:37" s="8" customFormat="1" x14ac:dyDescent="0.2">
      <c r="A12" s="43">
        <f t="shared" si="0"/>
        <v>6</v>
      </c>
      <c r="B12" s="55" t="s">
        <v>2</v>
      </c>
      <c r="C12" s="11" t="s">
        <v>3</v>
      </c>
      <c r="D12" s="12" t="s">
        <v>68</v>
      </c>
      <c r="E12" s="223" t="s">
        <v>69</v>
      </c>
      <c r="F12" s="223" t="s">
        <v>16</v>
      </c>
      <c r="G12" s="223" t="s">
        <v>70</v>
      </c>
      <c r="H12" s="223" t="s">
        <v>71</v>
      </c>
      <c r="I12" s="223" t="s">
        <v>194</v>
      </c>
      <c r="J12" s="223" t="s">
        <v>73</v>
      </c>
      <c r="K12" s="12" t="s">
        <v>74</v>
      </c>
      <c r="L12" s="511"/>
      <c r="M12" s="56"/>
      <c r="N12" s="57" t="s">
        <v>76</v>
      </c>
      <c r="O12" s="12" t="s">
        <v>77</v>
      </c>
      <c r="P12" s="376" t="s">
        <v>78</v>
      </c>
      <c r="Q12" s="57" t="s">
        <v>79</v>
      </c>
      <c r="R12" s="12" t="s">
        <v>80</v>
      </c>
      <c r="S12" s="172" t="s">
        <v>81</v>
      </c>
      <c r="T12" s="57" t="s">
        <v>141</v>
      </c>
      <c r="U12" s="12" t="s">
        <v>213</v>
      </c>
      <c r="V12" s="376" t="s">
        <v>198</v>
      </c>
      <c r="W12" s="57" t="s">
        <v>255</v>
      </c>
      <c r="X12" s="12" t="s">
        <v>256</v>
      </c>
      <c r="Y12" s="376" t="s">
        <v>257</v>
      </c>
      <c r="Z12" s="57" t="s">
        <v>256</v>
      </c>
      <c r="AA12" s="12" t="s">
        <v>296</v>
      </c>
      <c r="AB12" s="376" t="s">
        <v>297</v>
      </c>
      <c r="AC12" s="57" t="s">
        <v>256</v>
      </c>
      <c r="AD12" s="12" t="s">
        <v>296</v>
      </c>
      <c r="AE12" s="376" t="s">
        <v>297</v>
      </c>
      <c r="AF12" s="57" t="s">
        <v>256</v>
      </c>
      <c r="AG12" s="12" t="s">
        <v>296</v>
      </c>
      <c r="AH12" s="376" t="s">
        <v>297</v>
      </c>
      <c r="AI12" s="466"/>
      <c r="AJ12" s="488"/>
      <c r="AK12" s="489" t="s">
        <v>353</v>
      </c>
    </row>
    <row r="13" spans="1:37" x14ac:dyDescent="0.2">
      <c r="A13" s="43">
        <f t="shared" si="0"/>
        <v>7</v>
      </c>
      <c r="B13" s="16" t="s">
        <v>4</v>
      </c>
      <c r="C13" s="13"/>
      <c r="D13" s="58">
        <f>+'Washington volumes'!F13</f>
        <v>195500</v>
      </c>
      <c r="E13" s="314">
        <f>+'Rates in detail'!D13</f>
        <v>1.02918</v>
      </c>
      <c r="F13" s="314">
        <f>+'Rates in detail'!F13+'Rates in detail'!G13+'Rates in detail'!H13</f>
        <v>0.33485999999999999</v>
      </c>
      <c r="G13" s="314">
        <f>+Temporaries!D13</f>
        <v>9.8399999999999876E-3</v>
      </c>
      <c r="H13" s="314">
        <f>+E13-F13-G13</f>
        <v>0.68448000000000009</v>
      </c>
      <c r="I13" s="409">
        <f t="shared" ref="I13:I18" si="1">ROUND(H13*D13,0)</f>
        <v>133816</v>
      </c>
      <c r="J13" s="225">
        <f>+'Avg Bill by RS'!G13</f>
        <v>7</v>
      </c>
      <c r="K13" s="58">
        <f>+'Washington volumes'!H13</f>
        <v>860.33333333333337</v>
      </c>
      <c r="L13" s="410">
        <f t="shared" ref="L13:L18" si="2">ROUND(I13+(J13*K13*12),0)</f>
        <v>206084</v>
      </c>
      <c r="M13" s="59"/>
      <c r="N13" s="60">
        <v>1</v>
      </c>
      <c r="O13" s="391">
        <f t="shared" ref="O13:O19" si="3">ROUND(+$N$10*(($L13*N13)/N$69),0)</f>
        <v>12474</v>
      </c>
      <c r="P13" s="331">
        <f t="shared" ref="P13:P19" si="4">IF(O13&lt;&gt;0,ROUND((O13/$I13)*$H13,5),ROUND((N$10/$I$69)*$H13*N13,5))</f>
        <v>6.3810000000000006E-2</v>
      </c>
      <c r="Q13" s="60">
        <v>1</v>
      </c>
      <c r="R13" s="391">
        <f t="shared" ref="R13:R19" si="5">ROUND(+$Q$10*(($L13*Q13)/Q$69),0)</f>
        <v>1880</v>
      </c>
      <c r="S13" s="325">
        <f t="shared" ref="S13:S19" si="6">IF(R13&lt;&gt;0,ROUND((R13/$I13)*$H13,5),ROUND((Q$10/$I$69)*$H13*Q13,5))</f>
        <v>9.6200000000000001E-3</v>
      </c>
      <c r="T13" s="60">
        <v>1</v>
      </c>
      <c r="U13" s="391">
        <f t="shared" ref="U13:U19" si="7">ROUND(+$T$10*(($L13*T13)/T$69),0)</f>
        <v>441</v>
      </c>
      <c r="V13" s="331">
        <f t="shared" ref="V13:V19" si="8">IF(U13&lt;&gt;0,ROUND((U13/$I13)*$H13,5),ROUND((T$10/$I$69)*$H13*T13,5))</f>
        <v>2.2599999999999999E-3</v>
      </c>
      <c r="W13" s="60">
        <v>1</v>
      </c>
      <c r="X13" s="391">
        <f t="shared" ref="X13:X19" si="9">ROUND(+$W$10*(($L13*W13)/W$69),0)</f>
        <v>-277</v>
      </c>
      <c r="Y13" s="61">
        <f t="shared" ref="Y13:Y19" si="10">IF(X13&lt;&gt;0,ROUND((X13/$I13)*$H13,5),ROUND((W$10/$I$69)*$H13*W13,5))</f>
        <v>-1.42E-3</v>
      </c>
      <c r="Z13" s="60">
        <v>1</v>
      </c>
      <c r="AA13" s="391">
        <f t="shared" ref="AA13:AA19" si="11">ROUND(+$Z$10*(($L13*Z13)/Z$69),0)</f>
        <v>-2552</v>
      </c>
      <c r="AB13" s="61">
        <f t="shared" ref="AB13:AB19" si="12">IF(AA13&lt;&gt;0,ROUND((AA13/$I13)*$H13,5),ROUND((Z$10/$I$69)*$H13*Z13,5))</f>
        <v>-1.3050000000000001E-2</v>
      </c>
      <c r="AC13" s="60">
        <v>1</v>
      </c>
      <c r="AD13" s="391">
        <f>ROUND(+$AC$10*(($L13*AC13)/AC$69),0)</f>
        <v>202</v>
      </c>
      <c r="AE13" s="61">
        <f t="shared" ref="AE13:AE19" si="13">IF(AD13&lt;&gt;0,ROUND((AD13/$I13)*$H13,5),ROUND((AC$10/$I$69)*$H13*AC13,5))</f>
        <v>1.0300000000000001E-3</v>
      </c>
      <c r="AF13" s="60">
        <v>1</v>
      </c>
      <c r="AG13" s="391">
        <f>ROUND(+$AF$10*(($L13*AF13)/AF$69),0)</f>
        <v>-5526</v>
      </c>
      <c r="AH13" s="61">
        <f t="shared" ref="AH13:AH19" si="14">IF(AG13&lt;&gt;0,ROUND((AG13/$I13)*$H13,5),ROUND((AF$10/$I$69)*$H13*AF13,5))</f>
        <v>-2.827E-2</v>
      </c>
      <c r="AI13" s="20"/>
      <c r="AJ13" s="490"/>
      <c r="AK13" s="491">
        <f>(AB13+AE13+AH13)*D13</f>
        <v>-7876.6949999999997</v>
      </c>
    </row>
    <row r="14" spans="1:37" x14ac:dyDescent="0.2">
      <c r="A14" s="43">
        <f t="shared" si="0"/>
        <v>8</v>
      </c>
      <c r="B14" s="16" t="s">
        <v>5</v>
      </c>
      <c r="C14" s="13"/>
      <c r="D14" s="58">
        <f>+'Washington volumes'!F14</f>
        <v>45533</v>
      </c>
      <c r="E14" s="315">
        <f>+'Rates in detail'!D14</f>
        <v>1.0187299999999997</v>
      </c>
      <c r="F14" s="315">
        <f>+'Rates in detail'!F14+'Rates in detail'!G14+'Rates in detail'!H14</f>
        <v>0.33485999999999999</v>
      </c>
      <c r="G14" s="315">
        <f>+Temporaries!D14</f>
        <v>-1.9999999999999879E-4</v>
      </c>
      <c r="H14" s="315">
        <f t="shared" ref="H14:H66" si="15">+E14-F14-G14</f>
        <v>0.68406999999999973</v>
      </c>
      <c r="I14" s="410">
        <f t="shared" si="1"/>
        <v>31148</v>
      </c>
      <c r="J14" s="217">
        <f>+'Avg Bill by RS'!G14</f>
        <v>7</v>
      </c>
      <c r="K14" s="58">
        <f>+'Washington volumes'!H14</f>
        <v>36.916666666666664</v>
      </c>
      <c r="L14" s="410">
        <f t="shared" si="2"/>
        <v>34249</v>
      </c>
      <c r="M14" s="59"/>
      <c r="N14" s="60">
        <v>1</v>
      </c>
      <c r="O14" s="391">
        <f t="shared" si="3"/>
        <v>2073</v>
      </c>
      <c r="P14" s="331">
        <f t="shared" si="4"/>
        <v>4.5530000000000001E-2</v>
      </c>
      <c r="Q14" s="60">
        <v>1</v>
      </c>
      <c r="R14" s="391">
        <f t="shared" si="5"/>
        <v>312</v>
      </c>
      <c r="S14" s="325">
        <f t="shared" si="6"/>
        <v>6.8500000000000002E-3</v>
      </c>
      <c r="T14" s="60">
        <v>1</v>
      </c>
      <c r="U14" s="391">
        <f t="shared" si="7"/>
        <v>73</v>
      </c>
      <c r="V14" s="331">
        <f t="shared" si="8"/>
        <v>1.6000000000000001E-3</v>
      </c>
      <c r="W14" s="60">
        <v>1</v>
      </c>
      <c r="X14" s="391">
        <f t="shared" si="9"/>
        <v>-46</v>
      </c>
      <c r="Y14" s="61">
        <f t="shared" si="10"/>
        <v>-1.01E-3</v>
      </c>
      <c r="Z14" s="60">
        <v>1</v>
      </c>
      <c r="AA14" s="391">
        <f t="shared" si="11"/>
        <v>-424</v>
      </c>
      <c r="AB14" s="61">
        <f t="shared" si="12"/>
        <v>-9.3100000000000006E-3</v>
      </c>
      <c r="AC14" s="60">
        <v>1</v>
      </c>
      <c r="AD14" s="391">
        <f t="shared" ref="AD14:AD29" si="16">ROUND(+$AC$10*(($L14*AC14)/AC$69),0)</f>
        <v>34</v>
      </c>
      <c r="AE14" s="61">
        <f t="shared" si="13"/>
        <v>7.5000000000000002E-4</v>
      </c>
      <c r="AF14" s="60">
        <v>1</v>
      </c>
      <c r="AG14" s="391">
        <f t="shared" ref="AG14:AG29" si="17">ROUND(+$AF$10*(($L14*AF14)/AF$69),0)</f>
        <v>-918</v>
      </c>
      <c r="AH14" s="61">
        <f t="shared" si="14"/>
        <v>-2.0160000000000001E-2</v>
      </c>
      <c r="AI14" s="20"/>
      <c r="AJ14" s="490"/>
      <c r="AK14" s="491">
        <f t="shared" ref="AK14:AK66" si="18">(AB14+AE14+AH14)*D14</f>
        <v>-1307.70776</v>
      </c>
    </row>
    <row r="15" spans="1:37" x14ac:dyDescent="0.2">
      <c r="A15" s="43">
        <f t="shared" si="0"/>
        <v>9</v>
      </c>
      <c r="B15" s="16" t="s">
        <v>14</v>
      </c>
      <c r="C15" s="13"/>
      <c r="D15" s="58">
        <f>+'Washington volumes'!F15</f>
        <v>50173169</v>
      </c>
      <c r="E15" s="315">
        <f>+'Rates in detail'!D15</f>
        <v>0.73545999999999978</v>
      </c>
      <c r="F15" s="315">
        <f>+'Rates in detail'!F15+'Rates in detail'!G15+'Rates in detail'!H15</f>
        <v>0.33485999999999999</v>
      </c>
      <c r="G15" s="315">
        <f>+Temporaries!D15</f>
        <v>-1.3939999999999994E-2</v>
      </c>
      <c r="H15" s="315">
        <f t="shared" si="15"/>
        <v>0.4145399999999998</v>
      </c>
      <c r="I15" s="410">
        <f t="shared" si="1"/>
        <v>20798785</v>
      </c>
      <c r="J15" s="217">
        <f>+'Avg Bill by RS'!G15</f>
        <v>9</v>
      </c>
      <c r="K15" s="58">
        <f>+'Washington volumes'!H15</f>
        <v>74643.833333333328</v>
      </c>
      <c r="L15" s="410">
        <f t="shared" si="2"/>
        <v>28860319</v>
      </c>
      <c r="M15" s="59"/>
      <c r="N15" s="60">
        <v>1</v>
      </c>
      <c r="O15" s="391">
        <f t="shared" si="3"/>
        <v>1746877</v>
      </c>
      <c r="P15" s="331">
        <f t="shared" si="4"/>
        <v>3.4819999999999997E-2</v>
      </c>
      <c r="Q15" s="60">
        <v>1</v>
      </c>
      <c r="R15" s="391">
        <f t="shared" si="5"/>
        <v>263330</v>
      </c>
      <c r="S15" s="325">
        <f t="shared" si="6"/>
        <v>5.2500000000000003E-3</v>
      </c>
      <c r="T15" s="60">
        <v>1</v>
      </c>
      <c r="U15" s="391">
        <f t="shared" si="7"/>
        <v>61697</v>
      </c>
      <c r="V15" s="331">
        <f t="shared" si="8"/>
        <v>1.23E-3</v>
      </c>
      <c r="W15" s="60">
        <v>1</v>
      </c>
      <c r="X15" s="391">
        <f t="shared" si="9"/>
        <v>-38844</v>
      </c>
      <c r="Y15" s="61">
        <f t="shared" si="10"/>
        <v>-7.6999999999999996E-4</v>
      </c>
      <c r="Z15" s="60">
        <v>1</v>
      </c>
      <c r="AA15" s="391">
        <f t="shared" si="11"/>
        <v>-357369</v>
      </c>
      <c r="AB15" s="61">
        <f t="shared" si="12"/>
        <v>-7.1199999999999996E-3</v>
      </c>
      <c r="AC15" s="60">
        <v>1</v>
      </c>
      <c r="AD15" s="391">
        <f t="shared" si="16"/>
        <v>28250</v>
      </c>
      <c r="AE15" s="61">
        <f t="shared" si="13"/>
        <v>5.5999999999999995E-4</v>
      </c>
      <c r="AF15" s="60">
        <v>1</v>
      </c>
      <c r="AG15" s="391">
        <f t="shared" si="17"/>
        <v>-773818</v>
      </c>
      <c r="AH15" s="61">
        <f t="shared" si="14"/>
        <v>-1.542E-2</v>
      </c>
      <c r="AI15" s="20"/>
      <c r="AJ15" s="490"/>
      <c r="AK15" s="491">
        <f t="shared" si="18"/>
        <v>-1102806.25462</v>
      </c>
    </row>
    <row r="16" spans="1:37" x14ac:dyDescent="0.2">
      <c r="A16" s="43">
        <f t="shared" si="0"/>
        <v>10</v>
      </c>
      <c r="B16" s="16" t="s">
        <v>12</v>
      </c>
      <c r="C16" s="13"/>
      <c r="D16" s="58">
        <f>+'Washington volumes'!F16</f>
        <v>16892375</v>
      </c>
      <c r="E16" s="315">
        <f>+'Rates in detail'!D16</f>
        <v>0.7353400000000001</v>
      </c>
      <c r="F16" s="315">
        <f>+'Rates in detail'!F16+'Rates in detail'!G16+'Rates in detail'!H16</f>
        <v>0.33485999999999999</v>
      </c>
      <c r="G16" s="315">
        <f>+Temporaries!D16</f>
        <v>-1.8099999999999991E-2</v>
      </c>
      <c r="H16" s="315">
        <f t="shared" si="15"/>
        <v>0.41858000000000012</v>
      </c>
      <c r="I16" s="410">
        <f t="shared" si="1"/>
        <v>7070810</v>
      </c>
      <c r="J16" s="217">
        <f>+'Avg Bill by RS'!G16</f>
        <v>22</v>
      </c>
      <c r="K16" s="58">
        <f>+'Washington volumes'!H16</f>
        <v>6007.083333333333</v>
      </c>
      <c r="L16" s="410">
        <f t="shared" si="2"/>
        <v>8656680</v>
      </c>
      <c r="M16" s="59"/>
      <c r="N16" s="60">
        <v>1</v>
      </c>
      <c r="O16" s="391">
        <f t="shared" si="3"/>
        <v>523978</v>
      </c>
      <c r="P16" s="331">
        <f t="shared" si="4"/>
        <v>3.1019999999999999E-2</v>
      </c>
      <c r="Q16" s="60">
        <v>1</v>
      </c>
      <c r="R16" s="391">
        <f t="shared" si="5"/>
        <v>78986</v>
      </c>
      <c r="S16" s="325">
        <f t="shared" si="6"/>
        <v>4.6800000000000001E-3</v>
      </c>
      <c r="T16" s="60">
        <v>1</v>
      </c>
      <c r="U16" s="391">
        <f t="shared" si="7"/>
        <v>18506</v>
      </c>
      <c r="V16" s="331">
        <f t="shared" si="8"/>
        <v>1.1000000000000001E-3</v>
      </c>
      <c r="W16" s="60">
        <v>1</v>
      </c>
      <c r="X16" s="391">
        <f t="shared" si="9"/>
        <v>-11651</v>
      </c>
      <c r="Y16" s="61">
        <f t="shared" si="10"/>
        <v>-6.8999999999999997E-4</v>
      </c>
      <c r="Z16" s="60">
        <v>1</v>
      </c>
      <c r="AA16" s="391">
        <f t="shared" si="11"/>
        <v>-107193</v>
      </c>
      <c r="AB16" s="61">
        <f t="shared" si="12"/>
        <v>-6.3499999999999997E-3</v>
      </c>
      <c r="AC16" s="60">
        <v>1</v>
      </c>
      <c r="AD16" s="391">
        <f t="shared" si="16"/>
        <v>8474</v>
      </c>
      <c r="AE16" s="61">
        <f t="shared" si="13"/>
        <v>5.0000000000000001E-4</v>
      </c>
      <c r="AF16" s="60">
        <v>1</v>
      </c>
      <c r="AG16" s="391">
        <f t="shared" si="17"/>
        <v>-232107</v>
      </c>
      <c r="AH16" s="61">
        <f t="shared" si="14"/>
        <v>-1.374E-2</v>
      </c>
      <c r="AI16" s="20"/>
      <c r="AJ16" s="490"/>
      <c r="AK16" s="491">
        <f t="shared" si="18"/>
        <v>-330921.62624999997</v>
      </c>
    </row>
    <row r="17" spans="1:37" x14ac:dyDescent="0.2">
      <c r="A17" s="43">
        <f t="shared" si="0"/>
        <v>11</v>
      </c>
      <c r="B17" s="16" t="s">
        <v>13</v>
      </c>
      <c r="C17" s="13"/>
      <c r="D17" s="58">
        <f>+'Washington volumes'!F17</f>
        <v>478558</v>
      </c>
      <c r="E17" s="315">
        <f>+'Rates in detail'!D17</f>
        <v>0.70457999999999954</v>
      </c>
      <c r="F17" s="315">
        <f>+'Rates in detail'!F17+'Rates in detail'!G17+'Rates in detail'!H17</f>
        <v>0.33485999999999999</v>
      </c>
      <c r="G17" s="315">
        <f>+Temporaries!D17</f>
        <v>-4.8729999999999996E-2</v>
      </c>
      <c r="H17" s="315">
        <f t="shared" si="15"/>
        <v>0.41844999999999954</v>
      </c>
      <c r="I17" s="410">
        <f t="shared" si="1"/>
        <v>200253</v>
      </c>
      <c r="J17" s="217">
        <f>+'Avg Bill by RS'!G17</f>
        <v>22</v>
      </c>
      <c r="K17" s="58">
        <f>+'Washington volumes'!H17</f>
        <v>27.333333333333332</v>
      </c>
      <c r="L17" s="410">
        <f t="shared" si="2"/>
        <v>207469</v>
      </c>
      <c r="M17" s="59"/>
      <c r="N17" s="60">
        <v>0</v>
      </c>
      <c r="O17" s="391">
        <f t="shared" si="3"/>
        <v>0</v>
      </c>
      <c r="P17" s="331">
        <f t="shared" si="4"/>
        <v>0</v>
      </c>
      <c r="Q17" s="60">
        <v>1</v>
      </c>
      <c r="R17" s="391">
        <f t="shared" si="5"/>
        <v>1893</v>
      </c>
      <c r="S17" s="325">
        <f t="shared" si="6"/>
        <v>3.96E-3</v>
      </c>
      <c r="T17" s="60">
        <v>1</v>
      </c>
      <c r="U17" s="391">
        <f t="shared" si="7"/>
        <v>444</v>
      </c>
      <c r="V17" s="331">
        <f t="shared" si="8"/>
        <v>9.3000000000000005E-4</v>
      </c>
      <c r="W17" s="60">
        <v>1</v>
      </c>
      <c r="X17" s="391">
        <f t="shared" si="9"/>
        <v>-279</v>
      </c>
      <c r="Y17" s="61">
        <f t="shared" si="10"/>
        <v>-5.8E-4</v>
      </c>
      <c r="Z17" s="60">
        <v>1</v>
      </c>
      <c r="AA17" s="391">
        <f t="shared" si="11"/>
        <v>-2569</v>
      </c>
      <c r="AB17" s="61">
        <f t="shared" si="12"/>
        <v>-5.3699999999999998E-3</v>
      </c>
      <c r="AC17" s="60">
        <v>1</v>
      </c>
      <c r="AD17" s="391">
        <f t="shared" si="16"/>
        <v>203</v>
      </c>
      <c r="AE17" s="61">
        <f t="shared" si="13"/>
        <v>4.2000000000000002E-4</v>
      </c>
      <c r="AF17" s="60">
        <v>1</v>
      </c>
      <c r="AG17" s="391">
        <f t="shared" si="17"/>
        <v>-5563</v>
      </c>
      <c r="AH17" s="61">
        <f t="shared" si="14"/>
        <v>-1.162E-2</v>
      </c>
      <c r="AI17" s="20"/>
      <c r="AJ17" s="490"/>
      <c r="AK17" s="491">
        <f t="shared" si="18"/>
        <v>-7929.7060600000004</v>
      </c>
    </row>
    <row r="18" spans="1:37" x14ac:dyDescent="0.2">
      <c r="A18" s="43">
        <f t="shared" si="0"/>
        <v>12</v>
      </c>
      <c r="B18" s="68">
        <v>27</v>
      </c>
      <c r="C18" s="21"/>
      <c r="D18" s="58">
        <f>+'Washington volumes'!F18</f>
        <v>517111</v>
      </c>
      <c r="E18" s="315">
        <f>+'Rates in detail'!D18</f>
        <v>0.56221999999999983</v>
      </c>
      <c r="F18" s="315">
        <f>+'Rates in detail'!F18+'Rates in detail'!G18+'Rates in detail'!H18</f>
        <v>0.33485999999999999</v>
      </c>
      <c r="G18" s="315">
        <f>+Temporaries!D18</f>
        <v>-2.6839999999999999E-2</v>
      </c>
      <c r="H18" s="315">
        <f t="shared" si="15"/>
        <v>0.25419999999999981</v>
      </c>
      <c r="I18" s="410">
        <f t="shared" si="1"/>
        <v>131450</v>
      </c>
      <c r="J18" s="217">
        <f>+'Avg Bill by RS'!G18</f>
        <v>9</v>
      </c>
      <c r="K18" s="58">
        <f>+'Washington volumes'!H18</f>
        <v>786.5</v>
      </c>
      <c r="L18" s="410">
        <f t="shared" si="2"/>
        <v>216392</v>
      </c>
      <c r="M18" s="59"/>
      <c r="N18" s="60">
        <v>1</v>
      </c>
      <c r="O18" s="391">
        <f t="shared" si="3"/>
        <v>13098</v>
      </c>
      <c r="P18" s="331">
        <f t="shared" si="4"/>
        <v>2.5329999999999998E-2</v>
      </c>
      <c r="Q18" s="60">
        <v>1</v>
      </c>
      <c r="R18" s="391">
        <f t="shared" si="5"/>
        <v>1974</v>
      </c>
      <c r="S18" s="325">
        <f t="shared" si="6"/>
        <v>3.82E-3</v>
      </c>
      <c r="T18" s="60">
        <v>1</v>
      </c>
      <c r="U18" s="391">
        <f t="shared" si="7"/>
        <v>463</v>
      </c>
      <c r="V18" s="331">
        <f t="shared" si="8"/>
        <v>8.9999999999999998E-4</v>
      </c>
      <c r="W18" s="60">
        <v>1</v>
      </c>
      <c r="X18" s="391">
        <f t="shared" si="9"/>
        <v>-291</v>
      </c>
      <c r="Y18" s="61">
        <f t="shared" si="10"/>
        <v>-5.5999999999999995E-4</v>
      </c>
      <c r="Z18" s="60">
        <v>1</v>
      </c>
      <c r="AA18" s="391">
        <f t="shared" si="11"/>
        <v>-2680</v>
      </c>
      <c r="AB18" s="61">
        <f t="shared" si="12"/>
        <v>-5.1799999999999997E-3</v>
      </c>
      <c r="AC18" s="60">
        <v>1</v>
      </c>
      <c r="AD18" s="391">
        <f t="shared" si="16"/>
        <v>212</v>
      </c>
      <c r="AE18" s="61">
        <f t="shared" si="13"/>
        <v>4.0999999999999999E-4</v>
      </c>
      <c r="AF18" s="60">
        <v>1</v>
      </c>
      <c r="AG18" s="391">
        <f t="shared" si="17"/>
        <v>-5802</v>
      </c>
      <c r="AH18" s="61">
        <f t="shared" si="14"/>
        <v>-1.1220000000000001E-2</v>
      </c>
      <c r="AI18" s="20"/>
      <c r="AJ18" s="490"/>
      <c r="AK18" s="491">
        <f t="shared" si="18"/>
        <v>-8268.6048900000005</v>
      </c>
    </row>
    <row r="19" spans="1:37" x14ac:dyDescent="0.2">
      <c r="A19" s="43">
        <f t="shared" si="0"/>
        <v>13</v>
      </c>
      <c r="B19" s="63" t="s">
        <v>242</v>
      </c>
      <c r="C19" s="18" t="s">
        <v>6</v>
      </c>
      <c r="D19" s="64">
        <f>+'Washington volumes'!F19</f>
        <v>1845370.0521046275</v>
      </c>
      <c r="E19" s="316">
        <f>+'Rates in detail'!D19</f>
        <v>0.4992600000000002</v>
      </c>
      <c r="F19" s="316">
        <f>+'Rates in detail'!F19+'Rates in detail'!G19+'Rates in detail'!H19</f>
        <v>0.22356000000000001</v>
      </c>
      <c r="G19" s="316">
        <f>+Temporaries!D19</f>
        <v>-2.5939999999999998E-2</v>
      </c>
      <c r="H19" s="316">
        <f t="shared" si="15"/>
        <v>0.30164000000000019</v>
      </c>
      <c r="I19" s="411">
        <f>ROUND((+H19*D19)+(H20*D20),0)</f>
        <v>1040979</v>
      </c>
      <c r="J19" s="199">
        <f>+'Avg Bill by RS'!G19</f>
        <v>250</v>
      </c>
      <c r="K19" s="64">
        <f>+'Washington volumes'!H19</f>
        <v>88.333333333333329</v>
      </c>
      <c r="L19" s="411">
        <f>ROUND((+H19*D19)+(H20*D20)+(J19*K19*12),0)</f>
        <v>1305979</v>
      </c>
      <c r="M19" s="66"/>
      <c r="N19" s="65">
        <v>1</v>
      </c>
      <c r="O19" s="392">
        <f t="shared" si="3"/>
        <v>79049</v>
      </c>
      <c r="P19" s="377">
        <f t="shared" si="4"/>
        <v>2.291E-2</v>
      </c>
      <c r="Q19" s="65">
        <v>1</v>
      </c>
      <c r="R19" s="392">
        <f t="shared" si="5"/>
        <v>11916</v>
      </c>
      <c r="S19" s="326">
        <f t="shared" si="6"/>
        <v>3.4499999999999999E-3</v>
      </c>
      <c r="T19" s="65">
        <v>1</v>
      </c>
      <c r="U19" s="392">
        <f t="shared" si="7"/>
        <v>2792</v>
      </c>
      <c r="V19" s="377">
        <f t="shared" si="8"/>
        <v>8.0999999999999996E-4</v>
      </c>
      <c r="W19" s="65">
        <v>1</v>
      </c>
      <c r="X19" s="392">
        <f t="shared" si="9"/>
        <v>-1758</v>
      </c>
      <c r="Y19" s="388">
        <f t="shared" si="10"/>
        <v>-5.1000000000000004E-4</v>
      </c>
      <c r="Z19" s="65">
        <v>1</v>
      </c>
      <c r="AA19" s="392">
        <f t="shared" si="11"/>
        <v>-16172</v>
      </c>
      <c r="AB19" s="388">
        <f t="shared" si="12"/>
        <v>-4.6899999999999997E-3</v>
      </c>
      <c r="AC19" s="65">
        <v>1</v>
      </c>
      <c r="AD19" s="392">
        <f t="shared" si="16"/>
        <v>1278</v>
      </c>
      <c r="AE19" s="388">
        <f t="shared" si="13"/>
        <v>3.6999999999999999E-4</v>
      </c>
      <c r="AF19" s="65">
        <v>1</v>
      </c>
      <c r="AG19" s="392">
        <f t="shared" si="17"/>
        <v>-35017</v>
      </c>
      <c r="AH19" s="388">
        <f t="shared" si="14"/>
        <v>-1.0149999999999999E-2</v>
      </c>
      <c r="AI19" s="486"/>
      <c r="AJ19" s="490"/>
      <c r="AK19" s="491">
        <f t="shared" si="18"/>
        <v>-26702.504653953962</v>
      </c>
    </row>
    <row r="20" spans="1:37" x14ac:dyDescent="0.2">
      <c r="A20" s="43">
        <f t="shared" si="0"/>
        <v>14</v>
      </c>
      <c r="B20" s="68"/>
      <c r="C20" s="22" t="s">
        <v>7</v>
      </c>
      <c r="D20" s="58">
        <f>+'Washington volumes'!F20</f>
        <v>1822270.4689744238</v>
      </c>
      <c r="E20" s="315">
        <f>+'Rates in detail'!D20</f>
        <v>0.46018000000000003</v>
      </c>
      <c r="F20" s="315">
        <f>+'Rates in detail'!F20+'Rates in detail'!G20+'Rates in detail'!H20</f>
        <v>0.22356000000000001</v>
      </c>
      <c r="G20" s="315">
        <f>+Temporaries!D20</f>
        <v>-2.9169999999999995E-2</v>
      </c>
      <c r="H20" s="315">
        <f t="shared" si="15"/>
        <v>0.26579000000000003</v>
      </c>
      <c r="I20" s="410"/>
      <c r="J20" s="217"/>
      <c r="K20" s="58"/>
      <c r="L20" s="410"/>
      <c r="M20" s="59"/>
      <c r="N20" s="60">
        <v>1</v>
      </c>
      <c r="O20" s="391"/>
      <c r="P20" s="331">
        <f>IF(O19&lt;&gt;0,ROUND((O19/$I19)*$H20,5),ROUND((N$10/$I$69)*$H20*N20,5))</f>
        <v>2.018E-2</v>
      </c>
      <c r="Q20" s="60">
        <v>1</v>
      </c>
      <c r="R20" s="391"/>
      <c r="S20" s="325">
        <f>IF(R19&lt;&gt;0,ROUND((R19/$I19)*$H20,5),ROUND((Q$10/$I$69)*$H20*Q20,5))</f>
        <v>3.0400000000000002E-3</v>
      </c>
      <c r="T20" s="60">
        <v>1</v>
      </c>
      <c r="U20" s="391"/>
      <c r="V20" s="331">
        <f>IF(U19&lt;&gt;0,ROUND((U19/$I19)*$H20,5),ROUND((T$10/$I$69)*$H20*T20,5))</f>
        <v>7.1000000000000002E-4</v>
      </c>
      <c r="W20" s="60">
        <v>1</v>
      </c>
      <c r="X20" s="391"/>
      <c r="Y20" s="61">
        <f>IF(X19&lt;&gt;0,ROUND((X19/$I19)*$H20,5),ROUND((W$10/$I$69)*$H20*W20,5))</f>
        <v>-4.4999999999999999E-4</v>
      </c>
      <c r="Z20" s="60">
        <v>1</v>
      </c>
      <c r="AA20" s="391"/>
      <c r="AB20" s="61">
        <f>IF(AA19&lt;&gt;0,ROUND((AA19/$I19)*$H20,5),ROUND((Z$10/$I$69)*$H20*Z20,5))</f>
        <v>-4.13E-3</v>
      </c>
      <c r="AC20" s="60">
        <v>1</v>
      </c>
      <c r="AD20" s="391"/>
      <c r="AE20" s="61">
        <f>IF(AD19&lt;&gt;0,ROUND((AD19/$I19)*$H20,5),ROUND((AC$10/$I$69)*$H20*AC20,5))</f>
        <v>3.3E-4</v>
      </c>
      <c r="AF20" s="60">
        <v>1</v>
      </c>
      <c r="AG20" s="391"/>
      <c r="AH20" s="61">
        <f>IF(AG19&lt;&gt;0,ROUND((AG19/$I19)*$H20,5),ROUND((AF$10/$I$69)*$H20*AF20,5))</f>
        <v>-8.94E-3</v>
      </c>
      <c r="AI20" s="20"/>
      <c r="AJ20" s="490"/>
      <c r="AK20" s="491">
        <f t="shared" si="18"/>
        <v>-23215.725774734157</v>
      </c>
    </row>
    <row r="21" spans="1:37" x14ac:dyDescent="0.2">
      <c r="A21" s="43">
        <f t="shared" si="0"/>
        <v>15</v>
      </c>
      <c r="B21" s="63" t="s">
        <v>243</v>
      </c>
      <c r="C21" s="18" t="s">
        <v>6</v>
      </c>
      <c r="D21" s="64">
        <f>+'Washington volumes'!F21</f>
        <v>0</v>
      </c>
      <c r="E21" s="316">
        <f>+'Rates in detail'!D21</f>
        <v>0.51518999999999993</v>
      </c>
      <c r="F21" s="316">
        <f>+'Rates in detail'!F21+'Rates in detail'!G21+'Rates in detail'!H21</f>
        <v>0.22356000000000001</v>
      </c>
      <c r="G21" s="316">
        <f>+Temporaries!D21</f>
        <v>-9.779999999999997E-3</v>
      </c>
      <c r="H21" s="316">
        <f>+E21-F21-G21</f>
        <v>0.30140999999999996</v>
      </c>
      <c r="I21" s="411">
        <f>ROUND((+H21*D21)+(H22*D22),0)</f>
        <v>0</v>
      </c>
      <c r="J21" s="199">
        <f>+'Avg Bill by RS'!G22</f>
        <v>250</v>
      </c>
      <c r="K21" s="64">
        <f>+'Washington volumes'!H21</f>
        <v>0</v>
      </c>
      <c r="L21" s="411">
        <f>ROUND((+H21*D21)+(H22*D22)+(J21*K21*12),0)</f>
        <v>0</v>
      </c>
      <c r="M21" s="66"/>
      <c r="N21" s="65">
        <v>1</v>
      </c>
      <c r="O21" s="392">
        <f>ROUND(+$N$10*(($L21*N21)/N$69),0)</f>
        <v>0</v>
      </c>
      <c r="P21" s="377">
        <f>IF(O21&lt;&gt;0,ROUND((O21/$I21)*$H21,5),ROUND((N$10/$I$69)*$H21*N21,5))</f>
        <v>2.2839999999999999E-2</v>
      </c>
      <c r="Q21" s="65">
        <v>1</v>
      </c>
      <c r="R21" s="392">
        <f>ROUND(+$Q$10*(($L21*Q21)/Q$69),0)</f>
        <v>0</v>
      </c>
      <c r="S21" s="326">
        <f>IF(R21&lt;&gt;0,ROUND((R21/$I21)*$H21,5),ROUND((Q$10/$I$69)*$H21*Q21,5))</f>
        <v>3.5200000000000001E-3</v>
      </c>
      <c r="T21" s="65">
        <v>1</v>
      </c>
      <c r="U21" s="392">
        <f>ROUND(+$T$10*(($L21*T21)/T$69),0)</f>
        <v>0</v>
      </c>
      <c r="V21" s="377">
        <f>IF(U21&lt;&gt;0,ROUND((U21/$I21)*$H21,5),ROUND((T$10/$I$69)*$H21*T21,5))</f>
        <v>8.3000000000000001E-4</v>
      </c>
      <c r="W21" s="65">
        <v>1</v>
      </c>
      <c r="X21" s="392">
        <f>ROUND(+$W$10*(($L21*W21)/W$69),0)</f>
        <v>0</v>
      </c>
      <c r="Y21" s="388">
        <f>IF(X21&lt;&gt;0,ROUND((X21/$I21)*$H21,5),ROUND((W$10/$I$69)*$H21*W21,5))</f>
        <v>-5.5000000000000003E-4</v>
      </c>
      <c r="Z21" s="65">
        <v>1</v>
      </c>
      <c r="AA21" s="392">
        <f>ROUND(+$Z$10*(($L21*Z21)/Z$69),0)</f>
        <v>0</v>
      </c>
      <c r="AB21" s="388">
        <f>IF(AA21&lt;&gt;0,ROUND((AA21/$I21)*$H21,5),ROUND((Z$10/$I$69)*$H21*Z21,5))</f>
        <v>-5.0299999999999997E-3</v>
      </c>
      <c r="AC21" s="65">
        <v>1</v>
      </c>
      <c r="AD21" s="392">
        <f t="shared" si="16"/>
        <v>0</v>
      </c>
      <c r="AE21" s="388">
        <f>IF(AD21&lt;&gt;0,ROUND((AD21/$I21)*$H21,5),ROUND((AC$10/$I$69)*$H21*AC21,5))</f>
        <v>4.0000000000000002E-4</v>
      </c>
      <c r="AF21" s="65">
        <v>1</v>
      </c>
      <c r="AG21" s="392">
        <f t="shared" si="17"/>
        <v>0</v>
      </c>
      <c r="AH21" s="388">
        <f>IF(AG21&lt;&gt;0,ROUND((AG21/$I21)*$H21,5),ROUND((AF$10/$I$69)*$H21*AF21,5))</f>
        <v>-1.089E-2</v>
      </c>
      <c r="AI21" s="486"/>
      <c r="AJ21" s="490"/>
      <c r="AK21" s="491">
        <f t="shared" si="18"/>
        <v>0</v>
      </c>
    </row>
    <row r="22" spans="1:37" x14ac:dyDescent="0.2">
      <c r="A22" s="43">
        <f t="shared" si="0"/>
        <v>16</v>
      </c>
      <c r="B22" s="68"/>
      <c r="C22" s="22" t="s">
        <v>7</v>
      </c>
      <c r="D22" s="58">
        <f>+'Washington volumes'!F22</f>
        <v>0</v>
      </c>
      <c r="E22" s="315">
        <f>+'Rates in detail'!D22</f>
        <v>0.47625999999999991</v>
      </c>
      <c r="F22" s="315">
        <f>+'Rates in detail'!F22+'Rates in detail'!G22+'Rates in detail'!H22</f>
        <v>0.22356000000000001</v>
      </c>
      <c r="G22" s="315">
        <f>+Temporaries!D22</f>
        <v>-1.286E-2</v>
      </c>
      <c r="H22" s="315">
        <f>+E22-F22-G22</f>
        <v>0.26555999999999991</v>
      </c>
      <c r="I22" s="410"/>
      <c r="J22" s="217"/>
      <c r="K22" s="58"/>
      <c r="L22" s="410"/>
      <c r="M22" s="59"/>
      <c r="N22" s="60">
        <v>1</v>
      </c>
      <c r="O22" s="391"/>
      <c r="P22" s="331">
        <f>IF(O21&lt;&gt;0,ROUND((O21/$I21)*$H22,5),ROUND((N$10/$I$69)*$H22*N22,5))</f>
        <v>2.0119999999999999E-2</v>
      </c>
      <c r="Q22" s="60">
        <v>1</v>
      </c>
      <c r="R22" s="391"/>
      <c r="S22" s="325">
        <f>IF(R21&lt;&gt;0,ROUND((R21/$I21)*$H22,5),ROUND((Q$10/$I$69)*$H22*Q22,5))</f>
        <v>3.0999999999999999E-3</v>
      </c>
      <c r="T22" s="60">
        <v>1</v>
      </c>
      <c r="U22" s="391"/>
      <c r="V22" s="331">
        <f>IF(U21&lt;&gt;0,ROUND((U21/$I21)*$H22,5),ROUND((T$10/$I$69)*$H22*T22,5))</f>
        <v>7.2999999999999996E-4</v>
      </c>
      <c r="W22" s="60">
        <v>1</v>
      </c>
      <c r="X22" s="391"/>
      <c r="Y22" s="61">
        <f>IF(X21&lt;&gt;0,ROUND((X21/$I21)*$H22,5),ROUND((W$10/$I$69)*$H22*W22,5))</f>
        <v>-4.8000000000000001E-4</v>
      </c>
      <c r="Z22" s="60">
        <v>1</v>
      </c>
      <c r="AA22" s="391"/>
      <c r="AB22" s="61">
        <f>IF(AA21&lt;&gt;0,ROUND((AA21/$I21)*$H22,5),ROUND((Z$10/$I$69)*$H22*Z22,5))</f>
        <v>-4.4299999999999999E-3</v>
      </c>
      <c r="AC22" s="60">
        <v>1</v>
      </c>
      <c r="AD22" s="391"/>
      <c r="AE22" s="61">
        <f>IF(AD21&lt;&gt;0,ROUND((AD21/$I21)*$H22,5),ROUND((AC$10/$I$69)*$H22*AC22,5))</f>
        <v>3.5E-4</v>
      </c>
      <c r="AF22" s="60">
        <v>1</v>
      </c>
      <c r="AG22" s="391"/>
      <c r="AH22" s="61">
        <f>IF(AG21&lt;&gt;0,ROUND((AG21/$I21)*$H22,5),ROUND((AF$10/$I$69)*$H22*AF22,5))</f>
        <v>-9.5999999999999992E-3</v>
      </c>
      <c r="AI22" s="20"/>
      <c r="AJ22" s="490"/>
      <c r="AK22" s="491">
        <f t="shared" si="18"/>
        <v>0</v>
      </c>
    </row>
    <row r="23" spans="1:37" x14ac:dyDescent="0.2">
      <c r="A23" s="43">
        <f t="shared" si="0"/>
        <v>17</v>
      </c>
      <c r="B23" s="63" t="s">
        <v>126</v>
      </c>
      <c r="C23" s="18" t="s">
        <v>6</v>
      </c>
      <c r="D23" s="64">
        <f>+'Washington volumes'!F23</f>
        <v>373284</v>
      </c>
      <c r="E23" s="316">
        <f>+'Rates in detail'!D23</f>
        <v>0.30018999999999996</v>
      </c>
      <c r="F23" s="316">
        <f>+'Rates in detail'!F23+'Rates in detail'!G23+'Rates in detail'!H23</f>
        <v>0</v>
      </c>
      <c r="G23" s="316">
        <f>+Temporaries!D23</f>
        <v>-5.8E-4</v>
      </c>
      <c r="H23" s="316">
        <f t="shared" si="15"/>
        <v>0.30076999999999998</v>
      </c>
      <c r="I23" s="411">
        <f>ROUND((+H23*D23)+(H24*D24),0)</f>
        <v>268663</v>
      </c>
      <c r="J23" s="199">
        <f>+'Avg Bill by RS'!G25</f>
        <v>500</v>
      </c>
      <c r="K23" s="64">
        <f>+'Washington volumes'!H23</f>
        <v>16.833333333333332</v>
      </c>
      <c r="L23" s="413">
        <f>ROUND((+H23*D23)+(H24*D24)+(J23*K23*12),0)</f>
        <v>369663</v>
      </c>
      <c r="M23" s="66"/>
      <c r="N23" s="65">
        <v>0</v>
      </c>
      <c r="O23" s="392">
        <f>ROUND(+$N$10*(($L23*N23)/N$69),0)</f>
        <v>0</v>
      </c>
      <c r="P23" s="377">
        <f>IF(O23&lt;&gt;0,ROUND((O23/$I23)*$H23,5),ROUND((N$10/$I$69)*$H23*N23,5))</f>
        <v>0</v>
      </c>
      <c r="Q23" s="65">
        <v>0</v>
      </c>
      <c r="R23" s="392">
        <f>ROUND(+$Q$10*(($L23*Q23)/Q$69),0)</f>
        <v>0</v>
      </c>
      <c r="S23" s="326">
        <f>IF(R23&lt;&gt;0,ROUND((R23/$I23)*$H23,5),ROUND((Q$10/$I$69)*$H23*Q23,5))</f>
        <v>0</v>
      </c>
      <c r="T23" s="65">
        <v>0</v>
      </c>
      <c r="U23" s="392">
        <f>ROUND(+$T$10*(($L23*T23)/T$69),0)</f>
        <v>0</v>
      </c>
      <c r="V23" s="377">
        <f>IF(U23&lt;&gt;0,ROUND((U23/$I23)*$H23,5),ROUND((T$10/$I$69)*$H23*T23,5))</f>
        <v>0</v>
      </c>
      <c r="W23" s="65">
        <v>1</v>
      </c>
      <c r="X23" s="392">
        <f>ROUND(+$W$10*(($L23*W23)/W$69),0)</f>
        <v>-498</v>
      </c>
      <c r="Y23" s="388">
        <f>IF(X23&lt;&gt;0,ROUND((X23/$I23)*$H23,5),ROUND((W$10/$I$69)*$H23*W23,5))</f>
        <v>-5.5999999999999995E-4</v>
      </c>
      <c r="Z23" s="65">
        <v>1</v>
      </c>
      <c r="AA23" s="392">
        <f>ROUND(+$Z$10*(($L23*Z23)/Z$69),0)</f>
        <v>-4577</v>
      </c>
      <c r="AB23" s="388">
        <f>IF(AA23&lt;&gt;0,ROUND((AA23/$I23)*$H23,5),ROUND((Z$10/$I$69)*$H23*Z23,5))</f>
        <v>-5.1200000000000004E-3</v>
      </c>
      <c r="AC23" s="65">
        <v>1</v>
      </c>
      <c r="AD23" s="392">
        <f t="shared" si="16"/>
        <v>362</v>
      </c>
      <c r="AE23" s="388">
        <f>IF(AD23&lt;&gt;0,ROUND((AD23/$I23)*$H23,5),ROUND((AC$10/$I$69)*$H23*AC23,5))</f>
        <v>4.0999999999999999E-4</v>
      </c>
      <c r="AF23" s="65">
        <v>1</v>
      </c>
      <c r="AG23" s="392">
        <f t="shared" si="17"/>
        <v>-9912</v>
      </c>
      <c r="AH23" s="388">
        <f>IF(AG23&lt;&gt;0,ROUND((AG23/$I23)*$H23,5),ROUND((AF$10/$I$69)*$H23*AF23,5))</f>
        <v>-1.11E-2</v>
      </c>
      <c r="AI23" s="486"/>
      <c r="AJ23" s="490"/>
      <c r="AK23" s="491">
        <f t="shared" si="18"/>
        <v>-5901.6200400000007</v>
      </c>
    </row>
    <row r="24" spans="1:37" x14ac:dyDescent="0.2">
      <c r="A24" s="43">
        <f t="shared" si="0"/>
        <v>18</v>
      </c>
      <c r="B24" s="68"/>
      <c r="C24" s="22" t="s">
        <v>7</v>
      </c>
      <c r="D24" s="58">
        <f>+'Washington volumes'!F24</f>
        <v>590151</v>
      </c>
      <c r="E24" s="315">
        <f>+'Rates in detail'!D24</f>
        <v>0.26449</v>
      </c>
      <c r="F24" s="315">
        <f>+'Rates in detail'!F24+'Rates in detail'!G24+'Rates in detail'!H24</f>
        <v>0</v>
      </c>
      <c r="G24" s="315">
        <f>+Temporaries!D24</f>
        <v>-5.1000000000000004E-4</v>
      </c>
      <c r="H24" s="315">
        <f t="shared" si="15"/>
        <v>0.26500000000000001</v>
      </c>
      <c r="I24" s="410"/>
      <c r="J24" s="217"/>
      <c r="K24" s="58"/>
      <c r="L24" s="410"/>
      <c r="M24" s="59"/>
      <c r="N24" s="60">
        <v>0</v>
      </c>
      <c r="O24" s="391"/>
      <c r="P24" s="331">
        <f>IF(O23&lt;&gt;0,ROUND((O23/$I23)*$H24,5),ROUND((N$10/$I$69)*$H24*N24,5))</f>
        <v>0</v>
      </c>
      <c r="Q24" s="60">
        <v>0</v>
      </c>
      <c r="R24" s="391"/>
      <c r="S24" s="325">
        <f>IF(R23&lt;&gt;0,ROUND((R23/$I23)*$H24,5),ROUND((Q$10/$I$69)*$H24*Q24,5))</f>
        <v>0</v>
      </c>
      <c r="T24" s="60">
        <v>0</v>
      </c>
      <c r="U24" s="391"/>
      <c r="V24" s="331">
        <f>IF(U23&lt;&gt;0,ROUND((U23/$I23)*$H24,5),ROUND((T$10/$I$69)*$H24*T24,5))</f>
        <v>0</v>
      </c>
      <c r="W24" s="60">
        <v>1</v>
      </c>
      <c r="X24" s="391"/>
      <c r="Y24" s="61">
        <f>IF(X23&lt;&gt;0,ROUND((X23/$I23)*$H24,5),ROUND((W$10/$I$69)*$H24*W24,5))</f>
        <v>-4.8999999999999998E-4</v>
      </c>
      <c r="Z24" s="60">
        <v>1</v>
      </c>
      <c r="AA24" s="391"/>
      <c r="AB24" s="61">
        <f>IF(AA23&lt;&gt;0,ROUND((AA23/$I23)*$H24,5),ROUND((Z$10/$I$69)*$H24*Z24,5))</f>
        <v>-4.5100000000000001E-3</v>
      </c>
      <c r="AC24" s="60">
        <v>1</v>
      </c>
      <c r="AD24" s="391"/>
      <c r="AE24" s="61">
        <f>IF(AD23&lt;&gt;0,ROUND((AD23/$I23)*$H24,5),ROUND((AC$10/$I$69)*$H24*AC24,5))</f>
        <v>3.6000000000000002E-4</v>
      </c>
      <c r="AF24" s="60">
        <v>1</v>
      </c>
      <c r="AG24" s="391"/>
      <c r="AH24" s="61">
        <f>IF(AG23&lt;&gt;0,ROUND((AG23/$I23)*$H24,5),ROUND((AF$10/$I$69)*$H24*AF24,5))</f>
        <v>-9.7800000000000005E-3</v>
      </c>
      <c r="AI24" s="20"/>
      <c r="AJ24" s="490"/>
      <c r="AK24" s="491">
        <f t="shared" si="18"/>
        <v>-8220.8034299999999</v>
      </c>
    </row>
    <row r="25" spans="1:37" x14ac:dyDescent="0.2">
      <c r="A25" s="43">
        <f t="shared" si="0"/>
        <v>19</v>
      </c>
      <c r="B25" s="63" t="s">
        <v>244</v>
      </c>
      <c r="C25" s="18" t="s">
        <v>6</v>
      </c>
      <c r="D25" s="64">
        <f>+'Washington volumes'!F25</f>
        <v>322107.7</v>
      </c>
      <c r="E25" s="316">
        <f>+'Rates in detail'!D25</f>
        <v>0.47592000000000029</v>
      </c>
      <c r="F25" s="316">
        <f>+'Rates in detail'!F25+'Rates in detail'!G25+'Rates in detail'!H25</f>
        <v>0.22356000000000001</v>
      </c>
      <c r="G25" s="316">
        <f>+Temporaries!D25</f>
        <v>-4.9319999999999996E-2</v>
      </c>
      <c r="H25" s="316">
        <f>+E25-F25-G25</f>
        <v>0.30168000000000023</v>
      </c>
      <c r="I25" s="411">
        <f>ROUND((+H25*D25)+(H26*D26),0)</f>
        <v>189298</v>
      </c>
      <c r="J25" s="199">
        <f>+'Avg Bill by RS'!G28</f>
        <v>250</v>
      </c>
      <c r="K25" s="64">
        <f>+'Washington volumes'!H25</f>
        <v>14.916666666666666</v>
      </c>
      <c r="L25" s="411">
        <f>ROUND((+H25*D25)+(H26*D26)+(J25*K25*12),0)</f>
        <v>234048</v>
      </c>
      <c r="M25" s="66"/>
      <c r="N25" s="65">
        <v>0</v>
      </c>
      <c r="O25" s="392">
        <f>ROUND(+$N$10*(($L25*N25)/N$69),0)</f>
        <v>0</v>
      </c>
      <c r="P25" s="377">
        <f>IF(O25&lt;&gt;0,ROUND((O25/$I25)*$H25,5),ROUND((N$10/$I$69)*$H25*N25,5))</f>
        <v>0</v>
      </c>
      <c r="Q25" s="65">
        <v>1</v>
      </c>
      <c r="R25" s="392">
        <f>ROUND(+$Q$10*(($L25*Q25)/Q$69),0)</f>
        <v>2136</v>
      </c>
      <c r="S25" s="326">
        <f>IF(R25&lt;&gt;0,ROUND((R25/$I25)*$H25,5),ROUND((Q$10/$I$69)*$H25*Q25,5))</f>
        <v>3.3999999999999998E-3</v>
      </c>
      <c r="T25" s="65">
        <v>1</v>
      </c>
      <c r="U25" s="392">
        <f>ROUND(+$T$10*(($L25*T25)/T$69),0)</f>
        <v>500</v>
      </c>
      <c r="V25" s="377">
        <f>IF(U25&lt;&gt;0,ROUND((U25/$I25)*$H25,5),ROUND((T$10/$I$69)*$H25*T25,5))</f>
        <v>8.0000000000000004E-4</v>
      </c>
      <c r="W25" s="65">
        <v>1</v>
      </c>
      <c r="X25" s="392">
        <f>ROUND(+$W$10*(($L25*W25)/W$69),0)</f>
        <v>-315</v>
      </c>
      <c r="Y25" s="388">
        <f>IF(X25&lt;&gt;0,ROUND((X25/$I25)*$H25,5),ROUND((W$10/$I$69)*$H25*W25,5))</f>
        <v>-5.0000000000000001E-4</v>
      </c>
      <c r="Z25" s="65">
        <v>1</v>
      </c>
      <c r="AA25" s="392">
        <f>ROUND(+$Z$10*(($L25*Z25)/Z$69),0)</f>
        <v>-2898</v>
      </c>
      <c r="AB25" s="388">
        <f>IF(AA25&lt;&gt;0,ROUND((AA25/$I25)*$H25,5),ROUND((Z$10/$I$69)*$H25*Z25,5))</f>
        <v>-4.62E-3</v>
      </c>
      <c r="AC25" s="65">
        <v>1</v>
      </c>
      <c r="AD25" s="392">
        <f t="shared" si="16"/>
        <v>229</v>
      </c>
      <c r="AE25" s="388">
        <f>IF(AD25&lt;&gt;0,ROUND((AD25/$I25)*$H25,5),ROUND((AC$10/$I$69)*$H25*AC25,5))</f>
        <v>3.6000000000000002E-4</v>
      </c>
      <c r="AF25" s="65">
        <v>1</v>
      </c>
      <c r="AG25" s="392">
        <f t="shared" si="17"/>
        <v>-6275</v>
      </c>
      <c r="AH25" s="388">
        <f>IF(AG25&lt;&gt;0,ROUND((AG25/$I25)*$H25,5),ROUND((AF$10/$I$69)*$H25*AF25,5))</f>
        <v>-0.01</v>
      </c>
      <c r="AI25" s="486"/>
      <c r="AJ25" s="490"/>
      <c r="AK25" s="491">
        <f t="shared" si="18"/>
        <v>-4593.2558020000006</v>
      </c>
    </row>
    <row r="26" spans="1:37" x14ac:dyDescent="0.2">
      <c r="A26" s="43">
        <f t="shared" si="0"/>
        <v>20</v>
      </c>
      <c r="B26" s="68"/>
      <c r="C26" s="22" t="s">
        <v>7</v>
      </c>
      <c r="D26" s="58">
        <f>+'Washington volumes'!F26</f>
        <v>346566.6999999999</v>
      </c>
      <c r="E26" s="315">
        <f>+'Rates in detail'!D26</f>
        <v>0.43959999999999988</v>
      </c>
      <c r="F26" s="315">
        <f>+'Rates in detail'!F26+'Rates in detail'!G26+'Rates in detail'!H26</f>
        <v>0.22356000000000001</v>
      </c>
      <c r="G26" s="315">
        <f>+Temporaries!D26</f>
        <v>-4.9779999999999998E-2</v>
      </c>
      <c r="H26" s="315">
        <f>+E26-F26-G26</f>
        <v>0.26581999999999989</v>
      </c>
      <c r="I26" s="410"/>
      <c r="J26" s="217"/>
      <c r="K26" s="58"/>
      <c r="L26" s="410"/>
      <c r="M26" s="59"/>
      <c r="N26" s="60">
        <v>0</v>
      </c>
      <c r="O26" s="391"/>
      <c r="P26" s="331">
        <f>IF(O25&lt;&gt;0,ROUND((O25/$I25)*$H26,5),ROUND((N$10/$I$69)*$H26*N26,5))</f>
        <v>0</v>
      </c>
      <c r="Q26" s="60">
        <v>1</v>
      </c>
      <c r="R26" s="391"/>
      <c r="S26" s="325">
        <f>IF(R25&lt;&gt;0,ROUND((R25/$I25)*$H26,5),ROUND((Q$10/$I$69)*$H26*Q26,5))</f>
        <v>3.0000000000000001E-3</v>
      </c>
      <c r="T26" s="60">
        <v>1</v>
      </c>
      <c r="U26" s="391"/>
      <c r="V26" s="331">
        <f>IF(U25&lt;&gt;0,ROUND((U25/$I25)*$H26,5),ROUND((T$10/$I$69)*$H26*T26,5))</f>
        <v>6.9999999999999999E-4</v>
      </c>
      <c r="W26" s="60">
        <v>1</v>
      </c>
      <c r="X26" s="391"/>
      <c r="Y26" s="61">
        <f>IF(X25&lt;&gt;0,ROUND((X25/$I25)*$H26,5),ROUND((W$10/$I$69)*$H26*W26,5))</f>
        <v>-4.4000000000000002E-4</v>
      </c>
      <c r="Z26" s="60">
        <v>1</v>
      </c>
      <c r="AA26" s="391"/>
      <c r="AB26" s="61">
        <f>IF(AA25&lt;&gt;0,ROUND((AA25/$I25)*$H26,5),ROUND((Z$10/$I$69)*$H26*Z26,5))</f>
        <v>-4.0699999999999998E-3</v>
      </c>
      <c r="AC26" s="60">
        <v>1</v>
      </c>
      <c r="AD26" s="391"/>
      <c r="AE26" s="61">
        <f>IF(AD25&lt;&gt;0,ROUND((AD25/$I25)*$H26,5),ROUND((AC$10/$I$69)*$H26*AC26,5))</f>
        <v>3.2000000000000003E-4</v>
      </c>
      <c r="AF26" s="60">
        <v>1</v>
      </c>
      <c r="AG26" s="391"/>
      <c r="AH26" s="61">
        <f>IF(AG25&lt;&gt;0,ROUND((AG25/$I25)*$H26,5),ROUND((AF$10/$I$69)*$H26*AF26,5))</f>
        <v>-8.8100000000000001E-3</v>
      </c>
      <c r="AI26" s="20"/>
      <c r="AJ26" s="490"/>
      <c r="AK26" s="491">
        <f t="shared" si="18"/>
        <v>-4352.8777519999985</v>
      </c>
    </row>
    <row r="27" spans="1:37" x14ac:dyDescent="0.2">
      <c r="A27" s="43">
        <f t="shared" si="0"/>
        <v>21</v>
      </c>
      <c r="B27" s="63" t="s">
        <v>245</v>
      </c>
      <c r="C27" s="18" t="s">
        <v>6</v>
      </c>
      <c r="D27" s="64">
        <f>+'Washington volumes'!F27</f>
        <v>0</v>
      </c>
      <c r="E27" s="316">
        <f>+'Rates in detail'!D27</f>
        <v>0.49300000000000005</v>
      </c>
      <c r="F27" s="316">
        <f>+'Rates in detail'!F27+'Rates in detail'!G27+'Rates in detail'!H27</f>
        <v>0.22356000000000001</v>
      </c>
      <c r="G27" s="316">
        <f>+Temporaries!D27</f>
        <v>-3.1969999999999998E-2</v>
      </c>
      <c r="H27" s="316">
        <f t="shared" si="15"/>
        <v>0.30141000000000001</v>
      </c>
      <c r="I27" s="411">
        <f>ROUND((+H27*D27)+(H28*D28),0)</f>
        <v>0</v>
      </c>
      <c r="J27" s="199">
        <f>+'Avg Bill by RS'!G31</f>
        <v>250</v>
      </c>
      <c r="K27" s="64">
        <f>+'Washington volumes'!H27</f>
        <v>0</v>
      </c>
      <c r="L27" s="413">
        <f>ROUND((+H27*D27)+(H28*D28)+(J27*K27*12),0)</f>
        <v>0</v>
      </c>
      <c r="M27" s="66"/>
      <c r="N27" s="65">
        <v>0</v>
      </c>
      <c r="O27" s="392">
        <f>ROUND(+$N$10*(($L27*N27)/N$69),0)</f>
        <v>0</v>
      </c>
      <c r="P27" s="377">
        <f>IF(O27&lt;&gt;0,ROUND((O27/$I27)*$H27,5),ROUND((N$10/$I$69)*$H27*N27,5))</f>
        <v>0</v>
      </c>
      <c r="Q27" s="65">
        <v>1</v>
      </c>
      <c r="R27" s="392">
        <f>ROUND(+$Q$10*(($L27*Q27)/Q$69),0)</f>
        <v>0</v>
      </c>
      <c r="S27" s="326">
        <f>IF(R27&lt;&gt;0,ROUND((R27/$I27)*$H27,5),ROUND((Q$10/$I$69)*$H27*Q27,5))</f>
        <v>3.5200000000000001E-3</v>
      </c>
      <c r="T27" s="65">
        <v>1</v>
      </c>
      <c r="U27" s="392">
        <f>ROUND(+$T$10*(($L27*T27)/T$69),0)</f>
        <v>0</v>
      </c>
      <c r="V27" s="377">
        <f>IF(U27&lt;&gt;0,ROUND((U27/$I27)*$H27,5),ROUND((T$10/$I$69)*$H27*T27,5))</f>
        <v>8.3000000000000001E-4</v>
      </c>
      <c r="W27" s="65">
        <v>1</v>
      </c>
      <c r="X27" s="392">
        <f>ROUND(+$W$10*(($L27*W27)/W$69),0)</f>
        <v>0</v>
      </c>
      <c r="Y27" s="388">
        <f>IF(X27&lt;&gt;0,ROUND((X27/$I27)*$H27,5),ROUND((W$10/$I$69)*$H27*W27,5))</f>
        <v>-5.5000000000000003E-4</v>
      </c>
      <c r="Z27" s="65">
        <v>1</v>
      </c>
      <c r="AA27" s="392">
        <f>ROUND(+$Z$10*(($L27*Z27)/Z$69),0)</f>
        <v>0</v>
      </c>
      <c r="AB27" s="388">
        <f>IF(AA27&lt;&gt;0,ROUND((AA27/$I27)*$H27,5),ROUND((Z$10/$I$69)*$H27*Z27,5))</f>
        <v>-5.0299999999999997E-3</v>
      </c>
      <c r="AC27" s="65">
        <v>1</v>
      </c>
      <c r="AD27" s="392">
        <f t="shared" si="16"/>
        <v>0</v>
      </c>
      <c r="AE27" s="388">
        <f>IF(AD27&lt;&gt;0,ROUND((AD27/$I27)*$H27,5),ROUND((AC$10/$I$69)*$H27*AC27,5))</f>
        <v>4.0000000000000002E-4</v>
      </c>
      <c r="AF27" s="65">
        <v>1</v>
      </c>
      <c r="AG27" s="392">
        <f t="shared" si="17"/>
        <v>0</v>
      </c>
      <c r="AH27" s="388">
        <f>IF(AG27&lt;&gt;0,ROUND((AG27/$I27)*$H27,5),ROUND((AF$10/$I$69)*$H27*AF27,5))</f>
        <v>-1.089E-2</v>
      </c>
      <c r="AI27" s="486"/>
      <c r="AJ27" s="490"/>
      <c r="AK27" s="491">
        <f t="shared" si="18"/>
        <v>0</v>
      </c>
    </row>
    <row r="28" spans="1:37" x14ac:dyDescent="0.2">
      <c r="A28" s="43">
        <f t="shared" si="0"/>
        <v>22</v>
      </c>
      <c r="B28" s="68"/>
      <c r="C28" s="22" t="s">
        <v>7</v>
      </c>
      <c r="D28" s="58">
        <f>+'Washington volumes'!F28</f>
        <v>0</v>
      </c>
      <c r="E28" s="315">
        <f>+'Rates in detail'!D28</f>
        <v>0.45670999999999995</v>
      </c>
      <c r="F28" s="315">
        <f>+'Rates in detail'!F28+'Rates in detail'!G28+'Rates in detail'!H28</f>
        <v>0.22356000000000001</v>
      </c>
      <c r="G28" s="315">
        <f>+Temporaries!D28</f>
        <v>-3.2409999999999994E-2</v>
      </c>
      <c r="H28" s="315">
        <f t="shared" si="15"/>
        <v>0.26555999999999991</v>
      </c>
      <c r="I28" s="410"/>
      <c r="J28" s="217"/>
      <c r="K28" s="58"/>
      <c r="L28" s="410"/>
      <c r="M28" s="59"/>
      <c r="N28" s="60">
        <v>0</v>
      </c>
      <c r="O28" s="391"/>
      <c r="P28" s="331">
        <f>IF(O27&lt;&gt;0,ROUND((O27/$I27)*$H28,5),ROUND((N$10/$I$69)*$H28*N28,5))</f>
        <v>0</v>
      </c>
      <c r="Q28" s="60">
        <v>1</v>
      </c>
      <c r="R28" s="391"/>
      <c r="S28" s="325">
        <f>IF(R27&lt;&gt;0,ROUND((R27/$I27)*$H28,5),ROUND((Q$10/$I$69)*$H28*Q28,5))</f>
        <v>3.0999999999999999E-3</v>
      </c>
      <c r="T28" s="60">
        <v>1</v>
      </c>
      <c r="U28" s="391"/>
      <c r="V28" s="331">
        <f>IF(U27&lt;&gt;0,ROUND((U27/$I27)*$H28,5),ROUND((T$10/$I$69)*$H28*T28,5))</f>
        <v>7.2999999999999996E-4</v>
      </c>
      <c r="W28" s="60">
        <v>1</v>
      </c>
      <c r="X28" s="391"/>
      <c r="Y28" s="61">
        <f>IF(X27&lt;&gt;0,ROUND((X27/$I27)*$H28,5),ROUND((W$10/$I$69)*$H28*W28,5))</f>
        <v>-4.8000000000000001E-4</v>
      </c>
      <c r="Z28" s="60">
        <v>1</v>
      </c>
      <c r="AA28" s="391"/>
      <c r="AB28" s="61">
        <f>IF(AA27&lt;&gt;0,ROUND((AA27/$I27)*$H28,5),ROUND((Z$10/$I$69)*$H28*Z28,5))</f>
        <v>-4.4299999999999999E-3</v>
      </c>
      <c r="AC28" s="60">
        <v>1</v>
      </c>
      <c r="AD28" s="391"/>
      <c r="AE28" s="61">
        <f>IF(AD27&lt;&gt;0,ROUND((AD27/$I27)*$H28,5),ROUND((AC$10/$I$69)*$H28*AC28,5))</f>
        <v>3.5E-4</v>
      </c>
      <c r="AF28" s="60">
        <v>1</v>
      </c>
      <c r="AG28" s="391"/>
      <c r="AH28" s="61">
        <f>IF(AG27&lt;&gt;0,ROUND((AG27/$I27)*$H28,5),ROUND((AF$10/$I$69)*$H28*AF28,5))</f>
        <v>-9.5999999999999992E-3</v>
      </c>
      <c r="AI28" s="20"/>
      <c r="AJ28" s="490"/>
      <c r="AK28" s="491">
        <f t="shared" si="18"/>
        <v>0</v>
      </c>
    </row>
    <row r="29" spans="1:37" x14ac:dyDescent="0.2">
      <c r="A29" s="43">
        <f t="shared" si="0"/>
        <v>23</v>
      </c>
      <c r="B29" s="63" t="s">
        <v>127</v>
      </c>
      <c r="C29" s="18" t="s">
        <v>6</v>
      </c>
      <c r="D29" s="64">
        <f>+'Washington volumes'!F29</f>
        <v>375026.16770230286</v>
      </c>
      <c r="E29" s="316">
        <f>+'Rates in detail'!D29</f>
        <v>0.30433999999999994</v>
      </c>
      <c r="F29" s="316">
        <f>+'Rates in detail'!F29+'Rates in detail'!G29+'Rates in detail'!H29</f>
        <v>0.22356000000000001</v>
      </c>
      <c r="G29" s="316">
        <f>+Temporaries!D29</f>
        <v>-3.7989999999999996E-2</v>
      </c>
      <c r="H29" s="316">
        <f t="shared" si="15"/>
        <v>0.11876999999999993</v>
      </c>
      <c r="I29" s="411">
        <f>ROUND((+H29*D29)+(H30*D30)+(H31*D31)+(H32*D32)+(H33*D33)+(H34*D34),0)</f>
        <v>82201</v>
      </c>
      <c r="J29" s="199">
        <f>+'Avg Bill by RS'!G34</f>
        <v>1300</v>
      </c>
      <c r="K29" s="64">
        <f>+'Washington volumes'!H29</f>
        <v>5.75</v>
      </c>
      <c r="L29" s="411">
        <f>ROUND((+H29*D29)+(H30*D30)+(H31*D31)+(H32*D32)+(H33*D33)+(H34*D34)+(J29*K29*12),0)</f>
        <v>171901</v>
      </c>
      <c r="M29" s="66"/>
      <c r="N29" s="65">
        <v>1</v>
      </c>
      <c r="O29" s="393">
        <f>ROUND(+$N$10*(($L29*N29)/N$69),0)</f>
        <v>10405</v>
      </c>
      <c r="P29" s="378">
        <f>IF(O29&lt;&gt;0,ROUND((O29/$I29)*$H29,5),ROUND((N$10/$I$69)*$H29*N29,5))</f>
        <v>1.503E-2</v>
      </c>
      <c r="Q29" s="65">
        <v>1</v>
      </c>
      <c r="R29" s="393">
        <f>ROUND(+$Q$10*(($L29*Q29)/Q$69),0)</f>
        <v>1568</v>
      </c>
      <c r="S29" s="327">
        <f>IF(R29&lt;&gt;0,ROUND((R29/$I29)*$H29,5),ROUND((Q$10/$I$69)*$H29*Q29,5))</f>
        <v>2.2699999999999999E-3</v>
      </c>
      <c r="T29" s="65">
        <v>1</v>
      </c>
      <c r="U29" s="393">
        <f>ROUND(+$T$10*(($L29*T29)/T$69),0)</f>
        <v>367</v>
      </c>
      <c r="V29" s="378">
        <f>IF(U29&lt;&gt;0,ROUND((U29/$I29)*$H29,5),ROUND((T$10/$I$69)*$H29*T29,5))</f>
        <v>5.2999999999999998E-4</v>
      </c>
      <c r="W29" s="65">
        <v>1</v>
      </c>
      <c r="X29" s="393">
        <f>ROUND(+$W$10*(($L29*W29)/W$69),0)</f>
        <v>-231</v>
      </c>
      <c r="Y29" s="389">
        <f>IF(X29&lt;&gt;0,ROUND((X29/$I29)*$H29,5),ROUND((W$10/$I$69)*$H29*W29,5))</f>
        <v>-3.3E-4</v>
      </c>
      <c r="Z29" s="65">
        <v>1</v>
      </c>
      <c r="AA29" s="393">
        <f>ROUND(+$Z$10*(($L29*Z29)/Z$69),0)</f>
        <v>-2129</v>
      </c>
      <c r="AB29" s="389">
        <f>IF(AA29&lt;&gt;0,ROUND((AA29/$I29)*$H29,5),ROUND((Z$10/$I$69)*$H29*Z29,5))</f>
        <v>-3.0799999999999998E-3</v>
      </c>
      <c r="AC29" s="65">
        <v>1</v>
      </c>
      <c r="AD29" s="393">
        <f t="shared" si="16"/>
        <v>168</v>
      </c>
      <c r="AE29" s="389">
        <f>IF(AD29&lt;&gt;0,ROUND((AD29/$I29)*$H29,5),ROUND((AC$10/$I$69)*$H29*AC29,5))</f>
        <v>2.4000000000000001E-4</v>
      </c>
      <c r="AF29" s="65">
        <v>1</v>
      </c>
      <c r="AG29" s="393">
        <f t="shared" si="17"/>
        <v>-4609</v>
      </c>
      <c r="AH29" s="389">
        <f>IF(AG29&lt;&gt;0,ROUND((AG29/$I29)*$H29,5),ROUND((AF$10/$I$69)*$H29*AF29,5))</f>
        <v>-6.6600000000000001E-3</v>
      </c>
      <c r="AI29" s="487"/>
      <c r="AJ29" s="490"/>
      <c r="AK29" s="491">
        <f t="shared" si="18"/>
        <v>-3562.748593171877</v>
      </c>
    </row>
    <row r="30" spans="1:37" x14ac:dyDescent="0.2">
      <c r="A30" s="43">
        <f t="shared" si="0"/>
        <v>24</v>
      </c>
      <c r="B30" s="63"/>
      <c r="C30" s="18" t="s">
        <v>7</v>
      </c>
      <c r="D30" s="64">
        <f>+'Washington volumes'!F30</f>
        <v>296468.52767807955</v>
      </c>
      <c r="E30" s="316">
        <f>+'Rates in detail'!D30</f>
        <v>0.29029999999999978</v>
      </c>
      <c r="F30" s="316">
        <f>+'Rates in detail'!F30+'Rates in detail'!G30+'Rates in detail'!H30</f>
        <v>0.22356000000000001</v>
      </c>
      <c r="G30" s="316">
        <f>+Temporaries!D30</f>
        <v>-3.9579999999999997E-2</v>
      </c>
      <c r="H30" s="316">
        <f t="shared" si="15"/>
        <v>0.10631999999999978</v>
      </c>
      <c r="I30" s="412"/>
      <c r="J30" s="199"/>
      <c r="K30" s="64"/>
      <c r="L30" s="412"/>
      <c r="M30" s="66"/>
      <c r="N30" s="65">
        <v>1</v>
      </c>
      <c r="O30" s="394"/>
      <c r="P30" s="332">
        <f>IF(O29&lt;&gt;0,ROUND((O29/$I29)*$H30,5),ROUND((N$10/$I$69)*$H30*N30,5))</f>
        <v>1.346E-2</v>
      </c>
      <c r="Q30" s="65">
        <v>1</v>
      </c>
      <c r="R30" s="394"/>
      <c r="S30" s="198">
        <f>IF(R29&lt;&gt;0,ROUND((R29/$I29)*$H30,5),ROUND((Q$10/$I$69)*$H30*Q30,5))</f>
        <v>2.0300000000000001E-3</v>
      </c>
      <c r="T30" s="65">
        <v>1</v>
      </c>
      <c r="U30" s="394"/>
      <c r="V30" s="332">
        <f>IF(U29&lt;&gt;0,ROUND((U29/$I29)*$H30,5),ROUND((T$10/$I$69)*$H30*T30,5))</f>
        <v>4.6999999999999999E-4</v>
      </c>
      <c r="W30" s="65">
        <v>1</v>
      </c>
      <c r="X30" s="394"/>
      <c r="Y30" s="67">
        <f>IF(X29&lt;&gt;0,ROUND((X29/$I29)*$H30,5),ROUND((W$10/$I$69)*$H30*W30,5))</f>
        <v>-2.9999999999999997E-4</v>
      </c>
      <c r="Z30" s="65">
        <v>1</v>
      </c>
      <c r="AA30" s="394"/>
      <c r="AB30" s="67">
        <f>IF(AA29&lt;&gt;0,ROUND((AA29/$I29)*$H30,5),ROUND((Z$10/$I$69)*$H30*Z30,5))</f>
        <v>-2.7499999999999998E-3</v>
      </c>
      <c r="AC30" s="65">
        <v>1</v>
      </c>
      <c r="AD30" s="394"/>
      <c r="AE30" s="67">
        <f>IF(AD29&lt;&gt;0,ROUND((AD29/$I29)*$H30,5),ROUND((AC$10/$I$69)*$H30*AC30,5))</f>
        <v>2.2000000000000001E-4</v>
      </c>
      <c r="AF30" s="65">
        <v>1</v>
      </c>
      <c r="AG30" s="394"/>
      <c r="AH30" s="67">
        <f>IF(AG29&lt;&gt;0,ROUND((AG29/$I29)*$H30,5),ROUND((AF$10/$I$69)*$H30*AF30,5))</f>
        <v>-5.96E-3</v>
      </c>
      <c r="AI30" s="20"/>
      <c r="AJ30" s="490"/>
      <c r="AK30" s="491">
        <f t="shared" si="18"/>
        <v>-2517.0177999868952</v>
      </c>
    </row>
    <row r="31" spans="1:37" x14ac:dyDescent="0.2">
      <c r="A31" s="43">
        <f t="shared" si="0"/>
        <v>25</v>
      </c>
      <c r="B31" s="63"/>
      <c r="C31" s="18" t="s">
        <v>8</v>
      </c>
      <c r="D31" s="64">
        <f>+'Washington volumes'!F31</f>
        <v>74327.252382580977</v>
      </c>
      <c r="E31" s="316">
        <f>+'Rates in detail'!D31</f>
        <v>0.26236999999999994</v>
      </c>
      <c r="F31" s="316">
        <f>+'Rates in detail'!F31+'Rates in detail'!G31+'Rates in detail'!H31</f>
        <v>0.22356000000000001</v>
      </c>
      <c r="G31" s="316">
        <f>+Temporaries!D31</f>
        <v>-4.2729999999999997E-2</v>
      </c>
      <c r="H31" s="316">
        <f t="shared" si="15"/>
        <v>8.1539999999999918E-2</v>
      </c>
      <c r="I31" s="412"/>
      <c r="J31" s="199"/>
      <c r="K31" s="64"/>
      <c r="L31" s="412"/>
      <c r="M31" s="66"/>
      <c r="N31" s="65">
        <v>1</v>
      </c>
      <c r="O31" s="394"/>
      <c r="P31" s="332">
        <f>IF(O29&lt;&gt;0,ROUND((O29/$I29)*$H31,5),ROUND((N$10/$I$69)*$H31*N31,5))</f>
        <v>1.0319999999999999E-2</v>
      </c>
      <c r="Q31" s="65">
        <v>1</v>
      </c>
      <c r="R31" s="394"/>
      <c r="S31" s="198">
        <f>IF(R29&lt;&gt;0,ROUND((R29/$I29)*$H31,5),ROUND((Q$10/$I$69)*$H31*Q31,5))</f>
        <v>1.56E-3</v>
      </c>
      <c r="T31" s="65">
        <v>1</v>
      </c>
      <c r="U31" s="394"/>
      <c r="V31" s="332">
        <f>IF(U29&lt;&gt;0,ROUND((U29/$I29)*$H31,5),ROUND((T$10/$I$69)*$H31*T31,5))</f>
        <v>3.6000000000000002E-4</v>
      </c>
      <c r="W31" s="65">
        <v>1</v>
      </c>
      <c r="X31" s="394"/>
      <c r="Y31" s="67">
        <f>IF(X29&lt;&gt;0,ROUND((X29/$I29)*$H31,5),ROUND((W$10/$I$69)*$H31*W31,5))</f>
        <v>-2.3000000000000001E-4</v>
      </c>
      <c r="Z31" s="65">
        <v>1</v>
      </c>
      <c r="AA31" s="394"/>
      <c r="AB31" s="67">
        <f>IF(AA29&lt;&gt;0,ROUND((AA29/$I29)*$H31,5),ROUND((Z$10/$I$69)*$H31*Z31,5))</f>
        <v>-2.1099999999999999E-3</v>
      </c>
      <c r="AC31" s="65">
        <v>1</v>
      </c>
      <c r="AD31" s="394"/>
      <c r="AE31" s="67">
        <f>IF(AD29&lt;&gt;0,ROUND((AD29/$I29)*$H31,5),ROUND((AC$10/$I$69)*$H31*AC31,5))</f>
        <v>1.7000000000000001E-4</v>
      </c>
      <c r="AF31" s="65">
        <v>1</v>
      </c>
      <c r="AG31" s="394"/>
      <c r="AH31" s="67">
        <f>IF(AG29&lt;&gt;0,ROUND((AG29/$I29)*$H31,5),ROUND((AF$10/$I$69)*$H31*AF31,5))</f>
        <v>-4.5700000000000003E-3</v>
      </c>
      <c r="AI31" s="20"/>
      <c r="AJ31" s="490"/>
      <c r="AK31" s="491">
        <f t="shared" si="18"/>
        <v>-483.87041301060219</v>
      </c>
    </row>
    <row r="32" spans="1:37" x14ac:dyDescent="0.2">
      <c r="A32" s="43">
        <f t="shared" si="0"/>
        <v>26</v>
      </c>
      <c r="B32" s="63"/>
      <c r="C32" s="18" t="s">
        <v>9</v>
      </c>
      <c r="D32" s="64">
        <f>+'Washington volumes'!F32</f>
        <v>1196.5703303302539</v>
      </c>
      <c r="E32" s="316">
        <f>+'Rates in detail'!D32</f>
        <v>0.24398000000000022</v>
      </c>
      <c r="F32" s="316">
        <f>+'Rates in detail'!F32+'Rates in detail'!G32+'Rates in detail'!H32</f>
        <v>0.22356000000000001</v>
      </c>
      <c r="G32" s="316">
        <f>+Temporaries!D32</f>
        <v>-4.4809999999999996E-2</v>
      </c>
      <c r="H32" s="316">
        <f t="shared" si="15"/>
        <v>6.5230000000000204E-2</v>
      </c>
      <c r="I32" s="412"/>
      <c r="J32" s="199"/>
      <c r="K32" s="64"/>
      <c r="L32" s="412"/>
      <c r="M32" s="66"/>
      <c r="N32" s="65">
        <v>1</v>
      </c>
      <c r="O32" s="394"/>
      <c r="P32" s="332">
        <f>IF(O29&lt;&gt;0,ROUND((O29/$I29)*$H32,5),ROUND((N$10/$I$69)*$H32*N32,5))</f>
        <v>8.26E-3</v>
      </c>
      <c r="Q32" s="65">
        <v>1</v>
      </c>
      <c r="R32" s="394"/>
      <c r="S32" s="198">
        <f>IF(R29&lt;&gt;0,ROUND((R29/$I29)*$H32,5),ROUND((Q$10/$I$69)*$H32*Q32,5))</f>
        <v>1.24E-3</v>
      </c>
      <c r="T32" s="65">
        <v>1</v>
      </c>
      <c r="U32" s="394"/>
      <c r="V32" s="332">
        <f>IF(U29&lt;&gt;0,ROUND((U29/$I29)*$H32,5),ROUND((T$10/$I$69)*$H32*T32,5))</f>
        <v>2.9E-4</v>
      </c>
      <c r="W32" s="65">
        <v>1</v>
      </c>
      <c r="X32" s="394"/>
      <c r="Y32" s="67">
        <f>IF(X29&lt;&gt;0,ROUND((X29/$I29)*$H32,5),ROUND((W$10/$I$69)*$H32*W32,5))</f>
        <v>-1.8000000000000001E-4</v>
      </c>
      <c r="Z32" s="65">
        <v>1</v>
      </c>
      <c r="AA32" s="394"/>
      <c r="AB32" s="67">
        <f>IF(AA29&lt;&gt;0,ROUND((AA29/$I29)*$H32,5),ROUND((Z$10/$I$69)*$H32*Z32,5))</f>
        <v>-1.6900000000000001E-3</v>
      </c>
      <c r="AC32" s="65">
        <v>1</v>
      </c>
      <c r="AD32" s="394"/>
      <c r="AE32" s="67">
        <f>IF(AD29&lt;&gt;0,ROUND((AD29/$I29)*$H32,5),ROUND((AC$10/$I$69)*$H32*AC32,5))</f>
        <v>1.2999999999999999E-4</v>
      </c>
      <c r="AF32" s="65">
        <v>1</v>
      </c>
      <c r="AG32" s="394"/>
      <c r="AH32" s="67">
        <f>IF(AG29&lt;&gt;0,ROUND((AG29/$I29)*$H32,5),ROUND((AF$10/$I$69)*$H32*AF32,5))</f>
        <v>-3.6600000000000001E-3</v>
      </c>
      <c r="AI32" s="20"/>
      <c r="AJ32" s="490"/>
      <c r="AK32" s="491">
        <f t="shared" si="18"/>
        <v>-6.2460971243239261</v>
      </c>
    </row>
    <row r="33" spans="1:37" x14ac:dyDescent="0.2">
      <c r="A33" s="43">
        <f t="shared" si="0"/>
        <v>27</v>
      </c>
      <c r="B33" s="63"/>
      <c r="C33" s="18" t="s">
        <v>10</v>
      </c>
      <c r="D33" s="64">
        <f>+'Washington volumes'!F33</f>
        <v>0</v>
      </c>
      <c r="E33" s="316">
        <f>+'Rates in detail'!D33</f>
        <v>0.21944999999999995</v>
      </c>
      <c r="F33" s="316">
        <f>+'Rates in detail'!F33+'Rates in detail'!G33+'Rates in detail'!H33</f>
        <v>0.22356000000000001</v>
      </c>
      <c r="G33" s="316">
        <f>+Temporaries!D33</f>
        <v>-4.7589999999999993E-2</v>
      </c>
      <c r="H33" s="316">
        <f t="shared" si="15"/>
        <v>4.3479999999999935E-2</v>
      </c>
      <c r="I33" s="412"/>
      <c r="J33" s="199"/>
      <c r="K33" s="64"/>
      <c r="L33" s="412"/>
      <c r="M33" s="66"/>
      <c r="N33" s="65">
        <v>1</v>
      </c>
      <c r="O33" s="394"/>
      <c r="P33" s="332">
        <f>IF(O29&lt;&gt;0,ROUND((O29/$I29)*$H33,5),ROUND((N$10/$I$69)*$H33*N33,5))</f>
        <v>5.4999999999999997E-3</v>
      </c>
      <c r="Q33" s="65">
        <v>1</v>
      </c>
      <c r="R33" s="394"/>
      <c r="S33" s="198">
        <f>IF(R29&lt;&gt;0,ROUND((R29/$I29)*$H33,5),ROUND((Q$10/$I$69)*$H33*Q33,5))</f>
        <v>8.3000000000000001E-4</v>
      </c>
      <c r="T33" s="65">
        <v>1</v>
      </c>
      <c r="U33" s="394"/>
      <c r="V33" s="332">
        <f>IF(U29&lt;&gt;0,ROUND((U29/$I29)*$H33,5),ROUND((T$10/$I$69)*$H33*T33,5))</f>
        <v>1.9000000000000001E-4</v>
      </c>
      <c r="W33" s="65">
        <v>1</v>
      </c>
      <c r="X33" s="394"/>
      <c r="Y33" s="67">
        <f>IF(X29&lt;&gt;0,ROUND((X29/$I29)*$H33,5),ROUND((W$10/$I$69)*$H33*W33,5))</f>
        <v>-1.2E-4</v>
      </c>
      <c r="Z33" s="65">
        <v>1</v>
      </c>
      <c r="AA33" s="394"/>
      <c r="AB33" s="67">
        <f>IF(AA29&lt;&gt;0,ROUND((AA29/$I29)*$H33,5),ROUND((Z$10/$I$69)*$H33*Z33,5))</f>
        <v>-1.1299999999999999E-3</v>
      </c>
      <c r="AC33" s="65">
        <v>1</v>
      </c>
      <c r="AD33" s="394"/>
      <c r="AE33" s="67">
        <f>IF(AD29&lt;&gt;0,ROUND((AD29/$I29)*$H33,5),ROUND((AC$10/$I$69)*$H33*AC33,5))</f>
        <v>9.0000000000000006E-5</v>
      </c>
      <c r="AF33" s="65">
        <v>1</v>
      </c>
      <c r="AG33" s="394"/>
      <c r="AH33" s="67">
        <f>IF(AG29&lt;&gt;0,ROUND((AG29/$I29)*$H33,5),ROUND((AF$10/$I$69)*$H33*AF33,5))</f>
        <v>-2.4399999999999999E-3</v>
      </c>
      <c r="AI33" s="20"/>
      <c r="AJ33" s="490"/>
      <c r="AK33" s="491">
        <f t="shared" si="18"/>
        <v>0</v>
      </c>
    </row>
    <row r="34" spans="1:37" x14ac:dyDescent="0.2">
      <c r="A34" s="43">
        <f t="shared" si="0"/>
        <v>28</v>
      </c>
      <c r="B34" s="68"/>
      <c r="C34" s="22" t="s">
        <v>11</v>
      </c>
      <c r="D34" s="58">
        <f>+'Washington volumes'!F34</f>
        <v>0</v>
      </c>
      <c r="E34" s="315">
        <f>+'Rates in detail'!D34</f>
        <v>0.18881000000000009</v>
      </c>
      <c r="F34" s="315">
        <f>+'Rates in detail'!F34+'Rates in detail'!G34+'Rates in detail'!H34</f>
        <v>0.22356000000000001</v>
      </c>
      <c r="G34" s="315">
        <f>+Temporaries!D34</f>
        <v>-5.1049999999999998E-2</v>
      </c>
      <c r="H34" s="315">
        <f t="shared" si="15"/>
        <v>1.6300000000000078E-2</v>
      </c>
      <c r="I34" s="410"/>
      <c r="J34" s="217"/>
      <c r="K34" s="58"/>
      <c r="L34" s="410"/>
      <c r="M34" s="59"/>
      <c r="N34" s="60">
        <v>1</v>
      </c>
      <c r="O34" s="391"/>
      <c r="P34" s="331">
        <f>IF(O29&lt;&gt;0,ROUND((O29/$I29)*$H34,5),ROUND((N$10/$I$69)*$H34*N34,5))</f>
        <v>2.0600000000000002E-3</v>
      </c>
      <c r="Q34" s="60">
        <v>1</v>
      </c>
      <c r="R34" s="391"/>
      <c r="S34" s="325">
        <f>IF(R29&lt;&gt;0,ROUND((R29/$I29)*$H34,5),ROUND((Q$10/$I$69)*$H34*Q34,5))</f>
        <v>3.1E-4</v>
      </c>
      <c r="T34" s="60">
        <v>1</v>
      </c>
      <c r="U34" s="391"/>
      <c r="V34" s="331">
        <f>IF(U29&lt;&gt;0,ROUND((U29/$I29)*$H34,5),ROUND((T$10/$I$69)*$H34*T34,5))</f>
        <v>6.9999999999999994E-5</v>
      </c>
      <c r="W34" s="60">
        <v>1</v>
      </c>
      <c r="X34" s="391"/>
      <c r="Y34" s="61">
        <f>IF(X29&lt;&gt;0,ROUND((X29/$I29)*$H34,5),ROUND((W$10/$I$69)*$H34*W34,5))</f>
        <v>-5.0000000000000002E-5</v>
      </c>
      <c r="Z34" s="60">
        <v>1</v>
      </c>
      <c r="AA34" s="391"/>
      <c r="AB34" s="61">
        <f>IF(AA29&lt;&gt;0,ROUND((AA29/$I29)*$H34,5),ROUND((Z$10/$I$69)*$H34*Z34,5))</f>
        <v>-4.2000000000000002E-4</v>
      </c>
      <c r="AC34" s="60">
        <v>1</v>
      </c>
      <c r="AD34" s="391"/>
      <c r="AE34" s="61">
        <f>IF(AD29&lt;&gt;0,ROUND((AD29/$I29)*$H34,5),ROUND((AC$10/$I$69)*$H34*AC34,5))</f>
        <v>3.0000000000000001E-5</v>
      </c>
      <c r="AF34" s="60">
        <v>1</v>
      </c>
      <c r="AG34" s="391"/>
      <c r="AH34" s="61">
        <f>IF(AG29&lt;&gt;0,ROUND((AG29/$I29)*$H34,5),ROUND((AF$10/$I$69)*$H34*AF34,5))</f>
        <v>-9.1E-4</v>
      </c>
      <c r="AI34" s="20"/>
      <c r="AJ34" s="490"/>
      <c r="AK34" s="491">
        <f t="shared" si="18"/>
        <v>0</v>
      </c>
    </row>
    <row r="35" spans="1:37" x14ac:dyDescent="0.2">
      <c r="A35" s="43">
        <f t="shared" si="0"/>
        <v>29</v>
      </c>
      <c r="B35" s="63" t="s">
        <v>128</v>
      </c>
      <c r="C35" s="18" t="s">
        <v>6</v>
      </c>
      <c r="D35" s="64">
        <f>+'Washington volumes'!F35</f>
        <v>1116842.3999999999</v>
      </c>
      <c r="E35" s="316">
        <f>+'Rates in detail'!D35</f>
        <v>0.29139999999999999</v>
      </c>
      <c r="F35" s="316">
        <f>+'Rates in detail'!F35+'Rates in detail'!G35+'Rates in detail'!H35</f>
        <v>0.22356000000000001</v>
      </c>
      <c r="G35" s="316">
        <f>+Temporaries!D35</f>
        <v>-5.0869999999999999E-2</v>
      </c>
      <c r="H35" s="316">
        <f t="shared" si="15"/>
        <v>0.11870999999999998</v>
      </c>
      <c r="I35" s="411">
        <f>ROUND((+H35*D35)+(H36*D36)+(H37*D37)+(H38*D38)+(H39*D39)+(H40*D40),0)</f>
        <v>215641</v>
      </c>
      <c r="J35" s="199">
        <f>+'Avg Bill by RS'!G41</f>
        <v>1300</v>
      </c>
      <c r="K35" s="64">
        <f>+'Washington volumes'!H35</f>
        <v>11.833333333333334</v>
      </c>
      <c r="L35" s="411">
        <f>ROUND((+H35*D35)+(H36*D36)+(H37*D37)+(H38*D38)+(H39*D39)+(H40*D40)+(J35*K35*12),0)</f>
        <v>400241</v>
      </c>
      <c r="M35" s="66"/>
      <c r="N35" s="65">
        <v>0</v>
      </c>
      <c r="O35" s="393">
        <f>ROUND(+$N$10*(($L35*N35)/N$69),0)</f>
        <v>0</v>
      </c>
      <c r="P35" s="378">
        <f>IF(O35&lt;&gt;0,ROUND((O35/$I35)*$H35,5),ROUND((N$10/$I$69)*$H35*N35,5))</f>
        <v>0</v>
      </c>
      <c r="Q35" s="65">
        <v>1</v>
      </c>
      <c r="R35" s="393">
        <f>ROUND(+$Q$10*(($L35*Q35)/Q$69),0)</f>
        <v>3652</v>
      </c>
      <c r="S35" s="327">
        <f>IF(R35&lt;&gt;0,ROUND((R35/$I35)*$H35,5),ROUND((Q$10/$I$69)*$H35*Q35,5))</f>
        <v>2.0100000000000001E-3</v>
      </c>
      <c r="T35" s="65">
        <v>1</v>
      </c>
      <c r="U35" s="393">
        <f>ROUND(+$T$10*(($L35*T35)/T$69),0)</f>
        <v>856</v>
      </c>
      <c r="V35" s="378">
        <f>IF(U35&lt;&gt;0,ROUND((U35/$I35)*$H35,5),ROUND((T$10/$I$69)*$H35*T35,5))</f>
        <v>4.6999999999999999E-4</v>
      </c>
      <c r="W35" s="65">
        <v>1</v>
      </c>
      <c r="X35" s="393">
        <f>ROUND(+$W$10*(($L35*W35)/W$69),0)</f>
        <v>-539</v>
      </c>
      <c r="Y35" s="389">
        <f>IF(X35&lt;&gt;0,ROUND((X35/$I35)*$H35,5),ROUND((W$10/$I$69)*$H35*W35,5))</f>
        <v>-2.9999999999999997E-4</v>
      </c>
      <c r="Z35" s="65">
        <v>1</v>
      </c>
      <c r="AA35" s="393">
        <f>ROUND(+$Z$10*(($L35*Z35)/Z$69),0)</f>
        <v>-4956</v>
      </c>
      <c r="AB35" s="389">
        <f>IF(AA35&lt;&gt;0,ROUND((AA35/$I35)*$H35,5),ROUND((Z$10/$I$69)*$H35*Z35,5))</f>
        <v>-2.7299999999999998E-3</v>
      </c>
      <c r="AC35" s="65">
        <v>1</v>
      </c>
      <c r="AD35" s="393">
        <f t="shared" ref="AD35" si="19">ROUND(+$AC$10*(($L35*AC35)/AC$69),0)</f>
        <v>392</v>
      </c>
      <c r="AE35" s="389">
        <f>IF(AD35&lt;&gt;0,ROUND((AD35/$I35)*$H35,5),ROUND((AC$10/$I$69)*$H35*AC35,5))</f>
        <v>2.2000000000000001E-4</v>
      </c>
      <c r="AF35" s="65">
        <v>1</v>
      </c>
      <c r="AG35" s="393">
        <f t="shared" ref="AG35" si="20">ROUND(+$AF$10*(($L35*AF35)/AF$69),0)</f>
        <v>-10731</v>
      </c>
      <c r="AH35" s="389">
        <f>IF(AG35&lt;&gt;0,ROUND((AG35/$I35)*$H35,5),ROUND((AF$10/$I$69)*$H35*AF35,5))</f>
        <v>-5.9100000000000003E-3</v>
      </c>
      <c r="AI35" s="487"/>
      <c r="AJ35" s="490"/>
      <c r="AK35" s="491">
        <f t="shared" si="18"/>
        <v>-9403.8130079999992</v>
      </c>
    </row>
    <row r="36" spans="1:37" x14ac:dyDescent="0.2">
      <c r="A36" s="43">
        <f t="shared" si="0"/>
        <v>30</v>
      </c>
      <c r="B36" s="63"/>
      <c r="C36" s="18" t="s">
        <v>7</v>
      </c>
      <c r="D36" s="64">
        <f>+'Washington volumes'!F36</f>
        <v>718678.6</v>
      </c>
      <c r="E36" s="316">
        <f>+'Rates in detail'!D36</f>
        <v>0.27872000000000008</v>
      </c>
      <c r="F36" s="316">
        <f>+'Rates in detail'!F36+'Rates in detail'!G36+'Rates in detail'!H36</f>
        <v>0.22356000000000001</v>
      </c>
      <c r="G36" s="316">
        <f>+Temporaries!D36</f>
        <v>-5.11E-2</v>
      </c>
      <c r="H36" s="316">
        <f t="shared" si="15"/>
        <v>0.10626000000000008</v>
      </c>
      <c r="I36" s="412"/>
      <c r="J36" s="199"/>
      <c r="K36" s="64"/>
      <c r="L36" s="412"/>
      <c r="M36" s="66"/>
      <c r="N36" s="65">
        <v>0</v>
      </c>
      <c r="O36" s="394"/>
      <c r="P36" s="332">
        <f>IF(O35&lt;&gt;0,ROUND((O35/$I35)*$H36,5),ROUND((N$10/$I$69)*$H36*N36,5))</f>
        <v>0</v>
      </c>
      <c r="Q36" s="65">
        <v>1</v>
      </c>
      <c r="R36" s="394"/>
      <c r="S36" s="198">
        <f>IF(R35&lt;&gt;0,ROUND((R35/$I35)*$H36,5),ROUND((Q$10/$I$69)*$H36*Q36,5))</f>
        <v>1.8E-3</v>
      </c>
      <c r="T36" s="65">
        <v>1</v>
      </c>
      <c r="U36" s="394"/>
      <c r="V36" s="332">
        <f>IF(U35&lt;&gt;0,ROUND((U35/$I35)*$H36,5),ROUND((T$10/$I$69)*$H36*T36,5))</f>
        <v>4.2000000000000002E-4</v>
      </c>
      <c r="W36" s="65">
        <v>1</v>
      </c>
      <c r="X36" s="394"/>
      <c r="Y36" s="67">
        <f>IF(X35&lt;&gt;0,ROUND((X35/$I35)*$H36,5),ROUND((W$10/$I$69)*$H36*W36,5))</f>
        <v>-2.7E-4</v>
      </c>
      <c r="Z36" s="65">
        <v>1</v>
      </c>
      <c r="AA36" s="394"/>
      <c r="AB36" s="67">
        <f>IF(AA35&lt;&gt;0,ROUND((AA35/$I35)*$H36,5),ROUND((Z$10/$I$69)*$H36*Z36,5))</f>
        <v>-2.4399999999999999E-3</v>
      </c>
      <c r="AC36" s="65">
        <v>1</v>
      </c>
      <c r="AD36" s="394"/>
      <c r="AE36" s="67">
        <f>IF(AD35&lt;&gt;0,ROUND((AD35/$I35)*$H36,5),ROUND((AC$10/$I$69)*$H36*AC36,5))</f>
        <v>1.9000000000000001E-4</v>
      </c>
      <c r="AF36" s="65">
        <v>1</v>
      </c>
      <c r="AG36" s="394"/>
      <c r="AH36" s="67">
        <f>IF(AG35&lt;&gt;0,ROUND((AG35/$I35)*$H36,5),ROUND((AF$10/$I$69)*$H36*AF36,5))</f>
        <v>-5.2900000000000004E-3</v>
      </c>
      <c r="AI36" s="20"/>
      <c r="AJ36" s="490"/>
      <c r="AK36" s="491">
        <f t="shared" si="18"/>
        <v>-5418.836644</v>
      </c>
    </row>
    <row r="37" spans="1:37" x14ac:dyDescent="0.2">
      <c r="A37" s="43">
        <f t="shared" si="0"/>
        <v>31</v>
      </c>
      <c r="B37" s="63"/>
      <c r="C37" s="18" t="s">
        <v>8</v>
      </c>
      <c r="D37" s="64">
        <f>+'Washington volumes'!F37</f>
        <v>82148.5</v>
      </c>
      <c r="E37" s="316">
        <f>+'Rates in detail'!D37</f>
        <v>0.25346999999999992</v>
      </c>
      <c r="F37" s="316">
        <f>+'Rates in detail'!F37+'Rates in detail'!G37+'Rates in detail'!H37</f>
        <v>0.22356000000000001</v>
      </c>
      <c r="G37" s="316">
        <f>+Temporaries!D37</f>
        <v>-5.1579999999999994E-2</v>
      </c>
      <c r="H37" s="316">
        <f t="shared" si="15"/>
        <v>8.1489999999999896E-2</v>
      </c>
      <c r="I37" s="412"/>
      <c r="J37" s="199"/>
      <c r="K37" s="64"/>
      <c r="L37" s="412"/>
      <c r="M37" s="66"/>
      <c r="N37" s="65">
        <v>0</v>
      </c>
      <c r="O37" s="394"/>
      <c r="P37" s="332">
        <f>IF(O35&lt;&gt;0,ROUND((O35/$I35)*$H37,5),ROUND((N$10/$I$69)*$H37*N37,5))</f>
        <v>0</v>
      </c>
      <c r="Q37" s="65">
        <v>1</v>
      </c>
      <c r="R37" s="394"/>
      <c r="S37" s="198">
        <f>IF(R35&lt;&gt;0,ROUND((R35/$I35)*$H37,5),ROUND((Q$10/$I$69)*$H37*Q37,5))</f>
        <v>1.3799999999999999E-3</v>
      </c>
      <c r="T37" s="65">
        <v>1</v>
      </c>
      <c r="U37" s="394"/>
      <c r="V37" s="332">
        <f>IF(U35&lt;&gt;0,ROUND((U35/$I35)*$H37,5),ROUND((T$10/$I$69)*$H37*T37,5))</f>
        <v>3.2000000000000003E-4</v>
      </c>
      <c r="W37" s="65">
        <v>1</v>
      </c>
      <c r="X37" s="394"/>
      <c r="Y37" s="67">
        <f>IF(X35&lt;&gt;0,ROUND((X35/$I35)*$H37,5),ROUND((W$10/$I$69)*$H37*W37,5))</f>
        <v>-2.0000000000000001E-4</v>
      </c>
      <c r="Z37" s="65">
        <v>1</v>
      </c>
      <c r="AA37" s="394"/>
      <c r="AB37" s="67">
        <f>IF(AA35&lt;&gt;0,ROUND((AA35/$I35)*$H37,5),ROUND((Z$10/$I$69)*$H37*Z37,5))</f>
        <v>-1.8699999999999999E-3</v>
      </c>
      <c r="AC37" s="65">
        <v>1</v>
      </c>
      <c r="AD37" s="394"/>
      <c r="AE37" s="67">
        <f>IF(AD35&lt;&gt;0,ROUND((AD35/$I35)*$H37,5),ROUND((AC$10/$I$69)*$H37*AC37,5))</f>
        <v>1.4999999999999999E-4</v>
      </c>
      <c r="AF37" s="65">
        <v>1</v>
      </c>
      <c r="AG37" s="394"/>
      <c r="AH37" s="67">
        <f>IF(AG35&lt;&gt;0,ROUND((AG35/$I35)*$H37,5),ROUND((AF$10/$I$69)*$H37*AF37,5))</f>
        <v>-4.0600000000000002E-3</v>
      </c>
      <c r="AI37" s="20"/>
      <c r="AJ37" s="490"/>
      <c r="AK37" s="491">
        <f t="shared" si="18"/>
        <v>-474.81833000000006</v>
      </c>
    </row>
    <row r="38" spans="1:37" x14ac:dyDescent="0.2">
      <c r="A38" s="43">
        <f t="shared" si="0"/>
        <v>32</v>
      </c>
      <c r="B38" s="63"/>
      <c r="C38" s="18" t="s">
        <v>9</v>
      </c>
      <c r="D38" s="64">
        <f>+'Washington volumes'!F38</f>
        <v>0</v>
      </c>
      <c r="E38" s="316">
        <f>+'Rates in detail'!D38</f>
        <v>0.23686000000000018</v>
      </c>
      <c r="F38" s="316">
        <f>+'Rates in detail'!F38+'Rates in detail'!G38+'Rates in detail'!H38</f>
        <v>0.22356000000000001</v>
      </c>
      <c r="G38" s="316">
        <f>+Temporaries!D38</f>
        <v>-5.1889999999999999E-2</v>
      </c>
      <c r="H38" s="316">
        <f t="shared" si="15"/>
        <v>6.5190000000000164E-2</v>
      </c>
      <c r="I38" s="412"/>
      <c r="J38" s="199"/>
      <c r="K38" s="64"/>
      <c r="L38" s="412"/>
      <c r="M38" s="66"/>
      <c r="N38" s="65">
        <v>0</v>
      </c>
      <c r="O38" s="394"/>
      <c r="P38" s="332">
        <f>IF(O35&lt;&gt;0,ROUND((O35/$I35)*$H38,5),ROUND((N$10/$I$69)*$H38*N38,5))</f>
        <v>0</v>
      </c>
      <c r="Q38" s="65">
        <v>1</v>
      </c>
      <c r="R38" s="394"/>
      <c r="S38" s="198">
        <f>IF(R35&lt;&gt;0,ROUND((R35/$I35)*$H38,5),ROUND((Q$10/$I$69)*$H38*Q38,5))</f>
        <v>1.1000000000000001E-3</v>
      </c>
      <c r="T38" s="65">
        <v>1</v>
      </c>
      <c r="U38" s="394"/>
      <c r="V38" s="332">
        <f>IF(U35&lt;&gt;0,ROUND((U35/$I35)*$H38,5),ROUND((T$10/$I$69)*$H38*T38,5))</f>
        <v>2.5999999999999998E-4</v>
      </c>
      <c r="W38" s="65">
        <v>1</v>
      </c>
      <c r="X38" s="394"/>
      <c r="Y38" s="67">
        <f>IF(X35&lt;&gt;0,ROUND((X35/$I35)*$H38,5),ROUND((W$10/$I$69)*$H38*W38,5))</f>
        <v>-1.6000000000000001E-4</v>
      </c>
      <c r="Z38" s="65">
        <v>1</v>
      </c>
      <c r="AA38" s="394"/>
      <c r="AB38" s="67">
        <f>IF(AA35&lt;&gt;0,ROUND((AA35/$I35)*$H38,5),ROUND((Z$10/$I$69)*$H38*Z38,5))</f>
        <v>-1.5E-3</v>
      </c>
      <c r="AC38" s="65">
        <v>1</v>
      </c>
      <c r="AD38" s="394"/>
      <c r="AE38" s="67">
        <f>IF(AD35&lt;&gt;0,ROUND((AD35/$I35)*$H38,5),ROUND((AC$10/$I$69)*$H38*AC38,5))</f>
        <v>1.2E-4</v>
      </c>
      <c r="AF38" s="65">
        <v>1</v>
      </c>
      <c r="AG38" s="394"/>
      <c r="AH38" s="67">
        <f>IF(AG35&lt;&gt;0,ROUND((AG35/$I35)*$H38,5),ROUND((AF$10/$I$69)*$H38*AF38,5))</f>
        <v>-3.2399999999999998E-3</v>
      </c>
      <c r="AI38" s="20"/>
      <c r="AJ38" s="490"/>
      <c r="AK38" s="491">
        <f t="shared" si="18"/>
        <v>0</v>
      </c>
    </row>
    <row r="39" spans="1:37" x14ac:dyDescent="0.2">
      <c r="A39" s="43">
        <f t="shared" si="0"/>
        <v>33</v>
      </c>
      <c r="B39" s="63"/>
      <c r="C39" s="18" t="s">
        <v>10</v>
      </c>
      <c r="D39" s="64">
        <f>+'Washington volumes'!F39</f>
        <v>0</v>
      </c>
      <c r="E39" s="316">
        <f>+'Rates in detail'!D39</f>
        <v>0.2147300000000002</v>
      </c>
      <c r="F39" s="316">
        <f>+'Rates in detail'!F39+'Rates in detail'!G39+'Rates in detail'!H39</f>
        <v>0.22356000000000001</v>
      </c>
      <c r="G39" s="316">
        <f>+Temporaries!D39</f>
        <v>-5.2299999999999999E-2</v>
      </c>
      <c r="H39" s="316">
        <f t="shared" si="15"/>
        <v>4.3470000000000189E-2</v>
      </c>
      <c r="I39" s="412"/>
      <c r="J39" s="199"/>
      <c r="K39" s="64"/>
      <c r="L39" s="412"/>
      <c r="M39" s="66"/>
      <c r="N39" s="65">
        <v>0</v>
      </c>
      <c r="O39" s="394"/>
      <c r="P39" s="332">
        <f>IF(O35&lt;&gt;0,ROUND((O35/$I35)*$H39,5),ROUND((N$10/$I$69)*$H39*N39,5))</f>
        <v>0</v>
      </c>
      <c r="Q39" s="65">
        <v>1</v>
      </c>
      <c r="R39" s="394"/>
      <c r="S39" s="198">
        <f>IF(R35&lt;&gt;0,ROUND((R35/$I35)*$H39,5),ROUND((Q$10/$I$69)*$H39*Q39,5))</f>
        <v>7.3999999999999999E-4</v>
      </c>
      <c r="T39" s="65">
        <v>1</v>
      </c>
      <c r="U39" s="394"/>
      <c r="V39" s="332">
        <f>IF(U35&lt;&gt;0,ROUND((U35/$I35)*$H39,5),ROUND((T$10/$I$69)*$H39*T39,5))</f>
        <v>1.7000000000000001E-4</v>
      </c>
      <c r="W39" s="65">
        <v>1</v>
      </c>
      <c r="X39" s="394"/>
      <c r="Y39" s="67">
        <f>IF(X35&lt;&gt;0,ROUND((X35/$I35)*$H39,5),ROUND((W$10/$I$69)*$H39*W39,5))</f>
        <v>-1.1E-4</v>
      </c>
      <c r="Z39" s="65">
        <v>1</v>
      </c>
      <c r="AA39" s="394"/>
      <c r="AB39" s="67">
        <f>IF(AA35&lt;&gt;0,ROUND((AA35/$I35)*$H39,5),ROUND((Z$10/$I$69)*$H39*Z39,5))</f>
        <v>-1E-3</v>
      </c>
      <c r="AC39" s="65">
        <v>1</v>
      </c>
      <c r="AD39" s="394"/>
      <c r="AE39" s="67">
        <f>IF(AD35&lt;&gt;0,ROUND((AD35/$I35)*$H39,5),ROUND((AC$10/$I$69)*$H39*AC39,5))</f>
        <v>8.0000000000000007E-5</v>
      </c>
      <c r="AF39" s="65">
        <v>1</v>
      </c>
      <c r="AG39" s="394"/>
      <c r="AH39" s="67">
        <f>IF(AG35&lt;&gt;0,ROUND((AG35/$I35)*$H39,5),ROUND((AF$10/$I$69)*$H39*AF39,5))</f>
        <v>-2.16E-3</v>
      </c>
      <c r="AI39" s="20"/>
      <c r="AJ39" s="490"/>
      <c r="AK39" s="491">
        <f t="shared" si="18"/>
        <v>0</v>
      </c>
    </row>
    <row r="40" spans="1:37" x14ac:dyDescent="0.2">
      <c r="A40" s="43">
        <f t="shared" si="0"/>
        <v>34</v>
      </c>
      <c r="B40" s="68"/>
      <c r="C40" s="22" t="s">
        <v>11</v>
      </c>
      <c r="D40" s="58">
        <f>+'Washington volumes'!F40</f>
        <v>0</v>
      </c>
      <c r="E40" s="315">
        <f>+'Rates in detail'!D40</f>
        <v>0.18703999999999993</v>
      </c>
      <c r="F40" s="315">
        <f>+'Rates in detail'!F40+'Rates in detail'!G40+'Rates in detail'!H40</f>
        <v>0.22356000000000001</v>
      </c>
      <c r="G40" s="315">
        <f>+Temporaries!D40</f>
        <v>-5.2809999999999996E-2</v>
      </c>
      <c r="H40" s="315">
        <f t="shared" si="15"/>
        <v>1.6289999999999916E-2</v>
      </c>
      <c r="I40" s="410"/>
      <c r="J40" s="217"/>
      <c r="K40" s="58"/>
      <c r="L40" s="410"/>
      <c r="M40" s="59"/>
      <c r="N40" s="60">
        <v>0</v>
      </c>
      <c r="O40" s="391"/>
      <c r="P40" s="331">
        <f>IF(O35&lt;&gt;0,ROUND((O35/$I35)*$H40,5),ROUND((N$10/$I$69)*$H40*N40,5))</f>
        <v>0</v>
      </c>
      <c r="Q40" s="60">
        <v>1</v>
      </c>
      <c r="R40" s="391"/>
      <c r="S40" s="325">
        <f>IF(R35&lt;&gt;0,ROUND((R35/$I35)*$H40,5),ROUND((Q$10/$I$69)*$H40*Q40,5))</f>
        <v>2.7999999999999998E-4</v>
      </c>
      <c r="T40" s="60">
        <v>1</v>
      </c>
      <c r="U40" s="391"/>
      <c r="V40" s="331">
        <f>IF(U35&lt;&gt;0,ROUND((U35/$I35)*$H40,5),ROUND((T$10/$I$69)*$H40*T40,5))</f>
        <v>6.0000000000000002E-5</v>
      </c>
      <c r="W40" s="60">
        <v>1</v>
      </c>
      <c r="X40" s="391"/>
      <c r="Y40" s="61">
        <f>IF(X35&lt;&gt;0,ROUND((X35/$I35)*$H40,5),ROUND((W$10/$I$69)*$H40*W40,5))</f>
        <v>-4.0000000000000003E-5</v>
      </c>
      <c r="Z40" s="60">
        <v>1</v>
      </c>
      <c r="AA40" s="391"/>
      <c r="AB40" s="61">
        <f>IF(AA35&lt;&gt;0,ROUND((AA35/$I35)*$H40,5),ROUND((Z$10/$I$69)*$H40*Z40,5))</f>
        <v>-3.6999999999999999E-4</v>
      </c>
      <c r="AC40" s="60">
        <v>1</v>
      </c>
      <c r="AD40" s="391"/>
      <c r="AE40" s="61">
        <f>IF(AD35&lt;&gt;0,ROUND((AD35/$I35)*$H40,5),ROUND((AC$10/$I$69)*$H40*AC40,5))</f>
        <v>3.0000000000000001E-5</v>
      </c>
      <c r="AF40" s="60">
        <v>1</v>
      </c>
      <c r="AG40" s="391"/>
      <c r="AH40" s="61">
        <f>IF(AG35&lt;&gt;0,ROUND((AG35/$I35)*$H40,5),ROUND((AF$10/$I$69)*$H40*AF40,5))</f>
        <v>-8.0999999999999996E-4</v>
      </c>
      <c r="AI40" s="20"/>
      <c r="AJ40" s="490"/>
      <c r="AK40" s="491">
        <f t="shared" si="18"/>
        <v>0</v>
      </c>
    </row>
    <row r="41" spans="1:37" x14ac:dyDescent="0.2">
      <c r="A41" s="43">
        <f t="shared" si="0"/>
        <v>35</v>
      </c>
      <c r="B41" s="63" t="s">
        <v>129</v>
      </c>
      <c r="C41" s="18" t="s">
        <v>6</v>
      </c>
      <c r="D41" s="64">
        <f>+'Washington volumes'!F41</f>
        <v>1315575</v>
      </c>
      <c r="E41" s="316">
        <f>+'Rates in detail'!D41</f>
        <v>0.11795</v>
      </c>
      <c r="F41" s="316">
        <f>+'Rates in detail'!F41+'Rates in detail'!G41+'Rates in detail'!H41</f>
        <v>0</v>
      </c>
      <c r="G41" s="316">
        <f>+Temporaries!D41</f>
        <v>-2.3000000000000001E-4</v>
      </c>
      <c r="H41" s="316">
        <f t="shared" si="15"/>
        <v>0.11817999999999999</v>
      </c>
      <c r="I41" s="411">
        <f>ROUND((+H41*D41)+(H42*D42)+(H43*D43)+(H44*D44)+(H45*D45)+(H46*D46),0)</f>
        <v>543313</v>
      </c>
      <c r="J41" s="199">
        <f>+'Avg Bill by RS'!G48</f>
        <v>1550</v>
      </c>
      <c r="K41" s="64">
        <f>+'Washington volumes'!H41</f>
        <v>11.833333333333332</v>
      </c>
      <c r="L41" s="411">
        <f>ROUND((+H41*D41)+(H42*D42)+(H43*D43)+(H44*D44)+(H45*D45)+(H46*D46)+(J41*K41*12),0)</f>
        <v>763413</v>
      </c>
      <c r="M41" s="66"/>
      <c r="N41" s="65">
        <v>0</v>
      </c>
      <c r="O41" s="393">
        <f>ROUND(+$N$10*(($L41*N41)/N$69),0)</f>
        <v>0</v>
      </c>
      <c r="P41" s="378">
        <f>IF(O41&lt;&gt;0,ROUND((O41/$I41)*$H41,5),ROUND((N$10/$I$69)*$H41*N41,5))</f>
        <v>0</v>
      </c>
      <c r="Q41" s="65">
        <v>0</v>
      </c>
      <c r="R41" s="393">
        <f>ROUND(+$Q$10*(($L41*Q41)/Q$69),0)</f>
        <v>0</v>
      </c>
      <c r="S41" s="327">
        <f>IF(R41&lt;&gt;0,ROUND((R41/$I41)*$H41,5),ROUND((Q$10/$I$69)*$H41*Q41,5))</f>
        <v>0</v>
      </c>
      <c r="T41" s="65">
        <v>0</v>
      </c>
      <c r="U41" s="393">
        <f>ROUND(+$T$10*(($L41*T41)/T$69),0)</f>
        <v>0</v>
      </c>
      <c r="V41" s="378">
        <f>IF(U41&lt;&gt;0,ROUND((U41/$I41)*$H41,5),ROUND((T$10/$I$69)*$H41*T41,5))</f>
        <v>0</v>
      </c>
      <c r="W41" s="65">
        <v>1</v>
      </c>
      <c r="X41" s="393">
        <f>ROUND(+$W$10*(($L41*W41)/W$69),0)</f>
        <v>-1028</v>
      </c>
      <c r="Y41" s="389">
        <f>IF(X41&lt;&gt;0,ROUND((X41/$I41)*$H41,5),ROUND((W$10/$I$69)*$H41*W41,5))</f>
        <v>-2.2000000000000001E-4</v>
      </c>
      <c r="Z41" s="65">
        <v>1</v>
      </c>
      <c r="AA41" s="393">
        <f>ROUND(+$Z$10*(($L41*Z41)/Z$69),0)</f>
        <v>-9453</v>
      </c>
      <c r="AB41" s="389">
        <f>IF(AA41&lt;&gt;0,ROUND((AA41/$I41)*$H41,5),ROUND((Z$10/$I$69)*$H41*Z41,5))</f>
        <v>-2.0600000000000002E-3</v>
      </c>
      <c r="AC41" s="65">
        <v>1</v>
      </c>
      <c r="AD41" s="393">
        <f t="shared" ref="AD41" si="21">ROUND(+$AC$10*(($L41*AC41)/AC$69),0)</f>
        <v>747</v>
      </c>
      <c r="AE41" s="389">
        <f>IF(AD41&lt;&gt;0,ROUND((AD41/$I41)*$H41,5),ROUND((AC$10/$I$69)*$H41*AC41,5))</f>
        <v>1.6000000000000001E-4</v>
      </c>
      <c r="AF41" s="65">
        <v>1</v>
      </c>
      <c r="AG41" s="393">
        <f t="shared" ref="AG41" si="22">ROUND(+$AF$10*(($L41*AF41)/AF$69),0)</f>
        <v>-20469</v>
      </c>
      <c r="AH41" s="389">
        <f>IF(AG41&lt;&gt;0,ROUND((AG41/$I41)*$H41,5),ROUND((AF$10/$I$69)*$H41*AF41,5))</f>
        <v>-4.45E-3</v>
      </c>
      <c r="AI41" s="487"/>
      <c r="AJ41" s="490"/>
      <c r="AK41" s="491">
        <f t="shared" si="18"/>
        <v>-8353.901249999999</v>
      </c>
    </row>
    <row r="42" spans="1:37" x14ac:dyDescent="0.2">
      <c r="A42" s="43">
        <f t="shared" si="0"/>
        <v>36</v>
      </c>
      <c r="B42" s="63"/>
      <c r="C42" s="18" t="s">
        <v>7</v>
      </c>
      <c r="D42" s="64">
        <f>+'Washington volumes'!F42</f>
        <v>1620311</v>
      </c>
      <c r="E42" s="316">
        <f>+'Rates in detail'!D42</f>
        <v>0.10557999999999999</v>
      </c>
      <c r="F42" s="316">
        <f>+'Rates in detail'!F42+'Rates in detail'!G42+'Rates in detail'!H42</f>
        <v>0</v>
      </c>
      <c r="G42" s="316">
        <f>+Temporaries!D42</f>
        <v>-2.1000000000000001E-4</v>
      </c>
      <c r="H42" s="316">
        <f t="shared" si="15"/>
        <v>0.10579</v>
      </c>
      <c r="I42" s="412"/>
      <c r="J42" s="199"/>
      <c r="K42" s="64"/>
      <c r="L42" s="412"/>
      <c r="M42" s="66"/>
      <c r="N42" s="65">
        <v>0</v>
      </c>
      <c r="O42" s="394"/>
      <c r="P42" s="332">
        <f>IF(O41&lt;&gt;0,ROUND((O41/$I41)*$H42,5),ROUND((N$10/$I$69)*$H42*N42,5))</f>
        <v>0</v>
      </c>
      <c r="Q42" s="65">
        <v>0</v>
      </c>
      <c r="R42" s="394"/>
      <c r="S42" s="198">
        <f>IF(R41&lt;&gt;0,ROUND((R41/$I41)*$H42,5),ROUND((Q$10/$I$69)*$H42*Q42,5))</f>
        <v>0</v>
      </c>
      <c r="T42" s="65">
        <v>0</v>
      </c>
      <c r="U42" s="394"/>
      <c r="V42" s="332">
        <f>IF(U41&lt;&gt;0,ROUND((U41/$I41)*$H42,5),ROUND((T$10/$I$69)*$H42*T42,5))</f>
        <v>0</v>
      </c>
      <c r="W42" s="65">
        <v>1</v>
      </c>
      <c r="X42" s="394"/>
      <c r="Y42" s="67">
        <f>IF(X41&lt;&gt;0,ROUND((X41/$I41)*$H42,5),ROUND((W$10/$I$69)*$H42*W42,5))</f>
        <v>-2.0000000000000001E-4</v>
      </c>
      <c r="Z42" s="65">
        <v>1</v>
      </c>
      <c r="AA42" s="394"/>
      <c r="AB42" s="67">
        <f>IF(AA41&lt;&gt;0,ROUND((AA41/$I41)*$H42,5),ROUND((Z$10/$I$69)*$H42*Z42,5))</f>
        <v>-1.8400000000000001E-3</v>
      </c>
      <c r="AC42" s="65">
        <v>1</v>
      </c>
      <c r="AD42" s="394"/>
      <c r="AE42" s="67">
        <f>IF(AD41&lt;&gt;0,ROUND((AD41/$I41)*$H42,5),ROUND((AC$10/$I$69)*$H42*AC42,5))</f>
        <v>1.4999999999999999E-4</v>
      </c>
      <c r="AF42" s="65">
        <v>1</v>
      </c>
      <c r="AG42" s="394"/>
      <c r="AH42" s="67">
        <f>IF(AG41&lt;&gt;0,ROUND((AG41/$I41)*$H42,5),ROUND((AF$10/$I$69)*$H42*AF42,5))</f>
        <v>-3.9899999999999996E-3</v>
      </c>
      <c r="AI42" s="20"/>
      <c r="AJ42" s="490"/>
      <c r="AK42" s="491">
        <f t="shared" si="18"/>
        <v>-9203.3664799999988</v>
      </c>
    </row>
    <row r="43" spans="1:37" x14ac:dyDescent="0.2">
      <c r="A43" s="43">
        <f t="shared" si="0"/>
        <v>37</v>
      </c>
      <c r="B43" s="63"/>
      <c r="C43" s="18" t="s">
        <v>8</v>
      </c>
      <c r="D43" s="64">
        <f>+'Washington volumes'!F43</f>
        <v>1147357</v>
      </c>
      <c r="E43" s="316">
        <f>+'Rates in detail'!D43</f>
        <v>8.0960000000000004E-2</v>
      </c>
      <c r="F43" s="316">
        <f>+'Rates in detail'!F43+'Rates in detail'!G43+'Rates in detail'!H43</f>
        <v>0</v>
      </c>
      <c r="G43" s="316">
        <f>+Temporaries!D43</f>
        <v>-1.6000000000000001E-4</v>
      </c>
      <c r="H43" s="316">
        <f t="shared" si="15"/>
        <v>8.1119999999999998E-2</v>
      </c>
      <c r="I43" s="412"/>
      <c r="J43" s="199"/>
      <c r="K43" s="64"/>
      <c r="L43" s="412"/>
      <c r="M43" s="66"/>
      <c r="N43" s="65">
        <v>0</v>
      </c>
      <c r="O43" s="394"/>
      <c r="P43" s="332">
        <f>IF(O41&lt;&gt;0,ROUND((O41/$I41)*$H43,5),ROUND((N$10/$I$69)*$H43*N43,5))</f>
        <v>0</v>
      </c>
      <c r="Q43" s="65">
        <v>0</v>
      </c>
      <c r="R43" s="394"/>
      <c r="S43" s="198">
        <f>IF(R41&lt;&gt;0,ROUND((R41/$I41)*$H43,5),ROUND((Q$10/$I$69)*$H43*Q43,5))</f>
        <v>0</v>
      </c>
      <c r="T43" s="65">
        <v>0</v>
      </c>
      <c r="U43" s="394"/>
      <c r="V43" s="332">
        <f>IF(U41&lt;&gt;0,ROUND((U41/$I41)*$H43,5),ROUND((T$10/$I$69)*$H43*T43,5))</f>
        <v>0</v>
      </c>
      <c r="W43" s="65">
        <v>1</v>
      </c>
      <c r="X43" s="394"/>
      <c r="Y43" s="67">
        <f>IF(X41&lt;&gt;0,ROUND((X41/$I41)*$H43,5),ROUND((W$10/$I$69)*$H43*W43,5))</f>
        <v>-1.4999999999999999E-4</v>
      </c>
      <c r="Z43" s="65">
        <v>1</v>
      </c>
      <c r="AA43" s="394"/>
      <c r="AB43" s="67">
        <f>IF(AA41&lt;&gt;0,ROUND((AA41/$I41)*$H43,5),ROUND((Z$10/$I$69)*$H43*Z43,5))</f>
        <v>-1.41E-3</v>
      </c>
      <c r="AC43" s="65">
        <v>1</v>
      </c>
      <c r="AD43" s="394"/>
      <c r="AE43" s="67">
        <f>IF(AD41&lt;&gt;0,ROUND((AD41/$I41)*$H43,5),ROUND((AC$10/$I$69)*$H43*AC43,5))</f>
        <v>1.1E-4</v>
      </c>
      <c r="AF43" s="65">
        <v>1</v>
      </c>
      <c r="AG43" s="394"/>
      <c r="AH43" s="67">
        <f>IF(AG41&lt;&gt;0,ROUND((AG41/$I41)*$H43,5),ROUND((AF$10/$I$69)*$H43*AF43,5))</f>
        <v>-3.0599999999999998E-3</v>
      </c>
      <c r="AI43" s="20"/>
      <c r="AJ43" s="490"/>
      <c r="AK43" s="491">
        <f t="shared" si="18"/>
        <v>-5002.4765199999993</v>
      </c>
    </row>
    <row r="44" spans="1:37" x14ac:dyDescent="0.2">
      <c r="A44" s="43">
        <f t="shared" si="0"/>
        <v>38</v>
      </c>
      <c r="B44" s="63"/>
      <c r="C44" s="18" t="s">
        <v>9</v>
      </c>
      <c r="D44" s="64">
        <f>+'Washington volumes'!F44</f>
        <v>1663800</v>
      </c>
      <c r="E44" s="316">
        <f>+'Rates in detail'!D44</f>
        <v>6.4769999999999994E-2</v>
      </c>
      <c r="F44" s="316">
        <f>+'Rates in detail'!F44+'Rates in detail'!G44+'Rates in detail'!H44</f>
        <v>0</v>
      </c>
      <c r="G44" s="316">
        <f>+Temporaries!D44</f>
        <v>-1.2999999999999999E-4</v>
      </c>
      <c r="H44" s="316">
        <f t="shared" si="15"/>
        <v>6.4899999999999999E-2</v>
      </c>
      <c r="I44" s="412"/>
      <c r="J44" s="199"/>
      <c r="K44" s="64"/>
      <c r="L44" s="412"/>
      <c r="M44" s="66"/>
      <c r="N44" s="65">
        <v>0</v>
      </c>
      <c r="O44" s="394"/>
      <c r="P44" s="332">
        <f>IF(O41&lt;&gt;0,ROUND((O41/$I41)*$H44,5),ROUND((N$10/$I$69)*$H44*N44,5))</f>
        <v>0</v>
      </c>
      <c r="Q44" s="65">
        <v>0</v>
      </c>
      <c r="R44" s="394"/>
      <c r="S44" s="198">
        <f>IF(R41&lt;&gt;0,ROUND((R41/$I41)*$H44,5),ROUND((Q$10/$I$69)*$H44*Q44,5))</f>
        <v>0</v>
      </c>
      <c r="T44" s="65">
        <v>0</v>
      </c>
      <c r="U44" s="394"/>
      <c r="V44" s="332">
        <f>IF(U41&lt;&gt;0,ROUND((U41/$I41)*$H44,5),ROUND((T$10/$I$69)*$H44*T44,5))</f>
        <v>0</v>
      </c>
      <c r="W44" s="65">
        <v>1</v>
      </c>
      <c r="X44" s="394"/>
      <c r="Y44" s="67">
        <f>IF(X41&lt;&gt;0,ROUND((X41/$I41)*$H44,5),ROUND((W$10/$I$69)*$H44*W44,5))</f>
        <v>-1.2E-4</v>
      </c>
      <c r="Z44" s="65">
        <v>1</v>
      </c>
      <c r="AA44" s="394"/>
      <c r="AB44" s="67">
        <f>IF(AA41&lt;&gt;0,ROUND((AA41/$I41)*$H44,5),ROUND((Z$10/$I$69)*$H44*Z44,5))</f>
        <v>-1.1299999999999999E-3</v>
      </c>
      <c r="AC44" s="65">
        <v>1</v>
      </c>
      <c r="AD44" s="394"/>
      <c r="AE44" s="67">
        <f>IF(AD41&lt;&gt;0,ROUND((AD41/$I41)*$H44,5),ROUND((AC$10/$I$69)*$H44*AC44,5))</f>
        <v>9.0000000000000006E-5</v>
      </c>
      <c r="AF44" s="65">
        <v>1</v>
      </c>
      <c r="AG44" s="394"/>
      <c r="AH44" s="67">
        <f>IF(AG41&lt;&gt;0,ROUND((AG41/$I41)*$H44,5),ROUND((AF$10/$I$69)*$H44*AF44,5))</f>
        <v>-2.4499999999999999E-3</v>
      </c>
      <c r="AI44" s="20"/>
      <c r="AJ44" s="490"/>
      <c r="AK44" s="491">
        <f t="shared" si="18"/>
        <v>-5806.6620000000003</v>
      </c>
    </row>
    <row r="45" spans="1:37" x14ac:dyDescent="0.2">
      <c r="A45" s="43">
        <f t="shared" si="0"/>
        <v>39</v>
      </c>
      <c r="B45" s="63"/>
      <c r="C45" s="18" t="s">
        <v>10</v>
      </c>
      <c r="D45" s="64">
        <f>+'Washington volumes'!F45</f>
        <v>355242</v>
      </c>
      <c r="E45" s="316">
        <f>+'Rates in detail'!D45</f>
        <v>4.3180000000000003E-2</v>
      </c>
      <c r="F45" s="316">
        <f>+'Rates in detail'!F45+'Rates in detail'!G45+'Rates in detail'!H45</f>
        <v>0</v>
      </c>
      <c r="G45" s="316">
        <f>+Temporaries!D45</f>
        <v>-9.0000000000000006E-5</v>
      </c>
      <c r="H45" s="316">
        <f t="shared" si="15"/>
        <v>4.3270000000000003E-2</v>
      </c>
      <c r="I45" s="412"/>
      <c r="J45" s="199"/>
      <c r="K45" s="64"/>
      <c r="L45" s="412"/>
      <c r="M45" s="66"/>
      <c r="N45" s="65">
        <v>0</v>
      </c>
      <c r="O45" s="394"/>
      <c r="P45" s="332">
        <f>IF(O41&lt;&gt;0,ROUND((O41/$I41)*$H45,5),ROUND((N$10/$I$69)*$H45*N45,5))</f>
        <v>0</v>
      </c>
      <c r="Q45" s="65">
        <v>0</v>
      </c>
      <c r="R45" s="394"/>
      <c r="S45" s="198">
        <f>IF(R41&lt;&gt;0,ROUND((R41/$I41)*$H45,5),ROUND((Q$10/$I$69)*$H45*Q45,5))</f>
        <v>0</v>
      </c>
      <c r="T45" s="65">
        <v>0</v>
      </c>
      <c r="U45" s="394"/>
      <c r="V45" s="332">
        <f>IF(U41&lt;&gt;0,ROUND((U41/$I41)*$H45,5),ROUND((T$10/$I$69)*$H45*T45,5))</f>
        <v>0</v>
      </c>
      <c r="W45" s="65">
        <v>1</v>
      </c>
      <c r="X45" s="394"/>
      <c r="Y45" s="67">
        <f>IF(X41&lt;&gt;0,ROUND((X41/$I41)*$H45,5),ROUND((W$10/$I$69)*$H45*W45,5))</f>
        <v>-8.0000000000000007E-5</v>
      </c>
      <c r="Z45" s="65">
        <v>1</v>
      </c>
      <c r="AA45" s="394"/>
      <c r="AB45" s="67">
        <f>IF(AA41&lt;&gt;0,ROUND((AA41/$I41)*$H45,5),ROUND((Z$10/$I$69)*$H45*Z45,5))</f>
        <v>-7.5000000000000002E-4</v>
      </c>
      <c r="AC45" s="65">
        <v>1</v>
      </c>
      <c r="AD45" s="394"/>
      <c r="AE45" s="67">
        <f>IF(AD41&lt;&gt;0,ROUND((AD41/$I41)*$H45,5),ROUND((AC$10/$I$69)*$H45*AC45,5))</f>
        <v>6.0000000000000002E-5</v>
      </c>
      <c r="AF45" s="65">
        <v>1</v>
      </c>
      <c r="AG45" s="394"/>
      <c r="AH45" s="67">
        <f>IF(AG41&lt;&gt;0,ROUND((AG41/$I41)*$H45,5),ROUND((AF$10/$I$69)*$H45*AF45,5))</f>
        <v>-1.6299999999999999E-3</v>
      </c>
      <c r="AI45" s="20"/>
      <c r="AJ45" s="490"/>
      <c r="AK45" s="491">
        <f t="shared" si="18"/>
        <v>-824.16143999999997</v>
      </c>
    </row>
    <row r="46" spans="1:37" x14ac:dyDescent="0.2">
      <c r="A46" s="43">
        <f t="shared" si="0"/>
        <v>40</v>
      </c>
      <c r="B46" s="68"/>
      <c r="C46" s="22" t="s">
        <v>11</v>
      </c>
      <c r="D46" s="58">
        <f>+'Washington volumes'!F46</f>
        <v>0</v>
      </c>
      <c r="E46" s="315">
        <f>+'Rates in detail'!D46</f>
        <v>1.619E-2</v>
      </c>
      <c r="F46" s="315">
        <f>+'Rates in detail'!F46+'Rates in detail'!G46+'Rates in detail'!H46</f>
        <v>0</v>
      </c>
      <c r="G46" s="315">
        <f>+Temporaries!D46</f>
        <v>-3.0000000000000001E-5</v>
      </c>
      <c r="H46" s="315">
        <f t="shared" si="15"/>
        <v>1.6219999999999998E-2</v>
      </c>
      <c r="I46" s="410"/>
      <c r="J46" s="217"/>
      <c r="K46" s="58"/>
      <c r="L46" s="410"/>
      <c r="M46" s="59"/>
      <c r="N46" s="60">
        <v>0</v>
      </c>
      <c r="O46" s="391"/>
      <c r="P46" s="331">
        <f>IF(O41&lt;&gt;0,ROUND((O41/$I41)*$H46,5),ROUND((N$10/$I$69)*$H46*N46,5))</f>
        <v>0</v>
      </c>
      <c r="Q46" s="60">
        <v>0</v>
      </c>
      <c r="R46" s="391"/>
      <c r="S46" s="325">
        <f>IF(R41&lt;&gt;0,ROUND((R41/$I41)*$H46,5),ROUND((Q$10/$I$69)*$H46*Q46,5))</f>
        <v>0</v>
      </c>
      <c r="T46" s="60">
        <v>0</v>
      </c>
      <c r="U46" s="391"/>
      <c r="V46" s="331">
        <f>IF(U41&lt;&gt;0,ROUND((U41/$I41)*$H46,5),ROUND((T$10/$I$69)*$H46*T46,5))</f>
        <v>0</v>
      </c>
      <c r="W46" s="60">
        <v>1</v>
      </c>
      <c r="X46" s="391"/>
      <c r="Y46" s="61">
        <f>IF(X41&lt;&gt;0,ROUND((X41/$I41)*$H46,5),ROUND((W$10/$I$69)*$H46*W46,5))</f>
        <v>-3.0000000000000001E-5</v>
      </c>
      <c r="Z46" s="60">
        <v>1</v>
      </c>
      <c r="AA46" s="391"/>
      <c r="AB46" s="61">
        <f>IF(AA41&lt;&gt;0,ROUND((AA41/$I41)*$H46,5),ROUND((Z$10/$I$69)*$H46*Z46,5))</f>
        <v>-2.7999999999999998E-4</v>
      </c>
      <c r="AC46" s="60">
        <v>1</v>
      </c>
      <c r="AD46" s="391"/>
      <c r="AE46" s="61">
        <f>IF(AD41&lt;&gt;0,ROUND((AD41/$I41)*$H46,5),ROUND((AC$10/$I$69)*$H46*AC46,5))</f>
        <v>2.0000000000000002E-5</v>
      </c>
      <c r="AF46" s="60">
        <v>1</v>
      </c>
      <c r="AG46" s="391"/>
      <c r="AH46" s="61">
        <f>IF(AG41&lt;&gt;0,ROUND((AG41/$I41)*$H46,5),ROUND((AF$10/$I$69)*$H46*AF46,5))</f>
        <v>-6.0999999999999997E-4</v>
      </c>
      <c r="AI46" s="20"/>
      <c r="AJ46" s="490"/>
      <c r="AK46" s="491">
        <f t="shared" si="18"/>
        <v>0</v>
      </c>
    </row>
    <row r="47" spans="1:37" x14ac:dyDescent="0.2">
      <c r="A47" s="43">
        <f t="shared" si="0"/>
        <v>41</v>
      </c>
      <c r="B47" s="63" t="s">
        <v>246</v>
      </c>
      <c r="C47" s="18" t="s">
        <v>6</v>
      </c>
      <c r="D47" s="64">
        <f>+'Washington volumes'!F47</f>
        <v>240014.56328353498</v>
      </c>
      <c r="E47" s="316">
        <f>+'Rates in detail'!D47</f>
        <v>0.31897999999999999</v>
      </c>
      <c r="F47" s="316">
        <f>+'Rates in detail'!F47+'Rates in detail'!G47+'Rates in detail'!H47</f>
        <v>0.22356000000000001</v>
      </c>
      <c r="G47" s="316">
        <f>+Temporaries!D47</f>
        <v>-2.3139999999999997E-2</v>
      </c>
      <c r="H47" s="316">
        <f t="shared" ref="H47:H52" si="23">+E47-F47-G47</f>
        <v>0.11855999999999997</v>
      </c>
      <c r="I47" s="411">
        <f>ROUND((+H47*D47)+(H48*D48)+(H49*D49)+(H50*D50)+(H51*D51)+(H52*D52),0)</f>
        <v>102054</v>
      </c>
      <c r="J47" s="199">
        <f>+'Avg Bill by RS'!G55</f>
        <v>1300</v>
      </c>
      <c r="K47" s="64">
        <f>+'Washington volumes'!H47</f>
        <v>3</v>
      </c>
      <c r="L47" s="411">
        <f>ROUND((+H47*D47)+(H48*D48)+(H49*D49)+(H50*D50)+(H51*D51)+(H52*D52)+(J47*K47*12),0)</f>
        <v>148854</v>
      </c>
      <c r="M47" s="66"/>
      <c r="N47" s="65">
        <v>1</v>
      </c>
      <c r="O47" s="393">
        <f>ROUND(+$N$10*(($L47*N47)/N$69),0)</f>
        <v>9010</v>
      </c>
      <c r="P47" s="378">
        <f>IF(O47&lt;&gt;0,ROUND((O47/$I47)*$H47,5),ROUND((N$10/$I$69)*$H47*N47,5))</f>
        <v>1.047E-2</v>
      </c>
      <c r="Q47" s="65">
        <v>1</v>
      </c>
      <c r="R47" s="393">
        <f>ROUND(+$Q$10*(($L47*Q47)/Q$69),0)</f>
        <v>1358</v>
      </c>
      <c r="S47" s="327">
        <f>IF(R47&lt;&gt;0,ROUND((R47/$I47)*$H47,5),ROUND((Q$10/$I$69)*$H47*Q47,5))</f>
        <v>1.58E-3</v>
      </c>
      <c r="T47" s="65">
        <v>1</v>
      </c>
      <c r="U47" s="393">
        <f>ROUND(+$T$10*(($L47*T47)/T$69),0)</f>
        <v>318</v>
      </c>
      <c r="V47" s="378">
        <f>IF(U47&lt;&gt;0,ROUND((U47/$I47)*$H47,5),ROUND((T$10/$I$69)*$H47*T47,5))</f>
        <v>3.6999999999999999E-4</v>
      </c>
      <c r="W47" s="65">
        <v>1</v>
      </c>
      <c r="X47" s="393">
        <f>ROUND(+$W$10*(($L47*W47)/W$69),0)</f>
        <v>-200</v>
      </c>
      <c r="Y47" s="389">
        <f>IF(X47&lt;&gt;0,ROUND((X47/$I47)*$H47,5),ROUND((W$10/$I$69)*$H47*W47,5))</f>
        <v>-2.3000000000000001E-4</v>
      </c>
      <c r="Z47" s="65">
        <v>1</v>
      </c>
      <c r="AA47" s="393">
        <f>ROUND(+$Z$10*(($L47*Z47)/Z$69),0)</f>
        <v>-1843</v>
      </c>
      <c r="AB47" s="389">
        <f>IF(AA47&lt;&gt;0,ROUND((AA47/$I47)*$H47,5),ROUND((Z$10/$I$69)*$H47*Z47,5))</f>
        <v>-2.14E-3</v>
      </c>
      <c r="AC47" s="65">
        <v>1</v>
      </c>
      <c r="AD47" s="393">
        <f t="shared" ref="AD47" si="24">ROUND(+$AC$10*(($L47*AC47)/AC$69),0)</f>
        <v>146</v>
      </c>
      <c r="AE47" s="389">
        <f>IF(AD47&lt;&gt;0,ROUND((AD47/$I47)*$H47,5),ROUND((AC$10/$I$69)*$H47*AC47,5))</f>
        <v>1.7000000000000001E-4</v>
      </c>
      <c r="AF47" s="65">
        <v>1</v>
      </c>
      <c r="AG47" s="393">
        <f t="shared" ref="AG47" si="25">ROUND(+$AF$10*(($L47*AF47)/AF$69),0)</f>
        <v>-3991</v>
      </c>
      <c r="AH47" s="389">
        <f>IF(AG47&lt;&gt;0,ROUND((AG47/$I47)*$H47,5),ROUND((AF$10/$I$69)*$H47*AF47,5))</f>
        <v>-4.64E-3</v>
      </c>
      <c r="AI47" s="487"/>
      <c r="AJ47" s="490"/>
      <c r="AK47" s="491">
        <f t="shared" si="18"/>
        <v>-1586.4962633041662</v>
      </c>
    </row>
    <row r="48" spans="1:37" x14ac:dyDescent="0.2">
      <c r="A48" s="43">
        <f t="shared" si="0"/>
        <v>42</v>
      </c>
      <c r="B48" s="63"/>
      <c r="C48" s="18" t="s">
        <v>7</v>
      </c>
      <c r="D48" s="64">
        <f>+'Washington volumes'!F48</f>
        <v>472188.31633306126</v>
      </c>
      <c r="E48" s="316">
        <f>+'Rates in detail'!D48</f>
        <v>0.30522999999999989</v>
      </c>
      <c r="F48" s="316">
        <f>+'Rates in detail'!F48+'Rates in detail'!G48+'Rates in detail'!H48</f>
        <v>0.22356000000000001</v>
      </c>
      <c r="G48" s="316">
        <f>+Temporaries!D48</f>
        <v>-2.445E-2</v>
      </c>
      <c r="H48" s="316">
        <f t="shared" si="23"/>
        <v>0.10611999999999988</v>
      </c>
      <c r="I48" s="412"/>
      <c r="J48" s="199"/>
      <c r="K48" s="64"/>
      <c r="L48" s="412"/>
      <c r="M48" s="66"/>
      <c r="N48" s="65">
        <v>1</v>
      </c>
      <c r="O48" s="394"/>
      <c r="P48" s="332">
        <f>IF(O47&lt;&gt;0,ROUND((O47/$I47)*$H48,5),ROUND((N$10/$I$69)*$H48*N48,5))</f>
        <v>9.3699999999999999E-3</v>
      </c>
      <c r="Q48" s="65">
        <v>1</v>
      </c>
      <c r="R48" s="394"/>
      <c r="S48" s="198">
        <f>IF(R47&lt;&gt;0,ROUND((R47/$I47)*$H48,5),ROUND((Q$10/$I$69)*$H48*Q48,5))</f>
        <v>1.41E-3</v>
      </c>
      <c r="T48" s="65">
        <v>1</v>
      </c>
      <c r="U48" s="394"/>
      <c r="V48" s="332">
        <f>IF(U47&lt;&gt;0,ROUND((U47/$I47)*$H48,5),ROUND((T$10/$I$69)*$H48*T48,5))</f>
        <v>3.3E-4</v>
      </c>
      <c r="W48" s="65">
        <v>1</v>
      </c>
      <c r="X48" s="394"/>
      <c r="Y48" s="67">
        <f>IF(X47&lt;&gt;0,ROUND((X47/$I47)*$H48,5),ROUND((W$10/$I$69)*$H48*W48,5))</f>
        <v>-2.1000000000000001E-4</v>
      </c>
      <c r="Z48" s="65">
        <v>1</v>
      </c>
      <c r="AA48" s="394"/>
      <c r="AB48" s="67">
        <f>IF(AA47&lt;&gt;0,ROUND((AA47/$I47)*$H48,5),ROUND((Z$10/$I$69)*$H48*Z48,5))</f>
        <v>-1.92E-3</v>
      </c>
      <c r="AC48" s="65">
        <v>1</v>
      </c>
      <c r="AD48" s="394"/>
      <c r="AE48" s="67">
        <f>IF(AD47&lt;&gt;0,ROUND((AD47/$I47)*$H48,5),ROUND((AC$10/$I$69)*$H48*AC48,5))</f>
        <v>1.4999999999999999E-4</v>
      </c>
      <c r="AF48" s="65">
        <v>1</v>
      </c>
      <c r="AG48" s="394"/>
      <c r="AH48" s="67">
        <f>IF(AG47&lt;&gt;0,ROUND((AG47/$I47)*$H48,5),ROUND((AF$10/$I$69)*$H48*AF48,5))</f>
        <v>-4.15E-3</v>
      </c>
      <c r="AI48" s="20"/>
      <c r="AJ48" s="490"/>
      <c r="AK48" s="491">
        <f t="shared" si="18"/>
        <v>-2795.3548326917225</v>
      </c>
    </row>
    <row r="49" spans="1:37" x14ac:dyDescent="0.2">
      <c r="A49" s="43">
        <f t="shared" si="0"/>
        <v>43</v>
      </c>
      <c r="B49" s="63"/>
      <c r="C49" s="18" t="s">
        <v>8</v>
      </c>
      <c r="D49" s="64">
        <f>+'Washington volumes'!F49</f>
        <v>247080</v>
      </c>
      <c r="E49" s="316">
        <f>+'Rates in detail'!D49</f>
        <v>0.27787000000000012</v>
      </c>
      <c r="F49" s="316">
        <f>+'Rates in detail'!F49+'Rates in detail'!G49+'Rates in detail'!H49</f>
        <v>0.22356000000000001</v>
      </c>
      <c r="G49" s="316">
        <f>+Temporaries!D49</f>
        <v>-2.7069999999999997E-2</v>
      </c>
      <c r="H49" s="316">
        <f t="shared" si="23"/>
        <v>8.1380000000000105E-2</v>
      </c>
      <c r="I49" s="412"/>
      <c r="J49" s="199"/>
      <c r="K49" s="64"/>
      <c r="L49" s="412"/>
      <c r="M49" s="66"/>
      <c r="N49" s="65">
        <v>1</v>
      </c>
      <c r="O49" s="394"/>
      <c r="P49" s="332">
        <f>IF(O47&lt;&gt;0,ROUND((O47/$I47)*$H49,5),ROUND((N$10/$I$69)*$H49*N49,5))</f>
        <v>7.1799999999999998E-3</v>
      </c>
      <c r="Q49" s="65">
        <v>1</v>
      </c>
      <c r="R49" s="394"/>
      <c r="S49" s="198">
        <f>IF(R47&lt;&gt;0,ROUND((R47/$I47)*$H49,5),ROUND((Q$10/$I$69)*$H49*Q49,5))</f>
        <v>1.08E-3</v>
      </c>
      <c r="T49" s="65">
        <v>1</v>
      </c>
      <c r="U49" s="394"/>
      <c r="V49" s="332">
        <f>IF(U47&lt;&gt;0,ROUND((U47/$I47)*$H49,5),ROUND((T$10/$I$69)*$H49*T49,5))</f>
        <v>2.5000000000000001E-4</v>
      </c>
      <c r="W49" s="65">
        <v>1</v>
      </c>
      <c r="X49" s="394"/>
      <c r="Y49" s="67">
        <f>IF(X47&lt;&gt;0,ROUND((X47/$I47)*$H49,5),ROUND((W$10/$I$69)*$H49*W49,5))</f>
        <v>-1.6000000000000001E-4</v>
      </c>
      <c r="Z49" s="65">
        <v>1</v>
      </c>
      <c r="AA49" s="394"/>
      <c r="AB49" s="67">
        <f>IF(AA47&lt;&gt;0,ROUND((AA47/$I47)*$H49,5),ROUND((Z$10/$I$69)*$H49*Z49,5))</f>
        <v>-1.47E-3</v>
      </c>
      <c r="AC49" s="65">
        <v>1</v>
      </c>
      <c r="AD49" s="394"/>
      <c r="AE49" s="67">
        <f>IF(AD47&lt;&gt;0,ROUND((AD47/$I47)*$H49,5),ROUND((AC$10/$I$69)*$H49*AC49,5))</f>
        <v>1.2E-4</v>
      </c>
      <c r="AF49" s="65">
        <v>1</v>
      </c>
      <c r="AG49" s="394"/>
      <c r="AH49" s="67">
        <f>IF(AG47&lt;&gt;0,ROUND((AG47/$I47)*$H49,5),ROUND((AF$10/$I$69)*$H49*AF49,5))</f>
        <v>-3.1800000000000001E-3</v>
      </c>
      <c r="AI49" s="20"/>
      <c r="AJ49" s="490"/>
      <c r="AK49" s="491">
        <f t="shared" si="18"/>
        <v>-1119.2724000000001</v>
      </c>
    </row>
    <row r="50" spans="1:37" x14ac:dyDescent="0.2">
      <c r="A50" s="43">
        <f t="shared" si="0"/>
        <v>44</v>
      </c>
      <c r="B50" s="63"/>
      <c r="C50" s="18" t="s">
        <v>9</v>
      </c>
      <c r="D50" s="64">
        <f>+'Washington volumes'!F50</f>
        <v>51943</v>
      </c>
      <c r="E50" s="316">
        <f>+'Rates in detail'!D50</f>
        <v>0.25987999999999994</v>
      </c>
      <c r="F50" s="316">
        <f>+'Rates in detail'!F50+'Rates in detail'!G50+'Rates in detail'!H50</f>
        <v>0.22356000000000001</v>
      </c>
      <c r="G50" s="316">
        <f>+Temporaries!D50</f>
        <v>-2.8779999999999997E-2</v>
      </c>
      <c r="H50" s="316">
        <f t="shared" si="23"/>
        <v>6.5099999999999936E-2</v>
      </c>
      <c r="I50" s="412"/>
      <c r="J50" s="199"/>
      <c r="K50" s="64"/>
      <c r="L50" s="412"/>
      <c r="M50" s="66"/>
      <c r="N50" s="65">
        <v>1</v>
      </c>
      <c r="O50" s="394"/>
      <c r="P50" s="332">
        <f>IF(O47&lt;&gt;0,ROUND((O47/$I47)*$H50,5),ROUND((N$10/$I$69)*$H50*N50,5))</f>
        <v>5.7499999999999999E-3</v>
      </c>
      <c r="Q50" s="65">
        <v>1</v>
      </c>
      <c r="R50" s="394"/>
      <c r="S50" s="198">
        <f>IF(R47&lt;&gt;0,ROUND((R47/$I47)*$H50,5),ROUND((Q$10/$I$69)*$H50*Q50,5))</f>
        <v>8.7000000000000001E-4</v>
      </c>
      <c r="T50" s="65">
        <v>1</v>
      </c>
      <c r="U50" s="394"/>
      <c r="V50" s="332">
        <f>IF(U47&lt;&gt;0,ROUND((U47/$I47)*$H50,5),ROUND((T$10/$I$69)*$H50*T50,5))</f>
        <v>2.0000000000000001E-4</v>
      </c>
      <c r="W50" s="65">
        <v>1</v>
      </c>
      <c r="X50" s="394"/>
      <c r="Y50" s="67">
        <f>IF(X47&lt;&gt;0,ROUND((X47/$I47)*$H50,5),ROUND((W$10/$I$69)*$H50*W50,5))</f>
        <v>-1.2999999999999999E-4</v>
      </c>
      <c r="Z50" s="65">
        <v>1</v>
      </c>
      <c r="AA50" s="394"/>
      <c r="AB50" s="67">
        <f>IF(AA47&lt;&gt;0,ROUND((AA47/$I47)*$H50,5),ROUND((Z$10/$I$69)*$H50*Z50,5))</f>
        <v>-1.1800000000000001E-3</v>
      </c>
      <c r="AC50" s="65">
        <v>1</v>
      </c>
      <c r="AD50" s="394"/>
      <c r="AE50" s="67">
        <f>IF(AD47&lt;&gt;0,ROUND((AD47/$I47)*$H50,5),ROUND((AC$10/$I$69)*$H50*AC50,5))</f>
        <v>9.0000000000000006E-5</v>
      </c>
      <c r="AF50" s="65">
        <v>1</v>
      </c>
      <c r="AG50" s="394"/>
      <c r="AH50" s="67">
        <f>IF(AG47&lt;&gt;0,ROUND((AG47/$I47)*$H50,5),ROUND((AF$10/$I$69)*$H50*AF50,5))</f>
        <v>-2.5500000000000002E-3</v>
      </c>
      <c r="AI50" s="20"/>
      <c r="AJ50" s="490"/>
      <c r="AK50" s="491">
        <f t="shared" si="18"/>
        <v>-189.07252</v>
      </c>
    </row>
    <row r="51" spans="1:37" x14ac:dyDescent="0.2">
      <c r="A51" s="43">
        <f t="shared" si="0"/>
        <v>45</v>
      </c>
      <c r="B51" s="63"/>
      <c r="C51" s="18" t="s">
        <v>10</v>
      </c>
      <c r="D51" s="64">
        <f>+'Washington volumes'!F51</f>
        <v>0</v>
      </c>
      <c r="E51" s="316">
        <f>+'Rates in detail'!D51</f>
        <v>0.23588000000000003</v>
      </c>
      <c r="F51" s="316">
        <f>+'Rates in detail'!F51+'Rates in detail'!G51+'Rates in detail'!H51</f>
        <v>0.22356000000000001</v>
      </c>
      <c r="G51" s="316">
        <f>+Temporaries!D51</f>
        <v>-3.1079999999999997E-2</v>
      </c>
      <c r="H51" s="316">
        <f t="shared" si="23"/>
        <v>4.3400000000000022E-2</v>
      </c>
      <c r="I51" s="412"/>
      <c r="J51" s="199"/>
      <c r="K51" s="64"/>
      <c r="L51" s="412"/>
      <c r="M51" s="66"/>
      <c r="N51" s="65">
        <v>1</v>
      </c>
      <c r="O51" s="394"/>
      <c r="P51" s="332">
        <f>IF(O47&lt;&gt;0,ROUND((O47/$I47)*$H51,5),ROUND((N$10/$I$69)*$H51*N51,5))</f>
        <v>3.8300000000000001E-3</v>
      </c>
      <c r="Q51" s="65">
        <v>1</v>
      </c>
      <c r="R51" s="394"/>
      <c r="S51" s="198">
        <f>IF(R47&lt;&gt;0,ROUND((R47/$I47)*$H51,5),ROUND((Q$10/$I$69)*$H51*Q51,5))</f>
        <v>5.8E-4</v>
      </c>
      <c r="T51" s="65">
        <v>1</v>
      </c>
      <c r="U51" s="394"/>
      <c r="V51" s="332">
        <f>IF(U47&lt;&gt;0,ROUND((U47/$I47)*$H51,5),ROUND((T$10/$I$69)*$H51*T51,5))</f>
        <v>1.3999999999999999E-4</v>
      </c>
      <c r="W51" s="65">
        <v>1</v>
      </c>
      <c r="X51" s="394"/>
      <c r="Y51" s="67">
        <f>IF(X47&lt;&gt;0,ROUND((X47/$I47)*$H51,5),ROUND((W$10/$I$69)*$H51*W51,5))</f>
        <v>-9.0000000000000006E-5</v>
      </c>
      <c r="Z51" s="65">
        <v>1</v>
      </c>
      <c r="AA51" s="394"/>
      <c r="AB51" s="67">
        <f>IF(AA47&lt;&gt;0,ROUND((AA47/$I47)*$H51,5),ROUND((Z$10/$I$69)*$H51*Z51,5))</f>
        <v>-7.7999999999999999E-4</v>
      </c>
      <c r="AC51" s="65">
        <v>1</v>
      </c>
      <c r="AD51" s="394"/>
      <c r="AE51" s="67">
        <f>IF(AD47&lt;&gt;0,ROUND((AD47/$I47)*$H51,5),ROUND((AC$10/$I$69)*$H51*AC51,5))</f>
        <v>6.0000000000000002E-5</v>
      </c>
      <c r="AF51" s="65">
        <v>1</v>
      </c>
      <c r="AG51" s="394"/>
      <c r="AH51" s="67">
        <f>IF(AG47&lt;&gt;0,ROUND((AG47/$I47)*$H51,5),ROUND((AF$10/$I$69)*$H51*AF51,5))</f>
        <v>-1.6999999999999999E-3</v>
      </c>
      <c r="AI51" s="20"/>
      <c r="AJ51" s="490"/>
      <c r="AK51" s="491">
        <f t="shared" si="18"/>
        <v>0</v>
      </c>
    </row>
    <row r="52" spans="1:37" x14ac:dyDescent="0.2">
      <c r="A52" s="43">
        <f t="shared" si="0"/>
        <v>46</v>
      </c>
      <c r="B52" s="68"/>
      <c r="C52" s="22" t="s">
        <v>11</v>
      </c>
      <c r="D52" s="58">
        <f>+'Washington volumes'!F52</f>
        <v>0</v>
      </c>
      <c r="E52" s="315">
        <f>+'Rates in detail'!D52</f>
        <v>0.20589999999999992</v>
      </c>
      <c r="F52" s="315">
        <f>+'Rates in detail'!F52+'Rates in detail'!G52+'Rates in detail'!H52</f>
        <v>0.22356000000000001</v>
      </c>
      <c r="G52" s="315">
        <f>+Temporaries!D52</f>
        <v>-3.3939999999999998E-2</v>
      </c>
      <c r="H52" s="315">
        <f t="shared" si="23"/>
        <v>1.6279999999999906E-2</v>
      </c>
      <c r="I52" s="410"/>
      <c r="J52" s="217"/>
      <c r="K52" s="58"/>
      <c r="L52" s="410"/>
      <c r="M52" s="59"/>
      <c r="N52" s="60">
        <v>1</v>
      </c>
      <c r="O52" s="391"/>
      <c r="P52" s="331">
        <f>IF(O47&lt;&gt;0,ROUND((O47/$I47)*$H52,5),ROUND((N$10/$I$69)*$H52*N52,5))</f>
        <v>1.4400000000000001E-3</v>
      </c>
      <c r="Q52" s="60">
        <v>1</v>
      </c>
      <c r="R52" s="391"/>
      <c r="S52" s="325">
        <f>IF(R47&lt;&gt;0,ROUND((R47/$I47)*$H52,5),ROUND((Q$10/$I$69)*$H52*Q52,5))</f>
        <v>2.2000000000000001E-4</v>
      </c>
      <c r="T52" s="60">
        <v>1</v>
      </c>
      <c r="U52" s="391"/>
      <c r="V52" s="331">
        <f>IF(U47&lt;&gt;0,ROUND((U47/$I47)*$H52,5),ROUND((T$10/$I$69)*$H52*T52,5))</f>
        <v>5.0000000000000002E-5</v>
      </c>
      <c r="W52" s="60">
        <v>1</v>
      </c>
      <c r="X52" s="391"/>
      <c r="Y52" s="61">
        <f>IF(X47&lt;&gt;0,ROUND((X47/$I47)*$H52,5),ROUND((W$10/$I$69)*$H52*W52,5))</f>
        <v>-3.0000000000000001E-5</v>
      </c>
      <c r="Z52" s="60">
        <v>1</v>
      </c>
      <c r="AA52" s="391"/>
      <c r="AB52" s="61">
        <f>IF(AA47&lt;&gt;0,ROUND((AA47/$I47)*$H52,5),ROUND((Z$10/$I$69)*$H52*Z52,5))</f>
        <v>-2.9E-4</v>
      </c>
      <c r="AC52" s="60">
        <v>1</v>
      </c>
      <c r="AD52" s="391"/>
      <c r="AE52" s="61">
        <f>IF(AD47&lt;&gt;0,ROUND((AD47/$I47)*$H52,5),ROUND((AC$10/$I$69)*$H52*AC52,5))</f>
        <v>2.0000000000000002E-5</v>
      </c>
      <c r="AF52" s="60">
        <v>1</v>
      </c>
      <c r="AG52" s="391"/>
      <c r="AH52" s="61">
        <f>IF(AG47&lt;&gt;0,ROUND((AG47/$I47)*$H52,5),ROUND((AF$10/$I$69)*$H52*AF52,5))</f>
        <v>-6.4000000000000005E-4</v>
      </c>
      <c r="AI52" s="20"/>
      <c r="AJ52" s="490"/>
      <c r="AK52" s="491">
        <f t="shared" si="18"/>
        <v>0</v>
      </c>
    </row>
    <row r="53" spans="1:37" x14ac:dyDescent="0.2">
      <c r="A53" s="43">
        <f t="shared" si="0"/>
        <v>47</v>
      </c>
      <c r="B53" s="63" t="s">
        <v>247</v>
      </c>
      <c r="C53" s="18" t="s">
        <v>6</v>
      </c>
      <c r="D53" s="64">
        <f>+'Washington volumes'!F53</f>
        <v>172005.43671646502</v>
      </c>
      <c r="E53" s="316">
        <f>+'Rates in detail'!D53</f>
        <v>0.30886999999999998</v>
      </c>
      <c r="F53" s="316">
        <f>+'Rates in detail'!F53+'Rates in detail'!G53+'Rates in detail'!H53</f>
        <v>0.22356000000000001</v>
      </c>
      <c r="G53" s="316">
        <f>+Temporaries!D53</f>
        <v>-3.3389999999999996E-2</v>
      </c>
      <c r="H53" s="316">
        <f t="shared" si="15"/>
        <v>0.11869999999999997</v>
      </c>
      <c r="I53" s="411">
        <f>ROUND((+H53*D53)+(H54*D54)+(H55*D55)+(H56*D56)+(H57*D57)+(H58*D58),0)</f>
        <v>34864</v>
      </c>
      <c r="J53" s="199">
        <f>+'Avg Bill by RS'!G62</f>
        <v>1300</v>
      </c>
      <c r="K53" s="64">
        <f>+'Washington volumes'!H53</f>
        <v>2</v>
      </c>
      <c r="L53" s="411">
        <f>ROUND((+H53*D53)+(H54*D54)+(H55*D55)+(H56*D56)+(H57*D57)+(H58*D58)+(J53*K53*12),0)</f>
        <v>66064</v>
      </c>
      <c r="M53" s="66"/>
      <c r="N53" s="65">
        <v>0</v>
      </c>
      <c r="O53" s="393">
        <f>ROUND(+$N$10*(($L53*N53)/N$69),0)</f>
        <v>0</v>
      </c>
      <c r="P53" s="378">
        <f>IF(O53&lt;&gt;0,ROUND((O53/$I53)*$H53,5),ROUND((N$10/$I$69)*$H53*N53,5))</f>
        <v>0</v>
      </c>
      <c r="Q53" s="65">
        <v>1</v>
      </c>
      <c r="R53" s="393">
        <f>ROUND(+$Q$10*(($L53*Q53)/Q$69),0)</f>
        <v>603</v>
      </c>
      <c r="S53" s="327">
        <f>IF(R53&lt;&gt;0,ROUND((R53/$I53)*$H53,5),ROUND((Q$10/$I$69)*$H53*Q53,5))</f>
        <v>2.0500000000000002E-3</v>
      </c>
      <c r="T53" s="65">
        <v>1</v>
      </c>
      <c r="U53" s="393">
        <f>ROUND(+$T$10*(($L53*T53)/T$69),0)</f>
        <v>141</v>
      </c>
      <c r="V53" s="378">
        <f>IF(U53&lt;&gt;0,ROUND((U53/$I53)*$H53,5),ROUND((T$10/$I$69)*$H53*T53,5))</f>
        <v>4.8000000000000001E-4</v>
      </c>
      <c r="W53" s="65">
        <v>1</v>
      </c>
      <c r="X53" s="393">
        <f>ROUND(+$W$10*(($L53*W53)/W$69),0)</f>
        <v>-89</v>
      </c>
      <c r="Y53" s="389">
        <f>IF(X53&lt;&gt;0,ROUND((X53/$I53)*$H53,5),ROUND((W$10/$I$69)*$H53*W53,5))</f>
        <v>-2.9999999999999997E-4</v>
      </c>
      <c r="Z53" s="65">
        <v>1</v>
      </c>
      <c r="AA53" s="393">
        <f>ROUND(+$Z$10*(($L53*Z53)/Z$69),0)</f>
        <v>-818</v>
      </c>
      <c r="AB53" s="389">
        <f>IF(AA53&lt;&gt;0,ROUND((AA53/$I53)*$H53,5),ROUND((Z$10/$I$69)*$H53*Z53,5))</f>
        <v>-2.7899999999999999E-3</v>
      </c>
      <c r="AC53" s="65">
        <v>1</v>
      </c>
      <c r="AD53" s="393">
        <f t="shared" ref="AD53" si="26">ROUND(+$AC$10*(($L53*AC53)/AC$69),0)</f>
        <v>65</v>
      </c>
      <c r="AE53" s="389">
        <f>IF(AD53&lt;&gt;0,ROUND((AD53/$I53)*$H53,5),ROUND((AC$10/$I$69)*$H53*AC53,5))</f>
        <v>2.2000000000000001E-4</v>
      </c>
      <c r="AF53" s="65">
        <v>1</v>
      </c>
      <c r="AG53" s="393">
        <f t="shared" ref="AG53" si="27">ROUND(+$AF$10*(($L53*AF53)/AF$69),0)</f>
        <v>-1771</v>
      </c>
      <c r="AH53" s="389">
        <f>IF(AG53&lt;&gt;0,ROUND((AG53/$I53)*$H53,5),ROUND((AF$10/$I$69)*$H53*AF53,5))</f>
        <v>-6.0299999999999998E-3</v>
      </c>
      <c r="AI53" s="487"/>
      <c r="AJ53" s="490"/>
      <c r="AK53" s="491">
        <f t="shared" si="18"/>
        <v>-1479.2467557615992</v>
      </c>
    </row>
    <row r="54" spans="1:37" x14ac:dyDescent="0.2">
      <c r="A54" s="43">
        <f t="shared" si="0"/>
        <v>48</v>
      </c>
      <c r="B54" s="63"/>
      <c r="C54" s="18" t="s">
        <v>7</v>
      </c>
      <c r="D54" s="64">
        <f>+'Washington volumes'!F54</f>
        <v>135966.68366693874</v>
      </c>
      <c r="E54" s="316">
        <f>+'Rates in detail'!D54</f>
        <v>0.29617999999999989</v>
      </c>
      <c r="F54" s="316">
        <f>+'Rates in detail'!F54+'Rates in detail'!G54+'Rates in detail'!H54</f>
        <v>0.22356000000000001</v>
      </c>
      <c r="G54" s="316">
        <f>+Temporaries!D54</f>
        <v>-3.363E-2</v>
      </c>
      <c r="H54" s="316">
        <f t="shared" si="15"/>
        <v>0.10624999999999987</v>
      </c>
      <c r="I54" s="412"/>
      <c r="J54" s="199"/>
      <c r="K54" s="64"/>
      <c r="L54" s="412"/>
      <c r="M54" s="66"/>
      <c r="N54" s="65">
        <v>0</v>
      </c>
      <c r="O54" s="394"/>
      <c r="P54" s="332">
        <f>IF(O53&lt;&gt;0,ROUND((O53/$I53)*$H54,5),ROUND((N$10/$I$69)*$H54*N54,5))</f>
        <v>0</v>
      </c>
      <c r="Q54" s="65">
        <v>1</v>
      </c>
      <c r="R54" s="394"/>
      <c r="S54" s="198">
        <f>IF(R53&lt;&gt;0,ROUND((R53/$I53)*$H54,5),ROUND((Q$10/$I$69)*$H54*Q54,5))</f>
        <v>1.8400000000000001E-3</v>
      </c>
      <c r="T54" s="65">
        <v>1</v>
      </c>
      <c r="U54" s="394"/>
      <c r="V54" s="332">
        <f>IF(U53&lt;&gt;0,ROUND((U53/$I53)*$H54,5),ROUND((T$10/$I$69)*$H54*T54,5))</f>
        <v>4.2999999999999999E-4</v>
      </c>
      <c r="W54" s="65">
        <v>1</v>
      </c>
      <c r="X54" s="394"/>
      <c r="Y54" s="67">
        <f>IF(X53&lt;&gt;0,ROUND((X53/$I53)*$H54,5),ROUND((W$10/$I$69)*$H54*W54,5))</f>
        <v>-2.7E-4</v>
      </c>
      <c r="Z54" s="65">
        <v>1</v>
      </c>
      <c r="AA54" s="394"/>
      <c r="AB54" s="67">
        <f>IF(AA53&lt;&gt;0,ROUND((AA53/$I53)*$H54,5),ROUND((Z$10/$I$69)*$H54*Z54,5))</f>
        <v>-2.49E-3</v>
      </c>
      <c r="AC54" s="65">
        <v>1</v>
      </c>
      <c r="AD54" s="394"/>
      <c r="AE54" s="67">
        <f>IF(AD53&lt;&gt;0,ROUND((AD53/$I53)*$H54,5),ROUND((AC$10/$I$69)*$H54*AC54,5))</f>
        <v>2.0000000000000001E-4</v>
      </c>
      <c r="AF54" s="65">
        <v>1</v>
      </c>
      <c r="AG54" s="394"/>
      <c r="AH54" s="67">
        <f>IF(AG53&lt;&gt;0,ROUND((AG53/$I53)*$H54,5),ROUND((AF$10/$I$69)*$H54*AF54,5))</f>
        <v>-5.4000000000000003E-3</v>
      </c>
      <c r="AI54" s="20"/>
      <c r="AJ54" s="490"/>
      <c r="AK54" s="491">
        <f t="shared" si="18"/>
        <v>-1045.5837973987591</v>
      </c>
    </row>
    <row r="55" spans="1:37" x14ac:dyDescent="0.2">
      <c r="A55" s="43">
        <f t="shared" si="0"/>
        <v>49</v>
      </c>
      <c r="B55" s="63"/>
      <c r="C55" s="18" t="s">
        <v>8</v>
      </c>
      <c r="D55" s="64">
        <f>+'Washington volumes'!F55</f>
        <v>0</v>
      </c>
      <c r="E55" s="316">
        <f>+'Rates in detail'!D55</f>
        <v>0.27094000000000007</v>
      </c>
      <c r="F55" s="316">
        <f>+'Rates in detail'!F55+'Rates in detail'!G55+'Rates in detail'!H55</f>
        <v>0.22356000000000001</v>
      </c>
      <c r="G55" s="316">
        <f>+Temporaries!D55</f>
        <v>-3.4099999999999998E-2</v>
      </c>
      <c r="H55" s="316">
        <f t="shared" si="15"/>
        <v>8.1480000000000052E-2</v>
      </c>
      <c r="I55" s="412"/>
      <c r="J55" s="199"/>
      <c r="K55" s="64"/>
      <c r="L55" s="412"/>
      <c r="M55" s="66"/>
      <c r="N55" s="65">
        <v>0</v>
      </c>
      <c r="O55" s="394"/>
      <c r="P55" s="332">
        <f>IF(O53&lt;&gt;0,ROUND((O53/$I53)*$H55,5),ROUND((N$10/$I$69)*$H55*N55,5))</f>
        <v>0</v>
      </c>
      <c r="Q55" s="65">
        <v>1</v>
      </c>
      <c r="R55" s="394"/>
      <c r="S55" s="198">
        <f>IF(R53&lt;&gt;0,ROUND((R53/$I53)*$H55,5),ROUND((Q$10/$I$69)*$H55*Q55,5))</f>
        <v>1.41E-3</v>
      </c>
      <c r="T55" s="65">
        <v>1</v>
      </c>
      <c r="U55" s="394"/>
      <c r="V55" s="332">
        <f>IF(U53&lt;&gt;0,ROUND((U53/$I53)*$H55,5),ROUND((T$10/$I$69)*$H55*T55,5))</f>
        <v>3.3E-4</v>
      </c>
      <c r="W55" s="65">
        <v>1</v>
      </c>
      <c r="X55" s="394"/>
      <c r="Y55" s="67">
        <f>IF(X53&lt;&gt;0,ROUND((X53/$I53)*$H55,5),ROUND((W$10/$I$69)*$H55*W55,5))</f>
        <v>-2.1000000000000001E-4</v>
      </c>
      <c r="Z55" s="65">
        <v>1</v>
      </c>
      <c r="AA55" s="394"/>
      <c r="AB55" s="67">
        <f>IF(AA53&lt;&gt;0,ROUND((AA53/$I53)*$H55,5),ROUND((Z$10/$I$69)*$H55*Z55,5))</f>
        <v>-1.91E-3</v>
      </c>
      <c r="AC55" s="65">
        <v>1</v>
      </c>
      <c r="AD55" s="394"/>
      <c r="AE55" s="67">
        <f>IF(AD53&lt;&gt;0,ROUND((AD53/$I53)*$H55,5),ROUND((AC$10/$I$69)*$H55*AC55,5))</f>
        <v>1.4999999999999999E-4</v>
      </c>
      <c r="AF55" s="65">
        <v>1</v>
      </c>
      <c r="AG55" s="394"/>
      <c r="AH55" s="67">
        <f>IF(AG53&lt;&gt;0,ROUND((AG53/$I53)*$H55,5),ROUND((AF$10/$I$69)*$H55*AF55,5))</f>
        <v>-4.1399999999999996E-3</v>
      </c>
      <c r="AI55" s="20"/>
      <c r="AJ55" s="490"/>
      <c r="AK55" s="491">
        <f t="shared" si="18"/>
        <v>0</v>
      </c>
    </row>
    <row r="56" spans="1:37" x14ac:dyDescent="0.2">
      <c r="A56" s="43">
        <f t="shared" si="0"/>
        <v>50</v>
      </c>
      <c r="B56" s="63"/>
      <c r="C56" s="18" t="s">
        <v>9</v>
      </c>
      <c r="D56" s="64">
        <f>+'Washington volumes'!F56</f>
        <v>0</v>
      </c>
      <c r="E56" s="316">
        <f>+'Rates in detail'!D56</f>
        <v>0.25432999999999983</v>
      </c>
      <c r="F56" s="316">
        <f>+'Rates in detail'!F56+'Rates in detail'!G56+'Rates in detail'!H56</f>
        <v>0.22356000000000001</v>
      </c>
      <c r="G56" s="316">
        <f>+Temporaries!D56</f>
        <v>-3.4409999999999996E-2</v>
      </c>
      <c r="H56" s="316">
        <f t="shared" si="15"/>
        <v>6.5179999999999821E-2</v>
      </c>
      <c r="I56" s="412"/>
      <c r="J56" s="199"/>
      <c r="K56" s="64"/>
      <c r="L56" s="412"/>
      <c r="M56" s="66"/>
      <c r="N56" s="65">
        <v>0</v>
      </c>
      <c r="O56" s="394"/>
      <c r="P56" s="332">
        <f>IF(O53&lt;&gt;0,ROUND((O53/$I53)*$H56,5),ROUND((N$10/$I$69)*$H56*N56,5))</f>
        <v>0</v>
      </c>
      <c r="Q56" s="65">
        <v>1</v>
      </c>
      <c r="R56" s="394"/>
      <c r="S56" s="198">
        <f>IF(R53&lt;&gt;0,ROUND((R53/$I53)*$H56,5),ROUND((Q$10/$I$69)*$H56*Q56,5))</f>
        <v>1.1299999999999999E-3</v>
      </c>
      <c r="T56" s="65">
        <v>1</v>
      </c>
      <c r="U56" s="394"/>
      <c r="V56" s="332">
        <f>IF(U53&lt;&gt;0,ROUND((U53/$I53)*$H56,5),ROUND((T$10/$I$69)*$H56*T56,5))</f>
        <v>2.5999999999999998E-4</v>
      </c>
      <c r="W56" s="65">
        <v>1</v>
      </c>
      <c r="X56" s="394"/>
      <c r="Y56" s="67">
        <f>IF(X53&lt;&gt;0,ROUND((X53/$I53)*$H56,5),ROUND((W$10/$I$69)*$H56*W56,5))</f>
        <v>-1.7000000000000001E-4</v>
      </c>
      <c r="Z56" s="65">
        <v>1</v>
      </c>
      <c r="AA56" s="394"/>
      <c r="AB56" s="67">
        <f>IF(AA53&lt;&gt;0,ROUND((AA53/$I53)*$H56,5),ROUND((Z$10/$I$69)*$H56*Z56,5))</f>
        <v>-1.5299999999999999E-3</v>
      </c>
      <c r="AC56" s="65">
        <v>1</v>
      </c>
      <c r="AD56" s="394"/>
      <c r="AE56" s="67">
        <f>IF(AD53&lt;&gt;0,ROUND((AD53/$I53)*$H56,5),ROUND((AC$10/$I$69)*$H56*AC56,5))</f>
        <v>1.2E-4</v>
      </c>
      <c r="AF56" s="65">
        <v>1</v>
      </c>
      <c r="AG56" s="394"/>
      <c r="AH56" s="67">
        <f>IF(AG53&lt;&gt;0,ROUND((AG53/$I53)*$H56,5),ROUND((AF$10/$I$69)*$H56*AF56,5))</f>
        <v>-3.31E-3</v>
      </c>
      <c r="AI56" s="20"/>
      <c r="AJ56" s="490"/>
      <c r="AK56" s="491">
        <f t="shared" si="18"/>
        <v>0</v>
      </c>
    </row>
    <row r="57" spans="1:37" x14ac:dyDescent="0.2">
      <c r="A57" s="43">
        <f t="shared" si="0"/>
        <v>51</v>
      </c>
      <c r="B57" s="63"/>
      <c r="C57" s="18" t="s">
        <v>10</v>
      </c>
      <c r="D57" s="64">
        <f>+'Washington volumes'!F57</f>
        <v>0</v>
      </c>
      <c r="E57" s="316">
        <f>+'Rates in detail'!D57</f>
        <v>0.23218000000000003</v>
      </c>
      <c r="F57" s="316">
        <f>+'Rates in detail'!F57+'Rates in detail'!G57+'Rates in detail'!H57</f>
        <v>0.22356000000000001</v>
      </c>
      <c r="G57" s="316">
        <f>+Temporaries!D57</f>
        <v>-3.483E-2</v>
      </c>
      <c r="H57" s="316">
        <f t="shared" si="15"/>
        <v>4.3450000000000016E-2</v>
      </c>
      <c r="I57" s="412"/>
      <c r="J57" s="199"/>
      <c r="K57" s="64"/>
      <c r="L57" s="412"/>
      <c r="M57" s="66"/>
      <c r="N57" s="65">
        <v>0</v>
      </c>
      <c r="O57" s="394"/>
      <c r="P57" s="332">
        <f>IF(O53&lt;&gt;0,ROUND((O53/$I53)*$H57,5),ROUND((N$10/$I$69)*$H57*N57,5))</f>
        <v>0</v>
      </c>
      <c r="Q57" s="65">
        <v>1</v>
      </c>
      <c r="R57" s="394"/>
      <c r="S57" s="198">
        <f>IF(R53&lt;&gt;0,ROUND((R53/$I53)*$H57,5),ROUND((Q$10/$I$69)*$H57*Q57,5))</f>
        <v>7.5000000000000002E-4</v>
      </c>
      <c r="T57" s="65">
        <v>1</v>
      </c>
      <c r="U57" s="394"/>
      <c r="V57" s="332">
        <f>IF(U53&lt;&gt;0,ROUND((U53/$I53)*$H57,5),ROUND((T$10/$I$69)*$H57*T57,5))</f>
        <v>1.8000000000000001E-4</v>
      </c>
      <c r="W57" s="65">
        <v>1</v>
      </c>
      <c r="X57" s="394"/>
      <c r="Y57" s="67">
        <f>IF(X53&lt;&gt;0,ROUND((X53/$I53)*$H57,5),ROUND((W$10/$I$69)*$H57*W57,5))</f>
        <v>-1.1E-4</v>
      </c>
      <c r="Z57" s="65">
        <v>1</v>
      </c>
      <c r="AA57" s="394"/>
      <c r="AB57" s="67">
        <f>IF(AA53&lt;&gt;0,ROUND((AA53/$I53)*$H57,5),ROUND((Z$10/$I$69)*$H57*Z57,5))</f>
        <v>-1.0200000000000001E-3</v>
      </c>
      <c r="AC57" s="65">
        <v>1</v>
      </c>
      <c r="AD57" s="394"/>
      <c r="AE57" s="67">
        <f>IF(AD53&lt;&gt;0,ROUND((AD53/$I53)*$H57,5),ROUND((AC$10/$I$69)*$H57*AC57,5))</f>
        <v>8.0000000000000007E-5</v>
      </c>
      <c r="AF57" s="65">
        <v>1</v>
      </c>
      <c r="AG57" s="394"/>
      <c r="AH57" s="67">
        <f>IF(AG53&lt;&gt;0,ROUND((AG53/$I53)*$H57,5),ROUND((AF$10/$I$69)*$H57*AF57,5))</f>
        <v>-2.2100000000000002E-3</v>
      </c>
      <c r="AI57" s="20"/>
      <c r="AJ57" s="490"/>
      <c r="AK57" s="491">
        <f t="shared" si="18"/>
        <v>0</v>
      </c>
    </row>
    <row r="58" spans="1:37" x14ac:dyDescent="0.2">
      <c r="A58" s="43">
        <f t="shared" si="0"/>
        <v>52</v>
      </c>
      <c r="B58" s="68"/>
      <c r="C58" s="22" t="s">
        <v>11</v>
      </c>
      <c r="D58" s="58">
        <f>+'Washington volumes'!F58</f>
        <v>0</v>
      </c>
      <c r="E58" s="315">
        <f>+'Rates in detail'!D58</f>
        <v>0.20451999999999992</v>
      </c>
      <c r="F58" s="315">
        <f>+'Rates in detail'!F58+'Rates in detail'!G58+'Rates in detail'!H58</f>
        <v>0.22356000000000001</v>
      </c>
      <c r="G58" s="315">
        <f>+Temporaries!D58</f>
        <v>-3.5339999999999996E-2</v>
      </c>
      <c r="H58" s="315">
        <f t="shared" si="15"/>
        <v>1.6299999999999912E-2</v>
      </c>
      <c r="I58" s="410"/>
      <c r="J58" s="217"/>
      <c r="K58" s="58"/>
      <c r="L58" s="410"/>
      <c r="M58" s="59"/>
      <c r="N58" s="60">
        <v>0</v>
      </c>
      <c r="O58" s="391"/>
      <c r="P58" s="331">
        <f>IF(O53&lt;&gt;0,ROUND((O53/$I53)*$H58,5),ROUND((N$10/$I$69)*$H58*N58,5))</f>
        <v>0</v>
      </c>
      <c r="Q58" s="60">
        <v>1</v>
      </c>
      <c r="R58" s="391"/>
      <c r="S58" s="325">
        <f>IF(R53&lt;&gt;0,ROUND((R53/$I53)*$H58,5),ROUND((Q$10/$I$69)*$H58*Q58,5))</f>
        <v>2.7999999999999998E-4</v>
      </c>
      <c r="T58" s="60">
        <v>1</v>
      </c>
      <c r="U58" s="391"/>
      <c r="V58" s="331">
        <f>IF(U53&lt;&gt;0,ROUND((U53/$I53)*$H58,5),ROUND((T$10/$I$69)*$H58*T58,5))</f>
        <v>6.9999999999999994E-5</v>
      </c>
      <c r="W58" s="60">
        <v>1</v>
      </c>
      <c r="X58" s="391"/>
      <c r="Y58" s="61">
        <f>IF(X53&lt;&gt;0,ROUND((X53/$I53)*$H58,5),ROUND((W$10/$I$69)*$H58*W58,5))</f>
        <v>-4.0000000000000003E-5</v>
      </c>
      <c r="Z58" s="60">
        <v>1</v>
      </c>
      <c r="AA58" s="391"/>
      <c r="AB58" s="61">
        <f>IF(AA53&lt;&gt;0,ROUND((AA53/$I53)*$H58,5),ROUND((Z$10/$I$69)*$H58*Z58,5))</f>
        <v>-3.8000000000000002E-4</v>
      </c>
      <c r="AC58" s="60">
        <v>1</v>
      </c>
      <c r="AD58" s="391"/>
      <c r="AE58" s="61">
        <f>IF(AD53&lt;&gt;0,ROUND((AD53/$I53)*$H58,5),ROUND((AC$10/$I$69)*$H58*AC58,5))</f>
        <v>3.0000000000000001E-5</v>
      </c>
      <c r="AF58" s="60">
        <v>1</v>
      </c>
      <c r="AG58" s="391"/>
      <c r="AH58" s="61">
        <f>IF(AG53&lt;&gt;0,ROUND((AG53/$I53)*$H58,5),ROUND((AF$10/$I$69)*$H58*AF58,5))</f>
        <v>-8.3000000000000001E-4</v>
      </c>
      <c r="AI58" s="20"/>
      <c r="AJ58" s="490"/>
      <c r="AK58" s="491">
        <f t="shared" si="18"/>
        <v>0</v>
      </c>
    </row>
    <row r="59" spans="1:37" x14ac:dyDescent="0.2">
      <c r="A59" s="43">
        <f t="shared" si="0"/>
        <v>53</v>
      </c>
      <c r="B59" s="63" t="s">
        <v>130</v>
      </c>
      <c r="C59" s="18" t="s">
        <v>6</v>
      </c>
      <c r="D59" s="64">
        <f>+'Washington volumes'!F59</f>
        <v>924358</v>
      </c>
      <c r="E59" s="317">
        <f>+'Rates in detail'!D59</f>
        <v>0.11796999999999999</v>
      </c>
      <c r="F59" s="317">
        <f>+'Rates in detail'!F59+'Rates in detail'!G59+'Rates in detail'!H59</f>
        <v>0</v>
      </c>
      <c r="G59" s="317">
        <f>+Temporaries!D59</f>
        <v>-2.1000000000000001E-4</v>
      </c>
      <c r="H59" s="317">
        <f t="shared" si="15"/>
        <v>0.11817999999999999</v>
      </c>
      <c r="I59" s="411">
        <f>ROUND((+H59*D59)+(H60*D60)+(H61*D61)+(H62*D62)+(H63*D63)+(H64*D64),0)</f>
        <v>791873</v>
      </c>
      <c r="J59" s="218">
        <f>+'Avg Bill by RS'!G69</f>
        <v>1550</v>
      </c>
      <c r="K59" s="64">
        <f>+'Washington volumes'!H59</f>
        <v>10.916666666666666</v>
      </c>
      <c r="L59" s="411">
        <f>ROUND((+H59*D59)+(H60*D60)+(H61*D61)+(H62*D62)+(H63*D63)+(H64*D64)+(J59*K59*12),0)</f>
        <v>994923</v>
      </c>
      <c r="M59" s="70"/>
      <c r="N59" s="65">
        <v>0</v>
      </c>
      <c r="O59" s="393">
        <f>ROUND(+$N$10*(($L59*N59)/N$69),0)</f>
        <v>0</v>
      </c>
      <c r="P59" s="378">
        <f>IF(O59&lt;&gt;0,ROUND((O59/$I59)*$H59,5),ROUND((N$10/$I$69)*$H59*N59,5))</f>
        <v>0</v>
      </c>
      <c r="Q59" s="65">
        <v>0</v>
      </c>
      <c r="R59" s="393">
        <f>ROUND(+$Q$10*(($L59*Q59)/Q$69),0)</f>
        <v>0</v>
      </c>
      <c r="S59" s="327">
        <f>IF(R59&lt;&gt;0,ROUND((R59/$I59)*$H59,5),ROUND((Q$10/$I$69)*$H59*Q59,5))</f>
        <v>0</v>
      </c>
      <c r="T59" s="65">
        <v>0</v>
      </c>
      <c r="U59" s="393">
        <f>ROUND(+$T$10*(($L59*T59)/T$69),0)</f>
        <v>0</v>
      </c>
      <c r="V59" s="378">
        <f>IF(U59&lt;&gt;0,ROUND((U59/$I59)*$H59,5),ROUND((T$10/$I$69)*$H59*T59,5))</f>
        <v>0</v>
      </c>
      <c r="W59" s="65">
        <v>1</v>
      </c>
      <c r="X59" s="393">
        <f>ROUND(+$W$10*(($L59*W59)/W$69),0)</f>
        <v>-1339</v>
      </c>
      <c r="Y59" s="389">
        <f>IF(X59&lt;&gt;0,ROUND((X59/$I59)*$H59,5),ROUND((W$10/$I$69)*$H59*W59,5))</f>
        <v>-2.0000000000000001E-4</v>
      </c>
      <c r="Z59" s="65">
        <v>1</v>
      </c>
      <c r="AA59" s="393">
        <f>ROUND(+$Z$10*(($L59*Z59)/Z$69),0)</f>
        <v>-12320</v>
      </c>
      <c r="AB59" s="389">
        <f>IF(AA59&lt;&gt;0,ROUND((AA59/$I59)*$H59,5),ROUND((Z$10/$I$69)*$H59*Z59,5))</f>
        <v>-1.8400000000000001E-3</v>
      </c>
      <c r="AC59" s="65">
        <v>1</v>
      </c>
      <c r="AD59" s="393">
        <f t="shared" ref="AD59" si="28">ROUND(+$AC$10*(($L59*AC59)/AC$69),0)</f>
        <v>974</v>
      </c>
      <c r="AE59" s="389">
        <f>IF(AD59&lt;&gt;0,ROUND((AD59/$I59)*$H59,5),ROUND((AC$10/$I$69)*$H59*AC59,5))</f>
        <v>1.4999999999999999E-4</v>
      </c>
      <c r="AF59" s="65">
        <v>1</v>
      </c>
      <c r="AG59" s="393">
        <f t="shared" ref="AG59" si="29">ROUND(+$AF$10*(($L59*AF59)/AF$69),0)</f>
        <v>-26676</v>
      </c>
      <c r="AH59" s="389">
        <f>IF(AG59&lt;&gt;0,ROUND((AG59/$I59)*$H59,5),ROUND((AF$10/$I$69)*$H59*AF59,5))</f>
        <v>-3.98E-3</v>
      </c>
      <c r="AI59" s="487"/>
      <c r="AJ59" s="490"/>
      <c r="AK59" s="491">
        <f t="shared" si="18"/>
        <v>-5241.1098599999996</v>
      </c>
    </row>
    <row r="60" spans="1:37" x14ac:dyDescent="0.2">
      <c r="A60" s="43">
        <f t="shared" si="0"/>
        <v>54</v>
      </c>
      <c r="B60" s="63"/>
      <c r="C60" s="18" t="s">
        <v>7</v>
      </c>
      <c r="D60" s="64">
        <f>+'Washington volumes'!F60</f>
        <v>1661182</v>
      </c>
      <c r="E60" s="318">
        <f>+'Rates in detail'!D60</f>
        <v>0.1056</v>
      </c>
      <c r="F60" s="318">
        <f>+'Rates in detail'!F60+'Rates in detail'!G60+'Rates in detail'!H60</f>
        <v>0</v>
      </c>
      <c r="G60" s="318">
        <f>+Temporaries!D60</f>
        <v>-1.9000000000000001E-4</v>
      </c>
      <c r="H60" s="318">
        <f t="shared" si="15"/>
        <v>0.10579</v>
      </c>
      <c r="I60" s="412"/>
      <c r="J60" s="219"/>
      <c r="K60" s="64"/>
      <c r="L60" s="412"/>
      <c r="M60" s="70"/>
      <c r="N60" s="65">
        <v>0</v>
      </c>
      <c r="O60" s="394"/>
      <c r="P60" s="332">
        <f>IF(O59&lt;&gt;0,ROUND((O59/$I59)*$H60,5),ROUND((N$10/$I$69)*$H60*N60,5))</f>
        <v>0</v>
      </c>
      <c r="Q60" s="65">
        <v>0</v>
      </c>
      <c r="R60" s="394"/>
      <c r="S60" s="198">
        <f>IF(R59&lt;&gt;0,ROUND((R59/$I59)*$H60,5),ROUND((Q$10/$I$69)*$H60*Q60,5))</f>
        <v>0</v>
      </c>
      <c r="T60" s="65">
        <v>0</v>
      </c>
      <c r="U60" s="394"/>
      <c r="V60" s="332">
        <f>IF(U59&lt;&gt;0,ROUND((U59/$I59)*$H60,5),ROUND((T$10/$I$69)*$H60*T60,5))</f>
        <v>0</v>
      </c>
      <c r="W60" s="65">
        <v>1</v>
      </c>
      <c r="X60" s="394"/>
      <c r="Y60" s="67">
        <f>IF(X59&lt;&gt;0,ROUND((X59/$I59)*$H60,5),ROUND((W$10/$I$69)*$H60*W60,5))</f>
        <v>-1.8000000000000001E-4</v>
      </c>
      <c r="Z60" s="65">
        <v>1</v>
      </c>
      <c r="AA60" s="394"/>
      <c r="AB60" s="67">
        <f>IF(AA59&lt;&gt;0,ROUND((AA59/$I59)*$H60,5),ROUND((Z$10/$I$69)*$H60*Z60,5))</f>
        <v>-1.65E-3</v>
      </c>
      <c r="AC60" s="65">
        <v>1</v>
      </c>
      <c r="AD60" s="394"/>
      <c r="AE60" s="67">
        <f>IF(AD59&lt;&gt;0,ROUND((AD59/$I59)*$H60,5),ROUND((AC$10/$I$69)*$H60*AC60,5))</f>
        <v>1.2999999999999999E-4</v>
      </c>
      <c r="AF60" s="65">
        <v>1</v>
      </c>
      <c r="AG60" s="394"/>
      <c r="AH60" s="67">
        <f>IF(AG59&lt;&gt;0,ROUND((AG59/$I59)*$H60,5),ROUND((AF$10/$I$69)*$H60*AF60,5))</f>
        <v>-3.5599999999999998E-3</v>
      </c>
      <c r="AI60" s="20"/>
      <c r="AJ60" s="490"/>
      <c r="AK60" s="491">
        <f t="shared" si="18"/>
        <v>-8438.8045599999987</v>
      </c>
    </row>
    <row r="61" spans="1:37" x14ac:dyDescent="0.2">
      <c r="A61" s="43">
        <f t="shared" si="0"/>
        <v>55</v>
      </c>
      <c r="B61" s="63"/>
      <c r="C61" s="18" t="s">
        <v>8</v>
      </c>
      <c r="D61" s="64">
        <f>+'Washington volumes'!F61</f>
        <v>1395939</v>
      </c>
      <c r="E61" s="318">
        <f>+'Rates in detail'!D61</f>
        <v>8.0979999999999996E-2</v>
      </c>
      <c r="F61" s="318">
        <f>+'Rates in detail'!F61+'Rates in detail'!G61+'Rates in detail'!H61</f>
        <v>0</v>
      </c>
      <c r="G61" s="318">
        <f>+Temporaries!D61</f>
        <v>-1.3999999999999999E-4</v>
      </c>
      <c r="H61" s="318">
        <f t="shared" si="15"/>
        <v>8.1119999999999998E-2</v>
      </c>
      <c r="I61" s="412"/>
      <c r="J61" s="219"/>
      <c r="K61" s="64"/>
      <c r="L61" s="412"/>
      <c r="M61" s="70"/>
      <c r="N61" s="65">
        <v>0</v>
      </c>
      <c r="O61" s="394"/>
      <c r="P61" s="332">
        <f>IF(O59&lt;&gt;0,ROUND((O59/$I59)*$H61,5),ROUND((N$10/$I$69)*$H61*N61,5))</f>
        <v>0</v>
      </c>
      <c r="Q61" s="65">
        <v>0</v>
      </c>
      <c r="R61" s="394"/>
      <c r="S61" s="198">
        <f>IF(R59&lt;&gt;0,ROUND((R59/$I59)*$H61,5),ROUND((Q$10/$I$69)*$H61*Q61,5))</f>
        <v>0</v>
      </c>
      <c r="T61" s="65">
        <v>0</v>
      </c>
      <c r="U61" s="394"/>
      <c r="V61" s="332">
        <f>IF(U59&lt;&gt;0,ROUND((U59/$I59)*$H61,5),ROUND((T$10/$I$69)*$H61*T61,5))</f>
        <v>0</v>
      </c>
      <c r="W61" s="65">
        <v>1</v>
      </c>
      <c r="X61" s="394"/>
      <c r="Y61" s="67">
        <f>IF(X59&lt;&gt;0,ROUND((X59/$I59)*$H61,5),ROUND((W$10/$I$69)*$H61*W61,5))</f>
        <v>-1.3999999999999999E-4</v>
      </c>
      <c r="Z61" s="65">
        <v>1</v>
      </c>
      <c r="AA61" s="394"/>
      <c r="AB61" s="67">
        <f>IF(AA59&lt;&gt;0,ROUND((AA59/$I59)*$H61,5),ROUND((Z$10/$I$69)*$H61*Z61,5))</f>
        <v>-1.2600000000000001E-3</v>
      </c>
      <c r="AC61" s="65">
        <v>1</v>
      </c>
      <c r="AD61" s="394"/>
      <c r="AE61" s="67">
        <f>IF(AD59&lt;&gt;0,ROUND((AD59/$I59)*$H61,5),ROUND((AC$10/$I$69)*$H61*AC61,5))</f>
        <v>1E-4</v>
      </c>
      <c r="AF61" s="65">
        <v>1</v>
      </c>
      <c r="AG61" s="394"/>
      <c r="AH61" s="67">
        <f>IF(AG59&lt;&gt;0,ROUND((AG59/$I59)*$H61,5),ROUND((AF$10/$I$69)*$H61*AF61,5))</f>
        <v>-2.7299999999999998E-3</v>
      </c>
      <c r="AI61" s="20"/>
      <c r="AJ61" s="490"/>
      <c r="AK61" s="491">
        <f t="shared" si="18"/>
        <v>-5430.2027099999996</v>
      </c>
    </row>
    <row r="62" spans="1:37" x14ac:dyDescent="0.2">
      <c r="A62" s="43">
        <f t="shared" si="0"/>
        <v>56</v>
      </c>
      <c r="B62" s="63"/>
      <c r="C62" s="18" t="s">
        <v>9</v>
      </c>
      <c r="D62" s="64">
        <f>+'Washington volumes'!F62</f>
        <v>4342579</v>
      </c>
      <c r="E62" s="318">
        <f>+'Rates in detail'!D62</f>
        <v>6.479E-2</v>
      </c>
      <c r="F62" s="318">
        <f>+'Rates in detail'!F62+'Rates in detail'!G62+'Rates in detail'!H62</f>
        <v>0</v>
      </c>
      <c r="G62" s="318">
        <f>+Temporaries!D62</f>
        <v>-1.1E-4</v>
      </c>
      <c r="H62" s="318">
        <f t="shared" si="15"/>
        <v>6.4899999999999999E-2</v>
      </c>
      <c r="I62" s="412"/>
      <c r="J62" s="219"/>
      <c r="K62" s="64"/>
      <c r="L62" s="412"/>
      <c r="M62" s="70"/>
      <c r="N62" s="65">
        <v>0</v>
      </c>
      <c r="O62" s="394"/>
      <c r="P62" s="332">
        <f>IF(O59&lt;&gt;0,ROUND((O59/$I59)*$H62,5),ROUND((N$10/$I$69)*$H62*N62,5))</f>
        <v>0</v>
      </c>
      <c r="Q62" s="65">
        <v>0</v>
      </c>
      <c r="R62" s="394"/>
      <c r="S62" s="198">
        <f>IF(R59&lt;&gt;0,ROUND((R59/$I59)*$H62,5),ROUND((Q$10/$I$69)*$H62*Q62,5))</f>
        <v>0</v>
      </c>
      <c r="T62" s="65">
        <v>0</v>
      </c>
      <c r="U62" s="394"/>
      <c r="V62" s="332">
        <f>IF(U59&lt;&gt;0,ROUND((U59/$I59)*$H62,5),ROUND((T$10/$I$69)*$H62*T62,5))</f>
        <v>0</v>
      </c>
      <c r="W62" s="65">
        <v>1</v>
      </c>
      <c r="X62" s="394"/>
      <c r="Y62" s="67">
        <f>IF(X59&lt;&gt;0,ROUND((X59/$I59)*$H62,5),ROUND((W$10/$I$69)*$H62*W62,5))</f>
        <v>-1.1E-4</v>
      </c>
      <c r="Z62" s="65">
        <v>1</v>
      </c>
      <c r="AA62" s="394"/>
      <c r="AB62" s="67">
        <f>IF(AA59&lt;&gt;0,ROUND((AA59/$I59)*$H62,5),ROUND((Z$10/$I$69)*$H62*Z62,5))</f>
        <v>-1.01E-3</v>
      </c>
      <c r="AC62" s="65">
        <v>1</v>
      </c>
      <c r="AD62" s="394"/>
      <c r="AE62" s="67">
        <f>IF(AD59&lt;&gt;0,ROUND((AD59/$I59)*$H62,5),ROUND((AC$10/$I$69)*$H62*AC62,5))</f>
        <v>8.0000000000000007E-5</v>
      </c>
      <c r="AF62" s="65">
        <v>1</v>
      </c>
      <c r="AG62" s="394"/>
      <c r="AH62" s="67">
        <f>IF(AG59&lt;&gt;0,ROUND((AG59/$I59)*$H62,5),ROUND((AF$10/$I$69)*$H62*AF62,5))</f>
        <v>-2.1900000000000001E-3</v>
      </c>
      <c r="AI62" s="20"/>
      <c r="AJ62" s="490"/>
      <c r="AK62" s="491">
        <f t="shared" si="18"/>
        <v>-13548.846480000002</v>
      </c>
    </row>
    <row r="63" spans="1:37" x14ac:dyDescent="0.2">
      <c r="A63" s="43">
        <f t="shared" si="0"/>
        <v>57</v>
      </c>
      <c r="B63" s="63"/>
      <c r="C63" s="18" t="s">
        <v>10</v>
      </c>
      <c r="D63" s="64">
        <f>+'Washington volumes'!F63</f>
        <v>2584324</v>
      </c>
      <c r="E63" s="318">
        <f>+'Rates in detail'!D63</f>
        <v>4.3190000000000006E-2</v>
      </c>
      <c r="F63" s="318">
        <f>+'Rates in detail'!F63+'Rates in detail'!G63+'Rates in detail'!H63</f>
        <v>0</v>
      </c>
      <c r="G63" s="318">
        <f>+Temporaries!D63</f>
        <v>-8.0000000000000007E-5</v>
      </c>
      <c r="H63" s="318">
        <f t="shared" si="15"/>
        <v>4.3270000000000003E-2</v>
      </c>
      <c r="I63" s="412"/>
      <c r="J63" s="219"/>
      <c r="K63" s="64"/>
      <c r="L63" s="412"/>
      <c r="M63" s="70"/>
      <c r="N63" s="65">
        <v>0</v>
      </c>
      <c r="O63" s="394"/>
      <c r="P63" s="332">
        <f>IF(O59&lt;&gt;0,ROUND((O59/$I59)*$H63,5),ROUND((N$10/$I$69)*$H63*N63,5))</f>
        <v>0</v>
      </c>
      <c r="Q63" s="65">
        <v>0</v>
      </c>
      <c r="R63" s="394"/>
      <c r="S63" s="198">
        <f>IF(R59&lt;&gt;0,ROUND((R59/$I59)*$H63,5),ROUND((Q$10/$I$69)*$H63*Q63,5))</f>
        <v>0</v>
      </c>
      <c r="T63" s="65">
        <v>0</v>
      </c>
      <c r="U63" s="394"/>
      <c r="V63" s="332">
        <f>IF(U59&lt;&gt;0,ROUND((U59/$I59)*$H63,5),ROUND((T$10/$I$69)*$H63*T63,5))</f>
        <v>0</v>
      </c>
      <c r="W63" s="65">
        <v>1</v>
      </c>
      <c r="X63" s="394"/>
      <c r="Y63" s="67">
        <f>IF(X59&lt;&gt;0,ROUND((X59/$I59)*$H63,5),ROUND((W$10/$I$69)*$H63*W63,5))</f>
        <v>-6.9999999999999994E-5</v>
      </c>
      <c r="Z63" s="65">
        <v>1</v>
      </c>
      <c r="AA63" s="394"/>
      <c r="AB63" s="67">
        <f>IF(AA59&lt;&gt;0,ROUND((AA59/$I59)*$H63,5),ROUND((Z$10/$I$69)*$H63*Z63,5))</f>
        <v>-6.7000000000000002E-4</v>
      </c>
      <c r="AC63" s="65">
        <v>1</v>
      </c>
      <c r="AD63" s="394"/>
      <c r="AE63" s="67">
        <f>IF(AD59&lt;&gt;0,ROUND((AD59/$I59)*$H63,5),ROUND((AC$10/$I$69)*$H63*AC63,5))</f>
        <v>5.0000000000000002E-5</v>
      </c>
      <c r="AF63" s="65">
        <v>1</v>
      </c>
      <c r="AG63" s="394"/>
      <c r="AH63" s="67">
        <f>IF(AG59&lt;&gt;0,ROUND((AG59/$I59)*$H63,5),ROUND((AF$10/$I$69)*$H63*AF63,5))</f>
        <v>-1.4599999999999999E-3</v>
      </c>
      <c r="AI63" s="20"/>
      <c r="AJ63" s="490"/>
      <c r="AK63" s="491">
        <f t="shared" si="18"/>
        <v>-5375.3939199999995</v>
      </c>
    </row>
    <row r="64" spans="1:37" x14ac:dyDescent="0.2">
      <c r="A64" s="43">
        <f t="shared" si="0"/>
        <v>58</v>
      </c>
      <c r="B64" s="68"/>
      <c r="C64" s="22" t="s">
        <v>11</v>
      </c>
      <c r="D64" s="58">
        <f>+'Washington volumes'!F64</f>
        <v>0</v>
      </c>
      <c r="E64" s="319">
        <f>+'Rates in detail'!D64</f>
        <v>1.619E-2</v>
      </c>
      <c r="F64" s="319">
        <f>+'Rates in detail'!F64+'Rates in detail'!G64+'Rates in detail'!H64</f>
        <v>0</v>
      </c>
      <c r="G64" s="319">
        <f>+Temporaries!D64</f>
        <v>-3.0000000000000001E-5</v>
      </c>
      <c r="H64" s="319">
        <f t="shared" si="15"/>
        <v>1.6219999999999998E-2</v>
      </c>
      <c r="I64" s="410"/>
      <c r="J64" s="220"/>
      <c r="K64" s="58"/>
      <c r="L64" s="410"/>
      <c r="M64" s="74"/>
      <c r="N64" s="60">
        <v>0</v>
      </c>
      <c r="O64" s="391"/>
      <c r="P64" s="331">
        <f>IF(O59&lt;&gt;0,ROUND((O59/$I59)*$H64,5),ROUND((N$10/$I$69)*$H64*N64,5))</f>
        <v>0</v>
      </c>
      <c r="Q64" s="60">
        <v>0</v>
      </c>
      <c r="R64" s="391"/>
      <c r="S64" s="325">
        <f>IF(R59&lt;&gt;0,ROUND((R59/$I59)*$H64,5),ROUND((Q$10/$I$69)*$H64*Q64,5))</f>
        <v>0</v>
      </c>
      <c r="T64" s="60">
        <v>0</v>
      </c>
      <c r="U64" s="391"/>
      <c r="V64" s="331">
        <f>IF(U59&lt;&gt;0,ROUND((U59/$I59)*$H64,5),ROUND((T$10/$I$69)*$H64*T64,5))</f>
        <v>0</v>
      </c>
      <c r="W64" s="60">
        <v>1</v>
      </c>
      <c r="X64" s="391"/>
      <c r="Y64" s="61">
        <f>IF(X59&lt;&gt;0,ROUND((X59/$I59)*$H64,5),ROUND((W$10/$I$69)*$H64*W64,5))</f>
        <v>-3.0000000000000001E-5</v>
      </c>
      <c r="Z64" s="60">
        <v>1</v>
      </c>
      <c r="AA64" s="391"/>
      <c r="AB64" s="61">
        <f>IF(AA59&lt;&gt;0,ROUND((AA59/$I59)*$H64,5),ROUND((Z$10/$I$69)*$H64*Z64,5))</f>
        <v>-2.5000000000000001E-4</v>
      </c>
      <c r="AC64" s="60">
        <v>1</v>
      </c>
      <c r="AD64" s="391"/>
      <c r="AE64" s="61">
        <f>IF(AD59&lt;&gt;0,ROUND((AD59/$I59)*$H64,5),ROUND((AC$10/$I$69)*$H64*AC64,5))</f>
        <v>2.0000000000000002E-5</v>
      </c>
      <c r="AF64" s="60">
        <v>1</v>
      </c>
      <c r="AG64" s="391"/>
      <c r="AH64" s="61">
        <f>IF(AG59&lt;&gt;0,ROUND((AG59/$I59)*$H64,5),ROUND((AF$10/$I$69)*$H64*AF64,5))</f>
        <v>-5.5000000000000003E-4</v>
      </c>
      <c r="AI64" s="20"/>
      <c r="AJ64" s="490"/>
      <c r="AK64" s="491">
        <f t="shared" si="18"/>
        <v>0</v>
      </c>
    </row>
    <row r="65" spans="1:37" x14ac:dyDescent="0.2">
      <c r="A65" s="43">
        <f t="shared" si="0"/>
        <v>59</v>
      </c>
      <c r="B65" s="68" t="s">
        <v>131</v>
      </c>
      <c r="C65" s="21"/>
      <c r="D65" s="58">
        <f>+'Washington volumes'!F65</f>
        <v>0</v>
      </c>
      <c r="E65" s="320">
        <f>+'Rates in detail'!D65</f>
        <v>4.9800000000000001E-3</v>
      </c>
      <c r="F65" s="320">
        <f>+'Rates in detail'!F65+'Rates in detail'!G65+'Rates in detail'!H65</f>
        <v>0</v>
      </c>
      <c r="G65" s="320">
        <f>+Temporaries!D65</f>
        <v>-1.0000000000000001E-5</v>
      </c>
      <c r="H65" s="320">
        <f t="shared" si="15"/>
        <v>4.9899999999999996E-3</v>
      </c>
      <c r="I65" s="410">
        <f>ROUND(H65*D65,0)</f>
        <v>0</v>
      </c>
      <c r="J65" s="221">
        <f>+'Avg Bill by RS'!G76</f>
        <v>38000</v>
      </c>
      <c r="K65" s="58">
        <f>+'Washington volumes'!H65</f>
        <v>0</v>
      </c>
      <c r="L65" s="410">
        <f>ROUND(I65+(J65*K65*12),0)</f>
        <v>0</v>
      </c>
      <c r="M65" s="75"/>
      <c r="N65" s="60">
        <v>0</v>
      </c>
      <c r="O65" s="391">
        <f>ROUND(+$N$10*(($L65*N65)/N$69),0)</f>
        <v>0</v>
      </c>
      <c r="P65" s="331">
        <f>IF(O65&lt;&gt;0,ROUND((O65/$I61)*$H65,5),ROUND((N$10/$I$69)*$H65*N65,5))</f>
        <v>0</v>
      </c>
      <c r="Q65" s="60">
        <v>0</v>
      </c>
      <c r="R65" s="391">
        <f>ROUND(+$Q$10*(($L65*Q65)/Q$69),0)</f>
        <v>0</v>
      </c>
      <c r="S65" s="325">
        <f>IF(R65&lt;&gt;0,ROUND((R65/$I61)*$H65,5),ROUND((Q$10/$I$69)*$H65*Q65,5))</f>
        <v>0</v>
      </c>
      <c r="T65" s="379">
        <v>0</v>
      </c>
      <c r="U65" s="391">
        <f>ROUND(+$T$10*(($L65*T65)/T$69),0)</f>
        <v>0</v>
      </c>
      <c r="V65" s="380">
        <f>IF(U65&lt;&gt;0,ROUND((U65/$I61)*$H65,5),ROUND((T$10/$I$69)*$H65*T65,5))</f>
        <v>0</v>
      </c>
      <c r="W65" s="379">
        <v>1</v>
      </c>
      <c r="X65" s="391">
        <f>ROUND(+$T$10*(($L65*W65)/W$69),0)</f>
        <v>0</v>
      </c>
      <c r="Y65" s="390">
        <f>IF(X65&lt;&gt;0,ROUND((X65/$I61)*$H65,5),ROUND((W$10/$I$69)*$H65*W65,5))</f>
        <v>-1.0000000000000001E-5</v>
      </c>
      <c r="Z65" s="379">
        <v>1</v>
      </c>
      <c r="AA65" s="391">
        <f>ROUND(+$Z$10*(($L65*Z65)/Z$69),0)</f>
        <v>0</v>
      </c>
      <c r="AB65" s="390">
        <f>IF(AA65&lt;&gt;0,ROUND((AA65/$I65)*$H65,5),ROUND((Z$10/$I$69)*$H65*Z65,5))</f>
        <v>-8.0000000000000007E-5</v>
      </c>
      <c r="AC65" s="379">
        <v>1</v>
      </c>
      <c r="AD65" s="391">
        <f t="shared" ref="AD65:AD66" si="30">ROUND(+$AC$10*(($L65*AC65)/AC$69),0)</f>
        <v>0</v>
      </c>
      <c r="AE65" s="390">
        <f>IF(AD65&lt;&gt;0,ROUND((AD65/$I65)*$H65,5),ROUND((AC$10/$I$69)*$H65*AC65,5))</f>
        <v>1.0000000000000001E-5</v>
      </c>
      <c r="AF65" s="379">
        <v>1</v>
      </c>
      <c r="AG65" s="391">
        <f t="shared" ref="AG65:AG66" si="31">ROUND(+$AF$10*(($L65*AF65)/AF$69),0)</f>
        <v>0</v>
      </c>
      <c r="AH65" s="390">
        <f>IF(AG65&lt;&gt;0,ROUND((AG65/$I65)*$H65,5),ROUND((AF$10/$I$69)*$H65*AF65,5))</f>
        <v>-1.8000000000000001E-4</v>
      </c>
      <c r="AI65" s="20"/>
      <c r="AJ65" s="490"/>
      <c r="AK65" s="491">
        <f t="shared" si="18"/>
        <v>0</v>
      </c>
    </row>
    <row r="66" spans="1:37" x14ac:dyDescent="0.2">
      <c r="A66" s="43">
        <f t="shared" si="0"/>
        <v>60</v>
      </c>
      <c r="B66" s="16" t="s">
        <v>132</v>
      </c>
      <c r="C66" s="13"/>
      <c r="D66" s="58">
        <f>+'Washington volumes'!F66</f>
        <v>0</v>
      </c>
      <c r="E66" s="319">
        <f>+'Rates in detail'!D66</f>
        <v>4.9800000000000001E-3</v>
      </c>
      <c r="F66" s="319">
        <f>+'Rates in detail'!F66+'Rates in detail'!G66+'Rates in detail'!H66</f>
        <v>0</v>
      </c>
      <c r="G66" s="319">
        <f>+Temporaries!D66</f>
        <v>-1.0000000000000001E-5</v>
      </c>
      <c r="H66" s="319">
        <f t="shared" si="15"/>
        <v>4.9899999999999996E-3</v>
      </c>
      <c r="I66" s="410">
        <f>ROUND(H66*D66,0)</f>
        <v>0</v>
      </c>
      <c r="J66" s="220">
        <f>+'Avg Bill by RS'!G77</f>
        <v>38000</v>
      </c>
      <c r="K66" s="58">
        <f>+'Washington volumes'!H66</f>
        <v>0</v>
      </c>
      <c r="L66" s="410">
        <f>ROUND(I66+(J66*K66*12),0)</f>
        <v>0</v>
      </c>
      <c r="M66" s="74"/>
      <c r="N66" s="60">
        <v>0</v>
      </c>
      <c r="O66" s="391">
        <f>ROUND(+$N$10*(($L66*N66)/N$69),0)</f>
        <v>0</v>
      </c>
      <c r="P66" s="331">
        <f>IF(O66&lt;&gt;0,ROUND((O66/$I62)*$H66,5),ROUND((N$10/$I$69)*$H66*N66,5))</f>
        <v>0</v>
      </c>
      <c r="Q66" s="60">
        <v>0</v>
      </c>
      <c r="R66" s="391">
        <f>ROUND(+$Q$10*(($L66*Q66)/Q$69),0)</f>
        <v>0</v>
      </c>
      <c r="S66" s="325">
        <f>IF(R66&lt;&gt;0,ROUND((R66/$I62)*$H66,5),ROUND((Q$10/$I$69)*$H66*Q66,5))</f>
        <v>0</v>
      </c>
      <c r="T66" s="60">
        <v>0</v>
      </c>
      <c r="U66" s="391">
        <f>ROUND(+$T$10*(($L66*T66)/T$69),0)</f>
        <v>0</v>
      </c>
      <c r="V66" s="331">
        <f>IF(U66&lt;&gt;0,ROUND((U66/$I62)*$H66,5),ROUND((T$10/$I$69)*$H66*T66,5))</f>
        <v>0</v>
      </c>
      <c r="W66" s="60">
        <v>1</v>
      </c>
      <c r="X66" s="391">
        <f>ROUND(+$T$10*(($L66*W66)/W$69),0)</f>
        <v>0</v>
      </c>
      <c r="Y66" s="61">
        <f>IF(X66&lt;&gt;0,ROUND((X66/$I62)*$H66,5),ROUND((W$10/$I$69)*$H66*W66,5))</f>
        <v>-1.0000000000000001E-5</v>
      </c>
      <c r="Z66" s="60">
        <v>1</v>
      </c>
      <c r="AA66" s="391">
        <f>ROUND(+$Z$10*(($L66*Z66)/Z$69),0)</f>
        <v>0</v>
      </c>
      <c r="AB66" s="61">
        <f>IF(AA66&lt;&gt;0,ROUND((AA66/$I66)*$H66,5),ROUND((Z$10/$I$69)*$H66*Z66,5))</f>
        <v>-8.0000000000000007E-5</v>
      </c>
      <c r="AC66" s="60">
        <v>1</v>
      </c>
      <c r="AD66" s="391">
        <f t="shared" si="30"/>
        <v>0</v>
      </c>
      <c r="AE66" s="61">
        <f>IF(AD66&lt;&gt;0,ROUND((AD66/$I66)*$H66,5),ROUND((AC$10/$I$69)*$H66*AC66,5))</f>
        <v>1.0000000000000001E-5</v>
      </c>
      <c r="AF66" s="60">
        <v>1</v>
      </c>
      <c r="AG66" s="391">
        <f t="shared" si="31"/>
        <v>0</v>
      </c>
      <c r="AH66" s="61">
        <f>IF(AG66&lt;&gt;0,ROUND((AG66/$I66)*$H66,5),ROUND((AF$10/$I$69)*$H66*AF66,5))</f>
        <v>-1.8000000000000001E-4</v>
      </c>
      <c r="AI66" s="20"/>
      <c r="AJ66" s="490"/>
      <c r="AK66" s="491">
        <f t="shared" si="18"/>
        <v>0</v>
      </c>
    </row>
    <row r="67" spans="1:37" x14ac:dyDescent="0.2">
      <c r="A67" s="43">
        <f t="shared" si="0"/>
        <v>61</v>
      </c>
      <c r="B67" s="15" t="s">
        <v>166</v>
      </c>
      <c r="C67" s="13"/>
      <c r="D67" s="58"/>
      <c r="E67" s="321"/>
      <c r="F67" s="321"/>
      <c r="G67" s="321"/>
      <c r="H67" s="321"/>
      <c r="I67" s="410"/>
      <c r="J67" s="222"/>
      <c r="K67" s="58"/>
      <c r="L67" s="323"/>
      <c r="M67" s="74"/>
      <c r="N67" s="60"/>
      <c r="O67" s="58"/>
      <c r="P67" s="408"/>
      <c r="Q67" s="60"/>
      <c r="R67" s="58"/>
      <c r="S67" s="325"/>
      <c r="T67" s="60"/>
      <c r="U67" s="58"/>
      <c r="V67" s="331"/>
      <c r="W67" s="60"/>
      <c r="X67" s="58"/>
      <c r="Y67" s="61"/>
      <c r="Z67" s="60"/>
      <c r="AA67" s="58"/>
      <c r="AB67" s="61"/>
      <c r="AC67" s="60"/>
      <c r="AD67" s="58"/>
      <c r="AE67" s="61"/>
      <c r="AF67" s="60"/>
      <c r="AG67" s="58"/>
      <c r="AH67" s="61"/>
      <c r="AI67" s="20"/>
      <c r="AJ67" s="490" t="s">
        <v>380</v>
      </c>
      <c r="AK67" s="492">
        <f>SUM(AK13:AK66)</f>
        <v>-1629404.6847071382</v>
      </c>
    </row>
    <row r="68" spans="1:37" ht="13.5" thickBot="1" x14ac:dyDescent="0.25">
      <c r="A68" s="43">
        <f t="shared" si="0"/>
        <v>62</v>
      </c>
      <c r="E68" s="322"/>
      <c r="F68" s="322"/>
      <c r="G68" s="322"/>
      <c r="H68" s="322"/>
      <c r="I68" s="324"/>
      <c r="L68" s="324"/>
      <c r="N68" s="76"/>
      <c r="Q68" s="76"/>
      <c r="T68" s="76"/>
      <c r="W68" s="76"/>
      <c r="X68" s="2"/>
      <c r="Z68" s="76"/>
      <c r="AC68" s="431"/>
      <c r="AF68" s="431"/>
      <c r="AJ68" s="493" t="s">
        <v>379</v>
      </c>
      <c r="AK68" s="494">
        <f>AK67-Z10-AC10-AF10</f>
        <v>-1.6847071382217109</v>
      </c>
    </row>
    <row r="69" spans="1:37" x14ac:dyDescent="0.2">
      <c r="A69" s="43">
        <f t="shared" si="0"/>
        <v>63</v>
      </c>
      <c r="B69" s="2" t="s">
        <v>138</v>
      </c>
      <c r="D69" s="72">
        <f>SUM(D13:D68)</f>
        <v>94596548.939172342</v>
      </c>
      <c r="E69" s="322"/>
      <c r="F69" s="322"/>
      <c r="G69" s="322"/>
      <c r="H69" s="322"/>
      <c r="I69" s="329">
        <f>SUM(I13:I67)</f>
        <v>31635148</v>
      </c>
      <c r="J69" s="72"/>
      <c r="K69" s="72"/>
      <c r="L69" s="329">
        <f>SUM(L13:L67)</f>
        <v>42636279</v>
      </c>
      <c r="N69" s="330">
        <f>ROUND(($L13*N13)+($L14*N14)+($L15*N15)+($L16*N16)+($L17*N17)+($L18*N18)+($L19*N19)+($L$21*N21)+($L23*N23)+($L$25*N25)+($L27*N27)+($L29*N29)+($L35*N35)+($L41*N41)+($L$47*N47)+($L53*N53)+($L59*N59)+($L65*N65)+($L66*N66)+($L67*N67),0)</f>
        <v>39600458</v>
      </c>
      <c r="O69" s="328">
        <f>SUM(O13:O68)</f>
        <v>2396964</v>
      </c>
      <c r="Q69" s="347">
        <f>ROUND(($L13*Q13)+($L14*Q14)+($L15*Q15)+($L16*Q16)+($L17*Q17)+($L18*Q18)+($L19*Q19)+($L$21*Q21)+($L23*Q23)+($L$25*Q25)+($L27*Q27)+($L29*Q29)+($L35*Q35)+($L41*Q41)+($L$47*Q47)+($L53*Q53)+($L59*Q59)+($L65*Q65)+($L66*Q66)+($L67*Q67),0)</f>
        <v>40508280</v>
      </c>
      <c r="R69" s="328">
        <f>SUM(R13:R68)</f>
        <v>369608</v>
      </c>
      <c r="T69" s="347">
        <f>ROUND(($L13*T13)+($L14*T14)+($L15*T15)+($L16*T16)+($L17*T17)+($L18*T18)+($L19*T19)+($L$21*T21)+($L23*T23)+($L$25*T25)+($L27*T27)+($L29*T29)+($L35*T35)+($L41*T41)+($L$47*T47)+($L53*T53)+($L59*T59)+($L65*T65)+($L66*T66)+($L67*T67),0)</f>
        <v>40508280</v>
      </c>
      <c r="U69" s="328">
        <f>SUM(U13:U68)</f>
        <v>86598</v>
      </c>
      <c r="W69" s="347">
        <f>ROUND(($L13*W13)+($L14*W14)+($L15*W15)+($L16*W16)+($L17*W17)+($L18*W18)+($L19*W19)+($L$21*W21)+($L23*W23)+($L$25*W25)+($L27*W27)+($L29*W29)+($L35*W35)+($L41*W41)+($L$47*W47)+($L53*W53)+($L59*W59)+($L65*W65)+($L66*W66)+($L67*W67),0)</f>
        <v>42636279</v>
      </c>
      <c r="X69" s="72">
        <f>SUM(X13:X68)</f>
        <v>-57385</v>
      </c>
      <c r="Z69" s="347">
        <f>ROUND(($L13*Z13)+($L14*Z14)+($L15*Z15)+($L16*Z16)+($L17*Z17)+($L18*Z18)+($L19*Z19)+($L$21*Z21)+($L23*Z23)+($L$25*Z25)+($L27*Z27)+($L29*Z29)+($L35*Z35)+($L41*Z41)+($L$47*Z47)+($L53*Z53)+($L59*Z59)+($L65*Z65)+($L66*Z66)+($L67*Z67),0)</f>
        <v>42636279</v>
      </c>
      <c r="AA69" s="328">
        <f>SUM(AA13:AA68)</f>
        <v>-527953</v>
      </c>
      <c r="AC69" s="432">
        <f>ROUND(($L13*AC13)+($L14*AC14)+($L15*AC15)+($L16*AC16)+($L17*AC17)+($L18*AC18)+($L19*AC19)+($L$21*AC21)+($L23*AC23)+($L$25*AC25)+($L27*AC27)+($L29*AC29)+($L35*AC35)+($L41*AC41)+($L$47*AC47)+($L53*AC53)+($L59*AC59)+($L65*AC65)+($L66*AC66)+($L67*AC67),0)</f>
        <v>42636279</v>
      </c>
      <c r="AD69" s="433">
        <f>SUM(AD13:AD68)</f>
        <v>41736</v>
      </c>
      <c r="AF69" s="432">
        <f>ROUND(($L13*AF13)+($L14*AF14)+($L15*AF15)+($L16*AF16)+($L17*AF17)+($L18*AF18)+($L19*AF19)+($L$21*AF21)+($L23*AF23)+($L$25*AF25)+($L27*AF27)+($L29*AF29)+($L35*AF35)+($L41*AF41)+($L$47*AF47)+($L53*AF53)+($L59*AF59)+($L65*AF65)+($L66*AF66)+($L67*AF67),0)</f>
        <v>42636279</v>
      </c>
      <c r="AG69" s="433">
        <f>SUM(AG13:AG68)</f>
        <v>-1143185</v>
      </c>
    </row>
    <row r="70" spans="1:37" x14ac:dyDescent="0.2">
      <c r="A70" s="43">
        <f t="shared" si="0"/>
        <v>64</v>
      </c>
      <c r="M70" s="34"/>
      <c r="N70" s="175"/>
      <c r="Q70" s="175"/>
      <c r="T70" s="175"/>
      <c r="W70" s="175"/>
      <c r="X70" s="2"/>
      <c r="Z70" s="175"/>
      <c r="AC70" s="434"/>
      <c r="AF70" s="434"/>
    </row>
    <row r="71" spans="1:37" ht="13.5" thickBot="1" x14ac:dyDescent="0.25">
      <c r="A71" s="43">
        <f t="shared" si="0"/>
        <v>65</v>
      </c>
      <c r="B71" s="26" t="s">
        <v>161</v>
      </c>
      <c r="E71" s="2"/>
      <c r="F71" s="2"/>
      <c r="G71" s="2"/>
      <c r="H71" s="2"/>
      <c r="J71" s="2"/>
      <c r="M71" s="2"/>
      <c r="N71" s="2"/>
      <c r="Q71" s="2"/>
      <c r="T71" s="2"/>
      <c r="W71" s="2"/>
      <c r="X71" s="2"/>
      <c r="Z71" s="2"/>
      <c r="AC71" s="163"/>
      <c r="AF71" s="163"/>
    </row>
    <row r="72" spans="1:37" ht="13.5" thickBot="1" x14ac:dyDescent="0.25">
      <c r="A72" s="43">
        <f>+A71+1</f>
        <v>66</v>
      </c>
      <c r="B72" s="27" t="s">
        <v>162</v>
      </c>
      <c r="C72" s="29"/>
      <c r="D72" s="29"/>
      <c r="E72" s="29"/>
      <c r="F72" s="29"/>
      <c r="G72" s="29"/>
      <c r="H72" s="29"/>
      <c r="I72" s="29"/>
      <c r="J72" s="29"/>
      <c r="K72" s="30" t="s">
        <v>139</v>
      </c>
      <c r="L72" s="29"/>
      <c r="M72" s="29"/>
      <c r="N72" s="30" t="s">
        <v>251</v>
      </c>
      <c r="O72" s="29"/>
      <c r="P72" s="173"/>
      <c r="Q72" s="30" t="s">
        <v>328</v>
      </c>
      <c r="R72" s="29"/>
      <c r="S72" s="173"/>
      <c r="T72" s="30" t="s">
        <v>252</v>
      </c>
      <c r="U72" s="29"/>
      <c r="V72" s="173"/>
      <c r="W72" s="30" t="s">
        <v>215</v>
      </c>
      <c r="X72" s="29"/>
      <c r="Y72" s="173"/>
      <c r="Z72" s="30" t="s">
        <v>214</v>
      </c>
      <c r="AA72" s="29"/>
      <c r="AB72" s="173"/>
      <c r="AC72" s="30" t="s">
        <v>214</v>
      </c>
      <c r="AD72" s="80"/>
      <c r="AE72" s="430"/>
      <c r="AF72" s="30" t="s">
        <v>214</v>
      </c>
      <c r="AG72" s="80"/>
      <c r="AH72" s="430"/>
      <c r="AI72" s="246"/>
    </row>
    <row r="73" spans="1:37" ht="13.5" thickBot="1" x14ac:dyDescent="0.25">
      <c r="A73" s="43">
        <f t="shared" si="0"/>
        <v>67</v>
      </c>
      <c r="B73" s="26" t="s">
        <v>259</v>
      </c>
      <c r="E73" s="2"/>
      <c r="F73" s="2"/>
      <c r="G73" s="2"/>
      <c r="H73" s="2"/>
      <c r="J73" s="2"/>
      <c r="M73" s="2"/>
      <c r="N73" s="2"/>
      <c r="Q73" s="2"/>
      <c r="T73" s="2"/>
      <c r="W73" s="2"/>
      <c r="X73" s="2"/>
      <c r="Z73" s="2"/>
      <c r="AC73" s="163"/>
      <c r="AF73" s="163"/>
    </row>
    <row r="74" spans="1:37" ht="13.5" thickBot="1" x14ac:dyDescent="0.25">
      <c r="A74" s="43">
        <f>+A73+1</f>
        <v>68</v>
      </c>
      <c r="B74" s="27" t="s">
        <v>260</v>
      </c>
      <c r="C74" s="29"/>
      <c r="D74" s="29"/>
      <c r="E74" s="29"/>
      <c r="F74" s="29"/>
      <c r="G74" s="29"/>
      <c r="H74" s="29"/>
      <c r="I74" s="29"/>
      <c r="J74" s="29"/>
      <c r="K74" s="29"/>
      <c r="L74" s="29"/>
      <c r="M74" s="29"/>
      <c r="N74" s="30" t="s">
        <v>262</v>
      </c>
      <c r="O74" s="29"/>
      <c r="P74" s="173"/>
      <c r="Q74" s="268" t="s">
        <v>263</v>
      </c>
      <c r="R74" s="29"/>
      <c r="S74" s="173"/>
      <c r="T74" s="268" t="s">
        <v>264</v>
      </c>
      <c r="U74" s="29"/>
      <c r="V74" s="173"/>
      <c r="W74" s="30" t="s">
        <v>327</v>
      </c>
      <c r="X74" s="29"/>
      <c r="Y74" s="173"/>
      <c r="Z74" s="30" t="s">
        <v>261</v>
      </c>
      <c r="AA74" s="29"/>
      <c r="AB74" s="173"/>
      <c r="AC74" s="30" t="s">
        <v>261</v>
      </c>
      <c r="AD74" s="80"/>
      <c r="AE74" s="430"/>
      <c r="AF74" s="30" t="s">
        <v>261</v>
      </c>
      <c r="AG74" s="80"/>
      <c r="AH74" s="430"/>
      <c r="AI74" s="246"/>
    </row>
    <row r="75" spans="1:37" x14ac:dyDescent="0.2">
      <c r="A75" s="43">
        <f>+A72+1</f>
        <v>67</v>
      </c>
      <c r="N75" s="76"/>
      <c r="Q75" s="76"/>
      <c r="T75" s="76"/>
      <c r="Z75" s="76"/>
      <c r="AC75" s="431"/>
      <c r="AF75" s="431"/>
    </row>
    <row r="76" spans="1:37" x14ac:dyDescent="0.2">
      <c r="A76" s="43">
        <f>+A75+1</f>
        <v>68</v>
      </c>
      <c r="B76" s="371" t="s">
        <v>181</v>
      </c>
      <c r="N76" s="76"/>
      <c r="Q76" s="76"/>
      <c r="T76" s="76"/>
      <c r="Z76" s="76"/>
      <c r="AC76" s="431"/>
      <c r="AF76" s="431"/>
    </row>
    <row r="80" spans="1:37" x14ac:dyDescent="0.2">
      <c r="N80" s="42" t="s">
        <v>198</v>
      </c>
      <c r="O80" s="130">
        <f>+O13+O15</f>
        <v>1759351</v>
      </c>
      <c r="Q80" s="42" t="s">
        <v>198</v>
      </c>
      <c r="R80" s="130">
        <f>+R13+R15</f>
        <v>265210</v>
      </c>
      <c r="T80" s="42" t="s">
        <v>198</v>
      </c>
      <c r="U80" s="130">
        <f>+U13+U15</f>
        <v>62138</v>
      </c>
      <c r="Z80" s="42" t="s">
        <v>198</v>
      </c>
      <c r="AA80" s="130">
        <f>+AA13+AA15</f>
        <v>-359921</v>
      </c>
      <c r="AC80" s="429" t="s">
        <v>198</v>
      </c>
      <c r="AD80" s="435">
        <f>+AD13+AD15</f>
        <v>28452</v>
      </c>
      <c r="AF80" s="429" t="s">
        <v>198</v>
      </c>
      <c r="AG80" s="435">
        <f>+AG13+AG15</f>
        <v>-779344</v>
      </c>
    </row>
    <row r="81" spans="14:36" s="3" customFormat="1" x14ac:dyDescent="0.2">
      <c r="N81" s="42" t="s">
        <v>16</v>
      </c>
      <c r="O81" s="130">
        <f>+O14+O16+SUM(O29:O34)+SUM(O19:O20)+SUM(O47:O52)+SUM(O21:O22)</f>
        <v>624515</v>
      </c>
      <c r="P81" s="79"/>
      <c r="Q81" s="42" t="s">
        <v>16</v>
      </c>
      <c r="R81" s="130">
        <f>+R14+R16+SUM(R29:R34)+SUM(R19:R20)+SUM(R47:R52)+SUM(R21:R22)</f>
        <v>94140</v>
      </c>
      <c r="S81" s="79"/>
      <c r="T81" s="42" t="s">
        <v>16</v>
      </c>
      <c r="U81" s="130">
        <f>+U14+U16+SUM(U29:U34)+SUM(U19:U20)+SUM(U47:U52)+SUM(U21:U22)</f>
        <v>22056</v>
      </c>
      <c r="V81" s="79"/>
      <c r="W81" s="79"/>
      <c r="X81" s="79"/>
      <c r="Y81" s="79"/>
      <c r="Z81" s="42" t="s">
        <v>16</v>
      </c>
      <c r="AA81" s="272">
        <f>+AA14+AA16+SUM(AA29:AA34)+SUM(AA19:AA20)+SUM(AA47:AA52)+SUM(AA21:AA22)</f>
        <v>-127761</v>
      </c>
      <c r="AC81" s="429" t="s">
        <v>16</v>
      </c>
      <c r="AD81" s="436">
        <f>+AD14+AD16+SUM(AD29:AD34)+SUM(AD19:AD20)+SUM(AD47:AD52)+SUM(AD21:AD22)</f>
        <v>10100</v>
      </c>
      <c r="AE81" s="87"/>
      <c r="AF81" s="429" t="s">
        <v>16</v>
      </c>
      <c r="AG81" s="436">
        <f>+AG14+AG16+SUM(AG29:AG34)+SUM(AG19:AG20)+SUM(AG47:AG52)+SUM(AG21:AG22)</f>
        <v>-276642</v>
      </c>
      <c r="AH81" s="87"/>
      <c r="AI81" s="87"/>
      <c r="AJ81" s="87"/>
    </row>
    <row r="82" spans="14:36" s="3" customFormat="1" x14ac:dyDescent="0.2">
      <c r="N82" s="42" t="s">
        <v>75</v>
      </c>
      <c r="O82" s="104">
        <f>+O17++SUM(O27:O28)+SUM(O35:O40)+SUM(O53:O58)+SUM(O59:O64)+SUM(O41:O46)+O23+SUM(O25:O26)</f>
        <v>0</v>
      </c>
      <c r="P82" s="79"/>
      <c r="Q82" s="42" t="s">
        <v>75</v>
      </c>
      <c r="R82" s="104">
        <f>+R17++SUM(R27:R28)+SUM(R35:R40)+SUM(R53:R58)+SUM(R59:R64)+SUM(R41:R46)+R23+SUM(R25:R26)</f>
        <v>8284</v>
      </c>
      <c r="S82" s="79"/>
      <c r="T82" s="42" t="s">
        <v>75</v>
      </c>
      <c r="U82" s="104">
        <f>+U17++SUM(U27:U28)+SUM(U35:U40)+SUM(U53:U58)+SUM(U59:U64)+SUM(U41:U46)+U23+SUM(U25:U26)</f>
        <v>1941</v>
      </c>
      <c r="V82" s="79"/>
      <c r="W82" s="79"/>
      <c r="X82" s="79"/>
      <c r="Y82" s="79"/>
      <c r="Z82" s="42" t="s">
        <v>75</v>
      </c>
      <c r="AA82" s="104">
        <f>+AA17++SUM(AA27:AA28)+SUM(AA35:AA40)+SUM(AA53:AA58)+SUM(AA59:AA64)+SUM(AA41:AA46)+AA23+SUM(AA25:AA26)</f>
        <v>-37591</v>
      </c>
      <c r="AC82" s="429" t="s">
        <v>75</v>
      </c>
      <c r="AD82" s="437">
        <f>+AD17++SUM(AD27:AD28)+SUM(AD35:AD40)+SUM(AD53:AD58)+SUM(AD59:AD64)+SUM(AD41:AD46)+AD23+SUM(AD25:AD26)</f>
        <v>2972</v>
      </c>
      <c r="AE82" s="87"/>
      <c r="AF82" s="429" t="s">
        <v>75</v>
      </c>
      <c r="AG82" s="437">
        <f>+AG17++SUM(AG27:AG28)+SUM(AG35:AG40)+SUM(AG53:AG58)+SUM(AG59:AG64)+SUM(AG41:AG46)+AG23+SUM(AG25:AG26)</f>
        <v>-81397</v>
      </c>
      <c r="AH82" s="87"/>
      <c r="AI82" s="87"/>
      <c r="AJ82" s="87"/>
    </row>
    <row r="83" spans="14:36" s="3" customFormat="1" x14ac:dyDescent="0.2">
      <c r="N83" s="42">
        <v>27</v>
      </c>
      <c r="O83" s="104">
        <f>+O18</f>
        <v>13098</v>
      </c>
      <c r="P83" s="79"/>
      <c r="Q83" s="42">
        <v>27</v>
      </c>
      <c r="R83" s="104">
        <f>+R18</f>
        <v>1974</v>
      </c>
      <c r="S83" s="79"/>
      <c r="T83" s="42">
        <v>27</v>
      </c>
      <c r="U83" s="104">
        <f>+U18</f>
        <v>463</v>
      </c>
      <c r="V83" s="79"/>
      <c r="W83" s="79"/>
      <c r="X83" s="79"/>
      <c r="Y83" s="79"/>
      <c r="Z83" s="42">
        <v>27</v>
      </c>
      <c r="AA83" s="104">
        <f>+AA18</f>
        <v>-2680</v>
      </c>
      <c r="AC83" s="429">
        <v>27</v>
      </c>
      <c r="AD83" s="437">
        <f>+AD18</f>
        <v>212</v>
      </c>
      <c r="AE83" s="87"/>
      <c r="AF83" s="429">
        <v>27</v>
      </c>
      <c r="AG83" s="437">
        <f>+AG18</f>
        <v>-5802</v>
      </c>
      <c r="AH83" s="87"/>
      <c r="AI83" s="87"/>
      <c r="AJ83" s="87"/>
    </row>
    <row r="84" spans="14:36" s="3" customFormat="1" x14ac:dyDescent="0.2">
      <c r="N84" s="42"/>
      <c r="O84" s="130">
        <f>SUM(O80:O83)</f>
        <v>2396964</v>
      </c>
      <c r="P84" s="79"/>
      <c r="Q84" s="42"/>
      <c r="R84" s="130">
        <f>SUM(R80:R83)</f>
        <v>369608</v>
      </c>
      <c r="S84" s="79"/>
      <c r="T84" s="42"/>
      <c r="U84" s="130">
        <f>SUM(U80:U83)</f>
        <v>86598</v>
      </c>
      <c r="V84" s="79"/>
      <c r="W84" s="79"/>
      <c r="X84" s="79"/>
      <c r="Y84" s="79"/>
      <c r="Z84" s="42"/>
      <c r="AA84" s="130">
        <f>SUM(AA80:AA83)</f>
        <v>-527953</v>
      </c>
      <c r="AC84" s="429"/>
      <c r="AD84" s="435">
        <f>SUM(AD80:AD83)</f>
        <v>41736</v>
      </c>
      <c r="AE84" s="87"/>
      <c r="AF84" s="429"/>
      <c r="AG84" s="435">
        <f>SUM(AG80:AG83)</f>
        <v>-1143185</v>
      </c>
      <c r="AH84" s="87"/>
      <c r="AI84" s="87"/>
      <c r="AJ84" s="87"/>
    </row>
    <row r="85" spans="14:36" s="3" customFormat="1" x14ac:dyDescent="0.2">
      <c r="N85" s="42"/>
      <c r="O85" s="72">
        <f>+O84-O69</f>
        <v>0</v>
      </c>
      <c r="P85" s="79"/>
      <c r="Q85" s="42"/>
      <c r="R85" s="72">
        <f>+R84-R69</f>
        <v>0</v>
      </c>
      <c r="S85" s="79"/>
      <c r="T85" s="42"/>
      <c r="U85" s="72">
        <f>+U84-U69</f>
        <v>0</v>
      </c>
      <c r="V85" s="79"/>
      <c r="W85" s="79"/>
      <c r="X85" s="79"/>
      <c r="Y85" s="79"/>
      <c r="Z85" s="42"/>
      <c r="AA85" s="72">
        <f>+AA84-AA69</f>
        <v>0</v>
      </c>
      <c r="AC85" s="429"/>
      <c r="AD85" s="438">
        <f>+AD84-AD69</f>
        <v>0</v>
      </c>
      <c r="AE85" s="87"/>
      <c r="AF85" s="429"/>
      <c r="AG85" s="438">
        <f>+AG84-AG69</f>
        <v>0</v>
      </c>
      <c r="AH85" s="87"/>
      <c r="AI85" s="87"/>
      <c r="AJ85" s="87"/>
    </row>
    <row r="87" spans="14:36" s="3" customFormat="1" x14ac:dyDescent="0.2">
      <c r="N87" s="42"/>
      <c r="O87" s="2"/>
      <c r="P87" s="79"/>
      <c r="Q87" s="42"/>
      <c r="R87" s="2"/>
      <c r="S87" s="79"/>
      <c r="T87" s="42"/>
      <c r="U87" s="2"/>
      <c r="V87" s="79"/>
      <c r="W87" s="79"/>
      <c r="X87" s="79"/>
      <c r="Y87" s="79"/>
      <c r="Z87" s="42" t="s">
        <v>198</v>
      </c>
      <c r="AA87" s="130">
        <f>+AA80</f>
        <v>-359921</v>
      </c>
      <c r="AC87" s="429" t="s">
        <v>198</v>
      </c>
      <c r="AD87" s="435">
        <f>+AD80</f>
        <v>28452</v>
      </c>
      <c r="AE87" s="87"/>
      <c r="AF87" s="429" t="s">
        <v>198</v>
      </c>
      <c r="AG87" s="435">
        <f>+AG80</f>
        <v>-779344</v>
      </c>
      <c r="AH87" s="87"/>
      <c r="AI87" s="87"/>
      <c r="AJ87" s="87"/>
    </row>
    <row r="88" spans="14:36" s="3" customFormat="1" x14ac:dyDescent="0.2">
      <c r="N88" s="42"/>
      <c r="O88" s="2"/>
      <c r="P88" s="79"/>
      <c r="Q88" s="42"/>
      <c r="R88" s="2"/>
      <c r="S88" s="79"/>
      <c r="T88" s="42"/>
      <c r="U88" s="2"/>
      <c r="V88" s="79"/>
      <c r="W88" s="79"/>
      <c r="X88" s="79"/>
      <c r="Y88" s="79"/>
      <c r="Z88" s="42" t="s">
        <v>267</v>
      </c>
      <c r="AA88" s="72">
        <f>+AA14+AA16+AA19+AA29</f>
        <v>-125918</v>
      </c>
      <c r="AC88" s="429" t="s">
        <v>267</v>
      </c>
      <c r="AD88" s="438">
        <f>+AD14+AD16+AD19+AD29</f>
        <v>9954</v>
      </c>
      <c r="AE88" s="87"/>
      <c r="AF88" s="429" t="s">
        <v>267</v>
      </c>
      <c r="AG88" s="438">
        <f>+AG14+AG16+AG19+AG29</f>
        <v>-272651</v>
      </c>
      <c r="AH88" s="87"/>
      <c r="AI88" s="87"/>
      <c r="AJ88" s="87"/>
    </row>
    <row r="89" spans="14:36" s="3" customFormat="1" x14ac:dyDescent="0.2">
      <c r="N89" s="42"/>
      <c r="O89" s="2"/>
      <c r="P89" s="79"/>
      <c r="Q89" s="42"/>
      <c r="R89" s="2"/>
      <c r="S89" s="79"/>
      <c r="T89" s="42"/>
      <c r="U89" s="2"/>
      <c r="V89" s="79"/>
      <c r="W89" s="79"/>
      <c r="X89" s="79"/>
      <c r="Y89" s="79"/>
      <c r="Z89" s="42" t="s">
        <v>266</v>
      </c>
      <c r="AA89" s="72">
        <f>+AA17+AA25+AA35</f>
        <v>-10423</v>
      </c>
      <c r="AC89" s="429" t="s">
        <v>266</v>
      </c>
      <c r="AD89" s="438">
        <f>+AD17+AD25+AD35</f>
        <v>824</v>
      </c>
      <c r="AE89" s="87"/>
      <c r="AF89" s="429" t="s">
        <v>266</v>
      </c>
      <c r="AG89" s="438">
        <f>+AG17+AG25+AG35</f>
        <v>-22569</v>
      </c>
      <c r="AH89" s="87"/>
      <c r="AI89" s="87"/>
      <c r="AJ89" s="87"/>
    </row>
    <row r="90" spans="14:36" s="3" customFormat="1" x14ac:dyDescent="0.2">
      <c r="N90" s="42"/>
      <c r="O90" s="2"/>
      <c r="P90" s="79"/>
      <c r="Q90" s="42"/>
      <c r="R90" s="2"/>
      <c r="S90" s="79"/>
      <c r="T90" s="42"/>
      <c r="U90" s="2"/>
      <c r="V90" s="79"/>
      <c r="W90" s="79"/>
      <c r="X90" s="79"/>
      <c r="Y90" s="79"/>
      <c r="Z90" s="42" t="s">
        <v>268</v>
      </c>
      <c r="AA90" s="72">
        <f>+AA21+AA27+AA47+AA53</f>
        <v>-2661</v>
      </c>
      <c r="AC90" s="429" t="s">
        <v>268</v>
      </c>
      <c r="AD90" s="438">
        <f>+AD21+AD27+AD47+AD53</f>
        <v>211</v>
      </c>
      <c r="AE90" s="87"/>
      <c r="AF90" s="429" t="s">
        <v>268</v>
      </c>
      <c r="AG90" s="438">
        <f>+AG21+AG27+AG47+AG53</f>
        <v>-5762</v>
      </c>
      <c r="AH90" s="87"/>
      <c r="AI90" s="87"/>
      <c r="AJ90" s="87"/>
    </row>
  </sheetData>
  <mergeCells count="6">
    <mergeCell ref="AF7:AH7"/>
    <mergeCell ref="L11:L12"/>
    <mergeCell ref="W7:Y7"/>
    <mergeCell ref="T7:V7"/>
    <mergeCell ref="Z7:AB7"/>
    <mergeCell ref="AC7:AE7"/>
  </mergeCells>
  <phoneticPr fontId="3" type="noConversion"/>
  <printOptions horizontalCentered="1" verticalCentered="1"/>
  <pageMargins left="0.25" right="0.25" top="0.75" bottom="0.75" header="0.3" footer="0.3"/>
  <pageSetup scale="4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2018-12-31T08:00:00+00:00</OpenedDate>
    <SignificantOrder xmlns="dc463f71-b30c-4ab2-9473-d307f9d35888">false</SignificantOrder>
    <Date1 xmlns="dc463f71-b30c-4ab2-9473-d307f9d35888">2019-01-07T08:00:00+00:00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181053</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AC0F86E6201B749BFF193A83EBAB7E2" ma:contentTypeVersion="68" ma:contentTypeDescription="" ma:contentTypeScope="" ma:versionID="ee89bc93af1846dfb672425f630839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2FFD3A-2A1E-43FD-BB1F-C7E21A0034A0}"/>
</file>

<file path=customXml/itemProps2.xml><?xml version="1.0" encoding="utf-8"?>
<ds:datastoreItem xmlns:ds="http://schemas.openxmlformats.org/officeDocument/2006/customXml" ds:itemID="{CB0FB67A-4AA6-408F-AFED-C4EB8964A765}"/>
</file>

<file path=customXml/itemProps3.xml><?xml version="1.0" encoding="utf-8"?>
<ds:datastoreItem xmlns:ds="http://schemas.openxmlformats.org/officeDocument/2006/customXml" ds:itemID="{CD921F6F-B986-452E-ABF8-B4D8EAE0B6C3}"/>
</file>

<file path=customXml/itemProps4.xml><?xml version="1.0" encoding="utf-8"?>
<ds:datastoreItem xmlns:ds="http://schemas.openxmlformats.org/officeDocument/2006/customXml" ds:itemID="{7E2AA254-E013-4829-A661-FC0A534C61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Inputs</vt:lpstr>
      <vt:lpstr>Washington volumes</vt:lpstr>
      <vt:lpstr>Avg Bill by RS</vt:lpstr>
      <vt:lpstr>Rates in summary</vt:lpstr>
      <vt:lpstr>Rates in detail</vt:lpstr>
      <vt:lpstr>Temporaries</vt:lpstr>
      <vt:lpstr>Allocation = % of margin</vt:lpstr>
      <vt:lpstr>'Allocation = % of margin'!Print_Area</vt:lpstr>
      <vt:lpstr>Inputs!Print_Area</vt:lpstr>
      <vt:lpstr>'Rates in detail'!Print_Area</vt:lpstr>
      <vt:lpstr>'Rates in summary'!Print_Area</vt:lpstr>
      <vt:lpstr>Temporaries!Print_Area</vt:lpstr>
      <vt:lpstr>'Washington volumes'!Print_Area</vt:lpstr>
      <vt:lpstr>'Allocation = % of margin'!Print_Titles</vt:lpstr>
      <vt:lpstr>'Avg Bill by RS'!Print_Titles</vt:lpstr>
      <vt:lpstr>Temporaries!Print_Titles</vt:lpstr>
      <vt:lpstr>revsens</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NCS</dc:creator>
  <cp:lastModifiedBy>Walker, Kyle T.</cp:lastModifiedBy>
  <cp:lastPrinted>2018-12-17T19:26:04Z</cp:lastPrinted>
  <dcterms:created xsi:type="dcterms:W3CDTF">2005-11-10T23:09:08Z</dcterms:created>
  <dcterms:modified xsi:type="dcterms:W3CDTF">2019-01-04T21:49:14Z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0x0101006E56B4D1795A2E4DB2F0B01679ED314A007AC0F86E6201B749BFF193A83EBAB7E2</vt:lpwstr>
  </property>
  <property fmtid="{D5CDD505-2E9C-101B-9397-08002B2CF9AE}" pid="3" name="_docset_NoMedatataSyncRequired">
    <vt:lpwstr>False</vt:lpwstr>
  </property>
  <property fmtid="{D5CDD505-2E9C-101B-9397-08002B2CF9AE}" pid="4" name="IsEFSEC">
    <vt:bool>false</vt:bool>
  </property>
</Properties>
</file>