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27.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8.xml" ContentType="application/vnd.openxmlformats-officedocument.spreadsheetml.worksheet+xml"/>
  <Override PartName="/xl/worksheets/sheet16.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externalLinks/externalLink11.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38.xml" ContentType="application/vnd.openxmlformats-officedocument.spreadsheetml.externalLink+xml"/>
  <Override PartName="/xl/externalLinks/externalLink37.xml" ContentType="application/vnd.openxmlformats-officedocument.spreadsheetml.externalLink+xml"/>
  <Override PartName="/xl/externalLinks/externalLink36.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8.xml" ContentType="application/vnd.openxmlformats-officedocument.spreadsheetml.externalLink+xml"/>
  <Override PartName="/xl/externalLinks/externalLink47.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43.xml" ContentType="application/vnd.openxmlformats-officedocument.spreadsheetml.externalLink+xml"/>
  <Override PartName="/xl/externalLinks/externalLink4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52.xml" ContentType="application/vnd.openxmlformats-officedocument.spreadsheetml.externalLink+xml"/>
  <Override PartName="/xl/externalLinks/externalLink10.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0" windowWidth="8970" windowHeight="11340"/>
  </bookViews>
  <sheets>
    <sheet name="Exhibit DWS-3" sheetId="17" r:id="rId1"/>
    <sheet name="Summary" sheetId="4" r:id="rId2"/>
    <sheet name="ICNU v Company" sheetId="18" r:id="rId3"/>
    <sheet name="ICNU Restating v PF" sheetId="32" r:id="rId4"/>
    <sheet name="ICNU Adj Summary" sheetId="19" r:id="rId5"/>
    <sheet name="ICNU 3.2" sheetId="20" r:id="rId6"/>
    <sheet name="ICNU 3.6" sheetId="21" r:id="rId7"/>
    <sheet name="ICNU 3.7" sheetId="22" r:id="rId8"/>
    <sheet name="ICNU 4.1" sheetId="23" r:id="rId9"/>
    <sheet name="ICNU 4.3" sheetId="24" r:id="rId10"/>
    <sheet name="ICNU 4.11" sheetId="25" r:id="rId11"/>
    <sheet name="ICNU 4.11.1" sheetId="26" r:id="rId12"/>
    <sheet name="ICNU 4.11.2" sheetId="27" r:id="rId13"/>
    <sheet name="ICNU 4.11.3" sheetId="28" r:id="rId14"/>
    <sheet name="ICNU 4.11.4" sheetId="29" r:id="rId15"/>
    <sheet name="ICNU 5.1.1" sheetId="30" r:id="rId16"/>
    <sheet name="ICNU 9.1" sheetId="31" r:id="rId17"/>
    <sheet name="Total Adj" sheetId="13" r:id="rId18"/>
    <sheet name="Restating Adj" sheetId="1" r:id="rId19"/>
    <sheet name="Pro Forma Adj" sheetId="2" r:id="rId20"/>
    <sheet name="Interest Calc" sheetId="7" r:id="rId21"/>
    <sheet name="Variables" sheetId="3" r:id="rId22"/>
    <sheet name="Check Sheet" sheetId="5" r:id="rId23"/>
    <sheet name="Exhibit No.__(RBD-2) pg 1" sheetId="16" r:id="rId24"/>
    <sheet name="Exhibit No.__(RBD-2) pg 2-3" sheetId="15" r:id="rId25"/>
    <sheet name="Page 1.4" sheetId="12" r:id="rId26"/>
    <sheet name="Page 1.5" sheetId="10" r:id="rId27"/>
    <sheet name="Page 1.6" sheetId="11"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s>
  <definedNames>
    <definedName name="Common">[1]Variables!$AQ$27</definedName>
    <definedName name="Cost_Debt">Variables!$D$8</definedName>
    <definedName name="Cost_equity">Variables!$D$10</definedName>
    <definedName name="Cost_pref">Variables!$D$9</definedName>
    <definedName name="Debt">[1]Variables!$AQ$25</definedName>
    <definedName name="DebtCost">[1]Variables!$AT$25</definedName>
    <definedName name="gross_up_factor">Variables!$D$34</definedName>
    <definedName name="JurisNumber">[1]Variables!$AL$15</definedName>
    <definedName name="NetToGross">[1]Variables!$H$2</definedName>
    <definedName name="OpRevReturn">[1]Variables!$AY$14</definedName>
    <definedName name="Overall_ROR">Variables!$E$11</definedName>
    <definedName name="Percent_common">Variables!$C$10</definedName>
    <definedName name="Percent_debt">Variables!$C$8</definedName>
    <definedName name="Percent_pref">Variables!$C$9</definedName>
    <definedName name="Pref">[1]Variables!$AQ$26</definedName>
    <definedName name="PrefCost">[1]Variables!$AT$26</definedName>
    <definedName name="_xlnm.Print_Area" localSheetId="3">'ICNU Restating v PF'!$A$1:$D$84</definedName>
    <definedName name="_xlnm.Print_Area" localSheetId="25">'Page 1.4'!$A$1:$J$80</definedName>
    <definedName name="_xlnm.Print_Area" localSheetId="26">'Page 1.5'!$A$1:$J$80</definedName>
    <definedName name="_xlnm.Print_Area" localSheetId="27">'Page 1.6'!$A$1:$J$80</definedName>
    <definedName name="_xlnm.Print_Area" localSheetId="19">'Pro Forma Adj'!$A$5:$W$87</definedName>
    <definedName name="_xlnm.Print_Area" localSheetId="18">'Restating Adj'!$A$5:$AL$88</definedName>
    <definedName name="_xlnm.Print_Area" localSheetId="17">'Total Adj'!$A$5:$AY$88</definedName>
    <definedName name="_xlnm.Print_Titles" localSheetId="24">'Exhibit No.__(RBD-2) pg 2-3'!$A:$B,'Exhibit No.__(RBD-2) pg 2-3'!$1:$4</definedName>
    <definedName name="_xlnm.Print_Titles" localSheetId="19">'Pro Forma Adj'!$A:$A</definedName>
    <definedName name="_xlnm.Print_Titles" localSheetId="18">'Restating Adj'!$A:$A</definedName>
    <definedName name="_xlnm.Print_Titles" localSheetId="17">'Total Adj'!$A:$A</definedName>
    <definedName name="RateBase">[1]Variables!$AZ$14</definedName>
    <definedName name="RateBaseType">[1]Variables!$AP$14</definedName>
    <definedName name="Restated_Op_revenue">Summary!$F$37</definedName>
    <definedName name="Restated_rate_base">Summary!$F$64</definedName>
    <definedName name="Restated_ROE">Summary!$F$67</definedName>
    <definedName name="ROE">[1]Variables!$BA$14</definedName>
    <definedName name="Unadj_Op_revenue">Summary!$B$37</definedName>
    <definedName name="Unadj_rate_base">Summary!$B$64</definedName>
    <definedName name="Unadj_ROE">Summary!$B$67</definedName>
    <definedName name="UnadjBegEnd">[1]UnadjData!$A$5:$J$79</definedName>
    <definedName name="UnadjYE">[1]UnadjData!$L$5:$U$253</definedName>
    <definedName name="uncollectible_perc">Variables!$D$20</definedName>
    <definedName name="WA_rev_tax_perc">Variables!$D$22</definedName>
    <definedName name="Weighted_cost_debt">Variables!$E$8</definedName>
    <definedName name="Weighted_cost_equity">Variables!$E$10</definedName>
    <definedName name="Weighted_cost_pref">Variables!$E$9</definedName>
    <definedName name="WUTC_reg_fee_perc">Variables!$D$21</definedName>
  </definedNames>
  <calcPr calcId="125725" iterate="1"/>
</workbook>
</file>

<file path=xl/calcChain.xml><?xml version="1.0" encoding="utf-8"?>
<calcChain xmlns="http://schemas.openxmlformats.org/spreadsheetml/2006/main">
  <c r="D60" i="32"/>
  <c r="C60"/>
  <c r="D59"/>
  <c r="C59"/>
  <c r="D58"/>
  <c r="C58"/>
  <c r="D57"/>
  <c r="C57"/>
  <c r="D56"/>
  <c r="C56"/>
  <c r="D55"/>
  <c r="C55"/>
  <c r="D54"/>
  <c r="C54"/>
  <c r="D50"/>
  <c r="C50"/>
  <c r="D49"/>
  <c r="C49"/>
  <c r="D48"/>
  <c r="C48"/>
  <c r="D47"/>
  <c r="C47"/>
  <c r="D46"/>
  <c r="C46"/>
  <c r="D45"/>
  <c r="C45"/>
  <c r="D44"/>
  <c r="C44"/>
  <c r="D43"/>
  <c r="C43"/>
  <c r="D42"/>
  <c r="C42"/>
  <c r="D41"/>
  <c r="C41"/>
  <c r="D40"/>
  <c r="C40"/>
  <c r="D34"/>
  <c r="C34"/>
  <c r="D33"/>
  <c r="C33"/>
  <c r="D32"/>
  <c r="C32"/>
  <c r="D31"/>
  <c r="C31"/>
  <c r="D30"/>
  <c r="C30"/>
  <c r="D29"/>
  <c r="C29"/>
  <c r="D28"/>
  <c r="C28"/>
  <c r="D27"/>
  <c r="C27"/>
  <c r="D25"/>
  <c r="C25"/>
  <c r="D24"/>
  <c r="C24"/>
  <c r="D23"/>
  <c r="C23"/>
  <c r="D22"/>
  <c r="C22"/>
  <c r="D21"/>
  <c r="C21"/>
  <c r="D20"/>
  <c r="C20"/>
  <c r="D19"/>
  <c r="C19"/>
  <c r="D18"/>
  <c r="C18"/>
  <c r="D17"/>
  <c r="C17"/>
  <c r="D16"/>
  <c r="C16"/>
  <c r="D12"/>
  <c r="C12"/>
  <c r="D11"/>
  <c r="C11"/>
  <c r="D10"/>
  <c r="C10"/>
  <c r="D9"/>
  <c r="C9"/>
  <c r="D83"/>
  <c r="C83"/>
  <c r="B83"/>
  <c r="D76"/>
  <c r="C76"/>
  <c r="B76" s="1"/>
  <c r="D75"/>
  <c r="C75"/>
  <c r="B75" s="1"/>
  <c r="D74"/>
  <c r="C74"/>
  <c r="D73"/>
  <c r="C73"/>
  <c r="B73"/>
  <c r="B72"/>
  <c r="B60"/>
  <c r="B59"/>
  <c r="B58"/>
  <c r="B57"/>
  <c r="B56"/>
  <c r="B55"/>
  <c r="D62"/>
  <c r="C62"/>
  <c r="B54"/>
  <c r="B50"/>
  <c r="B49"/>
  <c r="B48"/>
  <c r="B47"/>
  <c r="B46"/>
  <c r="B45"/>
  <c r="B44"/>
  <c r="B43"/>
  <c r="B42"/>
  <c r="B41"/>
  <c r="D51"/>
  <c r="C51"/>
  <c r="B40"/>
  <c r="B36"/>
  <c r="B29"/>
  <c r="B28"/>
  <c r="B27"/>
  <c r="B25"/>
  <c r="B24"/>
  <c r="B23"/>
  <c r="B22"/>
  <c r="B21"/>
  <c r="B20"/>
  <c r="B19"/>
  <c r="B18"/>
  <c r="B17"/>
  <c r="D26"/>
  <c r="D35" s="1"/>
  <c r="B16"/>
  <c r="D13"/>
  <c r="B9"/>
  <c r="I75" i="31"/>
  <c r="G75"/>
  <c r="H75" s="1"/>
  <c r="F75" s="1"/>
  <c r="D75"/>
  <c r="B75"/>
  <c r="B74"/>
  <c r="I72"/>
  <c r="G72"/>
  <c r="H72" s="1"/>
  <c r="D72"/>
  <c r="B72"/>
  <c r="I71"/>
  <c r="G71"/>
  <c r="H71" s="1"/>
  <c r="D71"/>
  <c r="B71"/>
  <c r="I70"/>
  <c r="G70"/>
  <c r="H70" s="1"/>
  <c r="D70"/>
  <c r="B70"/>
  <c r="I69"/>
  <c r="G69"/>
  <c r="H69" s="1"/>
  <c r="D69"/>
  <c r="B69"/>
  <c r="I68"/>
  <c r="I73" s="1"/>
  <c r="G68"/>
  <c r="H68" s="1"/>
  <c r="D68"/>
  <c r="B68"/>
  <c r="B67"/>
  <c r="I65"/>
  <c r="F65" s="1"/>
  <c r="G65"/>
  <c r="H65" s="1"/>
  <c r="D65"/>
  <c r="B65"/>
  <c r="I64"/>
  <c r="F64" s="1"/>
  <c r="G64"/>
  <c r="H64" s="1"/>
  <c r="D64"/>
  <c r="B64"/>
  <c r="I63"/>
  <c r="G63"/>
  <c r="H63" s="1"/>
  <c r="D63"/>
  <c r="B63"/>
  <c r="B62"/>
  <c r="I60"/>
  <c r="G60"/>
  <c r="H60" s="1"/>
  <c r="D60"/>
  <c r="B60"/>
  <c r="I59"/>
  <c r="G59"/>
  <c r="H59" s="1"/>
  <c r="D59"/>
  <c r="B59"/>
  <c r="I58"/>
  <c r="I61" s="1"/>
  <c r="G58"/>
  <c r="H58" s="1"/>
  <c r="D58"/>
  <c r="B58"/>
  <c r="B57"/>
  <c r="I55"/>
  <c r="G55"/>
  <c r="H55" s="1"/>
  <c r="D55"/>
  <c r="B55"/>
  <c r="B54"/>
  <c r="I52"/>
  <c r="G52"/>
  <c r="H52" s="1"/>
  <c r="D52"/>
  <c r="B52"/>
  <c r="I51"/>
  <c r="G51"/>
  <c r="H51" s="1"/>
  <c r="D51"/>
  <c r="B51"/>
  <c r="I50"/>
  <c r="G50"/>
  <c r="H50" s="1"/>
  <c r="D50"/>
  <c r="B50"/>
  <c r="I49"/>
  <c r="G49"/>
  <c r="H49" s="1"/>
  <c r="D49"/>
  <c r="B49"/>
  <c r="I48"/>
  <c r="G48"/>
  <c r="H48" s="1"/>
  <c r="D48"/>
  <c r="B48"/>
  <c r="I47"/>
  <c r="G47"/>
  <c r="H47" s="1"/>
  <c r="D47"/>
  <c r="B47"/>
  <c r="I46"/>
  <c r="G46"/>
  <c r="H46" s="1"/>
  <c r="D46"/>
  <c r="B46"/>
  <c r="I45"/>
  <c r="I53" s="1"/>
  <c r="G45"/>
  <c r="H45" s="1"/>
  <c r="D45"/>
  <c r="B45"/>
  <c r="B44"/>
  <c r="I42"/>
  <c r="G42"/>
  <c r="H42" s="1"/>
  <c r="D42"/>
  <c r="B42"/>
  <c r="I41"/>
  <c r="G41"/>
  <c r="H41" s="1"/>
  <c r="F41" s="1"/>
  <c r="D41"/>
  <c r="B41"/>
  <c r="I40"/>
  <c r="H40"/>
  <c r="G40"/>
  <c r="F40"/>
  <c r="D40"/>
  <c r="B40"/>
  <c r="I39"/>
  <c r="H39"/>
  <c r="G39"/>
  <c r="F39"/>
  <c r="D39"/>
  <c r="B39"/>
  <c r="I38"/>
  <c r="H38"/>
  <c r="G38"/>
  <c r="F38"/>
  <c r="D38"/>
  <c r="B38"/>
  <c r="I37"/>
  <c r="H37"/>
  <c r="G37"/>
  <c r="F37"/>
  <c r="D37"/>
  <c r="B37"/>
  <c r="I36"/>
  <c r="H36"/>
  <c r="F36" s="1"/>
  <c r="G36"/>
  <c r="B36"/>
  <c r="I35"/>
  <c r="G35"/>
  <c r="H35" s="1"/>
  <c r="B35"/>
  <c r="I34"/>
  <c r="G34"/>
  <c r="H34" s="1"/>
  <c r="B34"/>
  <c r="I33"/>
  <c r="G33"/>
  <c r="H33" s="1"/>
  <c r="B33"/>
  <c r="I32"/>
  <c r="G32"/>
  <c r="H32" s="1"/>
  <c r="F32" s="1"/>
  <c r="B32"/>
  <c r="I31"/>
  <c r="G31"/>
  <c r="H31" s="1"/>
  <c r="B31"/>
  <c r="I30"/>
  <c r="G30"/>
  <c r="H30" s="1"/>
  <c r="F30" s="1"/>
  <c r="B30"/>
  <c r="I29"/>
  <c r="I43" s="1"/>
  <c r="G29"/>
  <c r="H29" s="1"/>
  <c r="B29"/>
  <c r="B28"/>
  <c r="I26"/>
  <c r="F26" s="1"/>
  <c r="G26"/>
  <c r="H26" s="1"/>
  <c r="D26"/>
  <c r="B26"/>
  <c r="I25"/>
  <c r="F25" s="1"/>
  <c r="G25"/>
  <c r="H25" s="1"/>
  <c r="D25"/>
  <c r="B25"/>
  <c r="I24"/>
  <c r="F24" s="1"/>
  <c r="G24"/>
  <c r="H24" s="1"/>
  <c r="D24"/>
  <c r="B24"/>
  <c r="I23"/>
  <c r="I27" s="1"/>
  <c r="G23"/>
  <c r="H23" s="1"/>
  <c r="D23"/>
  <c r="B23"/>
  <c r="B22"/>
  <c r="I20"/>
  <c r="H20"/>
  <c r="F20" s="1"/>
  <c r="G20"/>
  <c r="D20"/>
  <c r="B20"/>
  <c r="I19"/>
  <c r="G19"/>
  <c r="H19" s="1"/>
  <c r="D19"/>
  <c r="B19"/>
  <c r="I18"/>
  <c r="G18"/>
  <c r="H18" s="1"/>
  <c r="F18" s="1"/>
  <c r="D18"/>
  <c r="B18"/>
  <c r="I17"/>
  <c r="G17"/>
  <c r="H17" s="1"/>
  <c r="F17" s="1"/>
  <c r="D17"/>
  <c r="B17"/>
  <c r="B16"/>
  <c r="I14"/>
  <c r="F14" s="1"/>
  <c r="G14"/>
  <c r="H14" s="1"/>
  <c r="B14"/>
  <c r="I13"/>
  <c r="H13"/>
  <c r="F13" s="1"/>
  <c r="G13"/>
  <c r="B13"/>
  <c r="I12"/>
  <c r="G12"/>
  <c r="H12" s="1"/>
  <c r="B12"/>
  <c r="I11"/>
  <c r="G11"/>
  <c r="H11" s="1"/>
  <c r="B11"/>
  <c r="I10"/>
  <c r="G10"/>
  <c r="H10" s="1"/>
  <c r="B10"/>
  <c r="I9"/>
  <c r="G9"/>
  <c r="H9" s="1"/>
  <c r="F9" s="1"/>
  <c r="B9"/>
  <c r="B8"/>
  <c r="D64" i="32" l="1"/>
  <c r="B74"/>
  <c r="B62"/>
  <c r="B10"/>
  <c r="B11"/>
  <c r="B12"/>
  <c r="B30"/>
  <c r="B31"/>
  <c r="B32"/>
  <c r="B33"/>
  <c r="B34"/>
  <c r="D71"/>
  <c r="D77" s="1"/>
  <c r="D80" s="1"/>
  <c r="D82" s="1"/>
  <c r="D84" s="1"/>
  <c r="D37"/>
  <c r="C64"/>
  <c r="B64" s="1"/>
  <c r="B51"/>
  <c r="C13"/>
  <c r="C26"/>
  <c r="I15" i="31"/>
  <c r="F11"/>
  <c r="I21"/>
  <c r="F19"/>
  <c r="F33"/>
  <c r="F34"/>
  <c r="F42"/>
  <c r="F55"/>
  <c r="F63"/>
  <c r="F12"/>
  <c r="F21"/>
  <c r="F31"/>
  <c r="F35"/>
  <c r="F46"/>
  <c r="F47"/>
  <c r="F48"/>
  <c r="F49"/>
  <c r="F50"/>
  <c r="F51"/>
  <c r="F52"/>
  <c r="F59"/>
  <c r="F60"/>
  <c r="F69"/>
  <c r="F70"/>
  <c r="F71"/>
  <c r="F72"/>
  <c r="F10"/>
  <c r="F15" s="1"/>
  <c r="F23"/>
  <c r="F27" s="1"/>
  <c r="F29"/>
  <c r="F43" s="1"/>
  <c r="F45"/>
  <c r="F53" s="1"/>
  <c r="F58"/>
  <c r="F61" s="1"/>
  <c r="F68"/>
  <c r="F73" s="1"/>
  <c r="C71" i="32" l="1"/>
  <c r="B13"/>
  <c r="B26"/>
  <c r="C35"/>
  <c r="B35" s="1"/>
  <c r="D68"/>
  <c r="D67"/>
  <c r="F31" i="30"/>
  <c r="F29"/>
  <c r="B29"/>
  <c r="G28"/>
  <c r="F28"/>
  <c r="I28" s="1"/>
  <c r="D28"/>
  <c r="B28"/>
  <c r="G27"/>
  <c r="F27"/>
  <c r="I27" s="1"/>
  <c r="I29" s="1"/>
  <c r="D27"/>
  <c r="B27"/>
  <c r="B26"/>
  <c r="F24"/>
  <c r="B24"/>
  <c r="G23"/>
  <c r="F23"/>
  <c r="I23" s="1"/>
  <c r="D23"/>
  <c r="B23"/>
  <c r="G22"/>
  <c r="F22"/>
  <c r="I22" s="1"/>
  <c r="D22"/>
  <c r="B22"/>
  <c r="B21"/>
  <c r="F19"/>
  <c r="B19"/>
  <c r="G18"/>
  <c r="F18"/>
  <c r="I18" s="1"/>
  <c r="D18"/>
  <c r="B18"/>
  <c r="G17"/>
  <c r="F17"/>
  <c r="I17" s="1"/>
  <c r="D17"/>
  <c r="B17"/>
  <c r="G16"/>
  <c r="F16"/>
  <c r="I16" s="1"/>
  <c r="D16"/>
  <c r="B16"/>
  <c r="G15"/>
  <c r="F15"/>
  <c r="I15" s="1"/>
  <c r="I19" s="1"/>
  <c r="D15"/>
  <c r="B15"/>
  <c r="B14"/>
  <c r="F12"/>
  <c r="B12"/>
  <c r="G11"/>
  <c r="F11"/>
  <c r="I11" s="1"/>
  <c r="D11"/>
  <c r="B11"/>
  <c r="G10"/>
  <c r="F10"/>
  <c r="I10" s="1"/>
  <c r="I12" s="1"/>
  <c r="D10"/>
  <c r="B10"/>
  <c r="B9"/>
  <c r="C77" i="32" l="1"/>
  <c r="B71"/>
  <c r="C37"/>
  <c r="I24" i="30"/>
  <c r="I31" s="1"/>
  <c r="C68" i="32" l="1"/>
  <c r="B68" s="1"/>
  <c r="C67"/>
  <c r="B37"/>
  <c r="B67" s="1"/>
  <c r="B77"/>
  <c r="C80"/>
  <c r="F29" i="29"/>
  <c r="F28"/>
  <c r="E14"/>
  <c r="E13"/>
  <c r="E15" s="1"/>
  <c r="C18" i="28"/>
  <c r="C34" s="1"/>
  <c r="D17"/>
  <c r="D18" s="1"/>
  <c r="D34" s="1"/>
  <c r="C17"/>
  <c r="B17"/>
  <c r="B18" s="1"/>
  <c r="E39" i="27"/>
  <c r="E41" s="1"/>
  <c r="D39"/>
  <c r="D41" s="1"/>
  <c r="C39"/>
  <c r="C41" s="1"/>
  <c r="M26"/>
  <c r="M25"/>
  <c r="D21"/>
  <c r="D20"/>
  <c r="D22" s="1"/>
  <c r="D17"/>
  <c r="D30" i="26"/>
  <c r="D27"/>
  <c r="D29" s="1"/>
  <c r="E31" s="1"/>
  <c r="E16"/>
  <c r="E47" i="25"/>
  <c r="H47" s="1"/>
  <c r="E45"/>
  <c r="H45" s="1"/>
  <c r="E44"/>
  <c r="H44" s="1"/>
  <c r="E40"/>
  <c r="H40" s="1"/>
  <c r="E39"/>
  <c r="H39" s="1"/>
  <c r="E38"/>
  <c r="E34"/>
  <c r="H34" s="1"/>
  <c r="E33"/>
  <c r="H33" s="1"/>
  <c r="E32"/>
  <c r="H30"/>
  <c r="H29"/>
  <c r="E23"/>
  <c r="H23" s="1"/>
  <c r="E22"/>
  <c r="E17"/>
  <c r="H17" s="1"/>
  <c r="E15"/>
  <c r="H15" s="1"/>
  <c r="E10"/>
  <c r="H10" s="1"/>
  <c r="B80" i="32" l="1"/>
  <c r="C82"/>
  <c r="E41" i="25"/>
  <c r="H18"/>
  <c r="E24"/>
  <c r="E35"/>
  <c r="F30" i="29"/>
  <c r="F32" s="1"/>
  <c r="B34" i="28"/>
  <c r="F18"/>
  <c r="G18" s="1"/>
  <c r="E33" i="26"/>
  <c r="E18" i="25"/>
  <c r="H22"/>
  <c r="H24" s="1"/>
  <c r="H32"/>
  <c r="H35" s="1"/>
  <c r="H38"/>
  <c r="H41" s="1"/>
  <c r="B82" i="32" l="1"/>
  <c r="C84"/>
  <c r="B84" s="1"/>
  <c r="H57" i="24"/>
  <c r="F26" i="23"/>
  <c r="I26" s="1"/>
  <c r="F25"/>
  <c r="I25" s="1"/>
  <c r="F24"/>
  <c r="I24" s="1"/>
  <c r="F23"/>
  <c r="I23" s="1"/>
  <c r="F22"/>
  <c r="I22" s="1"/>
  <c r="F21"/>
  <c r="I21" s="1"/>
  <c r="F20"/>
  <c r="I20" s="1"/>
  <c r="F18"/>
  <c r="I18" s="1"/>
  <c r="F17"/>
  <c r="I17" s="1"/>
  <c r="F16"/>
  <c r="I16" s="1"/>
  <c r="F15"/>
  <c r="I15" s="1"/>
  <c r="F14"/>
  <c r="I14" s="1"/>
  <c r="F13"/>
  <c r="I13" s="1"/>
  <c r="F12"/>
  <c r="I12" s="1"/>
  <c r="F11"/>
  <c r="I11" s="1"/>
  <c r="F10"/>
  <c r="I10" s="1"/>
  <c r="F9"/>
  <c r="F27" s="1"/>
  <c r="I9" l="1"/>
  <c r="I27" s="1"/>
  <c r="F9" i="22" l="1"/>
  <c r="I9" s="1"/>
  <c r="I18" s="1"/>
  <c r="I20" s="1"/>
  <c r="F23" i="21"/>
  <c r="F18"/>
  <c r="I18" s="1"/>
  <c r="H13"/>
  <c r="I13" s="1"/>
  <c r="F12"/>
  <c r="I12" s="1"/>
  <c r="F11"/>
  <c r="I11" s="1"/>
  <c r="F10"/>
  <c r="I10" s="1"/>
  <c r="F25" i="20"/>
  <c r="I25" s="1"/>
  <c r="F23"/>
  <c r="I23" s="1"/>
  <c r="F21"/>
  <c r="I21" s="1"/>
  <c r="I14"/>
  <c r="I13"/>
  <c r="F12"/>
  <c r="I12" s="1"/>
  <c r="F11"/>
  <c r="I11" s="1"/>
  <c r="F10"/>
  <c r="I10" s="1"/>
  <c r="F9"/>
  <c r="F18" i="22" l="1"/>
  <c r="I15" i="21"/>
  <c r="F15"/>
  <c r="F24" s="1"/>
  <c r="F25" s="1"/>
  <c r="F16" i="20"/>
  <c r="I9"/>
  <c r="I16" s="1"/>
  <c r="K86" i="19" l="1"/>
  <c r="J86"/>
  <c r="I86"/>
  <c r="H86"/>
  <c r="G86"/>
  <c r="F86"/>
  <c r="E86"/>
  <c r="D86"/>
  <c r="C86"/>
  <c r="K79"/>
  <c r="J79"/>
  <c r="I79"/>
  <c r="G79"/>
  <c r="F79"/>
  <c r="E79"/>
  <c r="D79"/>
  <c r="C79"/>
  <c r="K78"/>
  <c r="J78"/>
  <c r="I78"/>
  <c r="G78"/>
  <c r="F78"/>
  <c r="E78"/>
  <c r="D78"/>
  <c r="C78"/>
  <c r="K77"/>
  <c r="J77"/>
  <c r="I77"/>
  <c r="H77"/>
  <c r="G77"/>
  <c r="F77"/>
  <c r="E77"/>
  <c r="D77"/>
  <c r="C77"/>
  <c r="B77" s="1"/>
  <c r="K76"/>
  <c r="J76"/>
  <c r="I76"/>
  <c r="H76"/>
  <c r="G76"/>
  <c r="F76"/>
  <c r="E76"/>
  <c r="D76"/>
  <c r="C76"/>
  <c r="B75"/>
  <c r="K64"/>
  <c r="J64"/>
  <c r="I64"/>
  <c r="H64"/>
  <c r="G64"/>
  <c r="F64"/>
  <c r="E64"/>
  <c r="D64"/>
  <c r="C64"/>
  <c r="K63"/>
  <c r="J63"/>
  <c r="I63"/>
  <c r="H63"/>
  <c r="G63"/>
  <c r="F63"/>
  <c r="E63"/>
  <c r="D63"/>
  <c r="C63"/>
  <c r="K62"/>
  <c r="J62"/>
  <c r="I62"/>
  <c r="H62"/>
  <c r="G62"/>
  <c r="F62"/>
  <c r="E62"/>
  <c r="D62"/>
  <c r="C62"/>
  <c r="K61"/>
  <c r="J61"/>
  <c r="I61"/>
  <c r="H61"/>
  <c r="G61"/>
  <c r="F61"/>
  <c r="E61"/>
  <c r="D61"/>
  <c r="C61"/>
  <c r="K60"/>
  <c r="J60"/>
  <c r="I60"/>
  <c r="H60"/>
  <c r="G60"/>
  <c r="F60"/>
  <c r="E60"/>
  <c r="D60"/>
  <c r="C60"/>
  <c r="K59"/>
  <c r="J59"/>
  <c r="I59"/>
  <c r="H59"/>
  <c r="G59"/>
  <c r="F59"/>
  <c r="E59"/>
  <c r="D59"/>
  <c r="C59"/>
  <c r="K58"/>
  <c r="J58"/>
  <c r="I58"/>
  <c r="H58"/>
  <c r="G58"/>
  <c r="F58"/>
  <c r="E58"/>
  <c r="D58"/>
  <c r="C58"/>
  <c r="K57"/>
  <c r="J57"/>
  <c r="I57"/>
  <c r="H57"/>
  <c r="G57"/>
  <c r="F57"/>
  <c r="E57"/>
  <c r="D57"/>
  <c r="C57"/>
  <c r="K53"/>
  <c r="J53"/>
  <c r="I53"/>
  <c r="H53"/>
  <c r="G53"/>
  <c r="F53"/>
  <c r="E53"/>
  <c r="D53"/>
  <c r="C53"/>
  <c r="K52"/>
  <c r="J52"/>
  <c r="I52"/>
  <c r="H52"/>
  <c r="G52"/>
  <c r="F52"/>
  <c r="E52"/>
  <c r="D52"/>
  <c r="C52"/>
  <c r="K51"/>
  <c r="J51"/>
  <c r="I51"/>
  <c r="H51"/>
  <c r="G51"/>
  <c r="F51"/>
  <c r="E51"/>
  <c r="D51"/>
  <c r="C51"/>
  <c r="K50"/>
  <c r="J50"/>
  <c r="I50"/>
  <c r="H50"/>
  <c r="G50"/>
  <c r="F50"/>
  <c r="E50"/>
  <c r="D50"/>
  <c r="C50"/>
  <c r="K49"/>
  <c r="J49"/>
  <c r="I49"/>
  <c r="H49"/>
  <c r="G49"/>
  <c r="F49"/>
  <c r="E49"/>
  <c r="D49"/>
  <c r="C49"/>
  <c r="K48"/>
  <c r="J48"/>
  <c r="I48"/>
  <c r="H48"/>
  <c r="G48"/>
  <c r="F48"/>
  <c r="E48"/>
  <c r="D48"/>
  <c r="C48"/>
  <c r="K47"/>
  <c r="J47"/>
  <c r="I47"/>
  <c r="H47"/>
  <c r="G47"/>
  <c r="F47"/>
  <c r="E47"/>
  <c r="D47"/>
  <c r="C47"/>
  <c r="K46"/>
  <c r="J46"/>
  <c r="I46"/>
  <c r="H46"/>
  <c r="G46"/>
  <c r="F46"/>
  <c r="E46"/>
  <c r="D46"/>
  <c r="C46"/>
  <c r="K45"/>
  <c r="J45"/>
  <c r="I45"/>
  <c r="H45"/>
  <c r="G45"/>
  <c r="F45"/>
  <c r="E45"/>
  <c r="D45"/>
  <c r="C45"/>
  <c r="K44"/>
  <c r="J44"/>
  <c r="I44"/>
  <c r="H44"/>
  <c r="G44"/>
  <c r="F44"/>
  <c r="E44"/>
  <c r="D44"/>
  <c r="C44"/>
  <c r="K43"/>
  <c r="J43"/>
  <c r="I43"/>
  <c r="H43"/>
  <c r="G43"/>
  <c r="F43"/>
  <c r="E43"/>
  <c r="D43"/>
  <c r="C43"/>
  <c r="B39"/>
  <c r="K37"/>
  <c r="J37"/>
  <c r="I37"/>
  <c r="H37"/>
  <c r="G37"/>
  <c r="F37"/>
  <c r="E37"/>
  <c r="D37"/>
  <c r="C37"/>
  <c r="K36"/>
  <c r="J36"/>
  <c r="I36"/>
  <c r="H36"/>
  <c r="G36"/>
  <c r="F36"/>
  <c r="E36"/>
  <c r="D36"/>
  <c r="C36"/>
  <c r="K35"/>
  <c r="J35"/>
  <c r="I35"/>
  <c r="H35"/>
  <c r="G35"/>
  <c r="F35"/>
  <c r="E35"/>
  <c r="D35"/>
  <c r="C35"/>
  <c r="K34"/>
  <c r="J34"/>
  <c r="I34"/>
  <c r="H34"/>
  <c r="G34"/>
  <c r="F34"/>
  <c r="E34"/>
  <c r="D34"/>
  <c r="C34"/>
  <c r="K33"/>
  <c r="J33"/>
  <c r="G33"/>
  <c r="F33"/>
  <c r="E33"/>
  <c r="D33"/>
  <c r="C33"/>
  <c r="K32"/>
  <c r="J32"/>
  <c r="I32"/>
  <c r="H32"/>
  <c r="G32"/>
  <c r="F32"/>
  <c r="E32"/>
  <c r="D32"/>
  <c r="C32"/>
  <c r="K31"/>
  <c r="J31"/>
  <c r="I31"/>
  <c r="H31"/>
  <c r="G31"/>
  <c r="F31"/>
  <c r="E31"/>
  <c r="D31"/>
  <c r="C31"/>
  <c r="K30"/>
  <c r="J30"/>
  <c r="I30"/>
  <c r="H30"/>
  <c r="G30"/>
  <c r="F30"/>
  <c r="E30"/>
  <c r="D30"/>
  <c r="C30"/>
  <c r="K28"/>
  <c r="J28"/>
  <c r="I28"/>
  <c r="G28"/>
  <c r="F28"/>
  <c r="E28"/>
  <c r="D28"/>
  <c r="C28"/>
  <c r="K27"/>
  <c r="J27"/>
  <c r="I27"/>
  <c r="H27"/>
  <c r="G27"/>
  <c r="F27"/>
  <c r="E27"/>
  <c r="D27"/>
  <c r="C27"/>
  <c r="K26"/>
  <c r="J26"/>
  <c r="I26"/>
  <c r="H26"/>
  <c r="G26"/>
  <c r="F26"/>
  <c r="E26"/>
  <c r="D26"/>
  <c r="C26"/>
  <c r="K25"/>
  <c r="J25"/>
  <c r="I25"/>
  <c r="H25"/>
  <c r="G25"/>
  <c r="F25"/>
  <c r="E25"/>
  <c r="D25"/>
  <c r="C25"/>
  <c r="K24"/>
  <c r="J24"/>
  <c r="I24"/>
  <c r="G24"/>
  <c r="F24"/>
  <c r="E24"/>
  <c r="D24"/>
  <c r="C24"/>
  <c r="K23"/>
  <c r="J23"/>
  <c r="G23"/>
  <c r="F23"/>
  <c r="E23"/>
  <c r="D23"/>
  <c r="C23"/>
  <c r="K22"/>
  <c r="J22"/>
  <c r="G22"/>
  <c r="F22"/>
  <c r="E22"/>
  <c r="D22"/>
  <c r="C22"/>
  <c r="K21"/>
  <c r="J21"/>
  <c r="I21"/>
  <c r="H21"/>
  <c r="G21"/>
  <c r="F21"/>
  <c r="E21"/>
  <c r="D21"/>
  <c r="C21"/>
  <c r="K20"/>
  <c r="J20"/>
  <c r="I20"/>
  <c r="H20"/>
  <c r="G20"/>
  <c r="F20"/>
  <c r="E20"/>
  <c r="D20"/>
  <c r="C20"/>
  <c r="K19"/>
  <c r="J19"/>
  <c r="H19"/>
  <c r="G19"/>
  <c r="F19"/>
  <c r="E19"/>
  <c r="D19"/>
  <c r="C19"/>
  <c r="K15"/>
  <c r="J15"/>
  <c r="I15"/>
  <c r="H15"/>
  <c r="G15"/>
  <c r="F15"/>
  <c r="E15"/>
  <c r="D15"/>
  <c r="C15"/>
  <c r="K14"/>
  <c r="J14"/>
  <c r="H14"/>
  <c r="G14"/>
  <c r="F14"/>
  <c r="E14"/>
  <c r="D14"/>
  <c r="C14"/>
  <c r="K13"/>
  <c r="J13"/>
  <c r="I13"/>
  <c r="H13"/>
  <c r="G13"/>
  <c r="F13"/>
  <c r="E13"/>
  <c r="D13"/>
  <c r="C13"/>
  <c r="K12"/>
  <c r="J12"/>
  <c r="I12"/>
  <c r="H12"/>
  <c r="G12"/>
  <c r="F12"/>
  <c r="E12"/>
  <c r="D12"/>
  <c r="C12"/>
  <c r="E47" i="18"/>
  <c r="B53" i="19" l="1"/>
  <c r="B60"/>
  <c r="B64"/>
  <c r="B46"/>
  <c r="B34"/>
  <c r="B35"/>
  <c r="K54"/>
  <c r="B45"/>
  <c r="B49"/>
  <c r="B51"/>
  <c r="C65"/>
  <c r="E65"/>
  <c r="K65"/>
  <c r="B59"/>
  <c r="B63"/>
  <c r="B13"/>
  <c r="B15"/>
  <c r="B21"/>
  <c r="B25"/>
  <c r="B26"/>
  <c r="B30"/>
  <c r="B32"/>
  <c r="B43"/>
  <c r="E54"/>
  <c r="E67" s="1"/>
  <c r="C16"/>
  <c r="E29"/>
  <c r="E38" s="1"/>
  <c r="K29"/>
  <c r="K38" s="1"/>
  <c r="B27"/>
  <c r="B31"/>
  <c r="B36"/>
  <c r="B47"/>
  <c r="B50"/>
  <c r="B61"/>
  <c r="B76"/>
  <c r="B86"/>
  <c r="D16"/>
  <c r="F16"/>
  <c r="G16"/>
  <c r="H16"/>
  <c r="J16"/>
  <c r="B20"/>
  <c r="B37"/>
  <c r="B44"/>
  <c r="B48"/>
  <c r="B52"/>
  <c r="D65"/>
  <c r="F65"/>
  <c r="G65"/>
  <c r="H65"/>
  <c r="I65"/>
  <c r="B58"/>
  <c r="B62"/>
  <c r="B12"/>
  <c r="E16"/>
  <c r="K16"/>
  <c r="K74" s="1"/>
  <c r="K80" s="1"/>
  <c r="K83" s="1"/>
  <c r="K85" s="1"/>
  <c r="K87" s="1"/>
  <c r="C29"/>
  <c r="C38" s="1"/>
  <c r="D29"/>
  <c r="D38" s="1"/>
  <c r="F29"/>
  <c r="F38" s="1"/>
  <c r="G29"/>
  <c r="G38" s="1"/>
  <c r="J29"/>
  <c r="J38" s="1"/>
  <c r="J40" s="1"/>
  <c r="C54"/>
  <c r="C67" s="1"/>
  <c r="D54"/>
  <c r="D67" s="1"/>
  <c r="F54"/>
  <c r="F67" s="1"/>
  <c r="G54"/>
  <c r="G67" s="1"/>
  <c r="H54"/>
  <c r="H67" s="1"/>
  <c r="I54"/>
  <c r="I67" s="1"/>
  <c r="J54"/>
  <c r="B57"/>
  <c r="J65"/>
  <c r="F40"/>
  <c r="C74"/>
  <c r="C80" s="1"/>
  <c r="C83" s="1"/>
  <c r="C85" s="1"/>
  <c r="C87" s="1"/>
  <c r="C40"/>
  <c r="D74"/>
  <c r="D80" s="1"/>
  <c r="D83" s="1"/>
  <c r="D85" s="1"/>
  <c r="D87" s="1"/>
  <c r="D40"/>
  <c r="G74"/>
  <c r="G80" s="1"/>
  <c r="G83" s="1"/>
  <c r="G85" s="1"/>
  <c r="G87" s="1"/>
  <c r="G40"/>
  <c r="E74"/>
  <c r="E80" s="1"/>
  <c r="E83" s="1"/>
  <c r="E85" s="1"/>
  <c r="E87" s="1"/>
  <c r="E40"/>
  <c r="K40"/>
  <c r="E69" i="18"/>
  <c r="E68"/>
  <c r="E67"/>
  <c r="E66"/>
  <c r="E65"/>
  <c r="E64"/>
  <c r="E63"/>
  <c r="E62"/>
  <c r="E61"/>
  <c r="E60"/>
  <c r="E59"/>
  <c r="E58"/>
  <c r="E70"/>
  <c r="D70"/>
  <c r="D69"/>
  <c r="D68"/>
  <c r="D67"/>
  <c r="D66"/>
  <c r="D65"/>
  <c r="D64"/>
  <c r="D63"/>
  <c r="D62"/>
  <c r="D61"/>
  <c r="D60"/>
  <c r="D59"/>
  <c r="D58"/>
  <c r="E55"/>
  <c r="E54"/>
  <c r="E53"/>
  <c r="E52"/>
  <c r="E51"/>
  <c r="E50"/>
  <c r="E49"/>
  <c r="D55"/>
  <c r="D54"/>
  <c r="D53"/>
  <c r="D52"/>
  <c r="D51"/>
  <c r="D50"/>
  <c r="D49"/>
  <c r="D48"/>
  <c r="D47"/>
  <c r="E48"/>
  <c r="D44"/>
  <c r="E41"/>
  <c r="E40"/>
  <c r="E39"/>
  <c r="E38"/>
  <c r="E37"/>
  <c r="D41"/>
  <c r="D40"/>
  <c r="D39"/>
  <c r="G75"/>
  <c r="E10"/>
  <c r="D10"/>
  <c r="E85"/>
  <c r="D85"/>
  <c r="E84"/>
  <c r="H84" s="1"/>
  <c r="E83"/>
  <c r="H83" s="1"/>
  <c r="G82"/>
  <c r="G85" s="1"/>
  <c r="E82"/>
  <c r="H82" s="1"/>
  <c r="H81"/>
  <c r="E81"/>
  <c r="G71"/>
  <c r="G73" s="1"/>
  <c r="E44"/>
  <c r="F44" s="1"/>
  <c r="H44" s="1"/>
  <c r="H35"/>
  <c r="A1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L79" i="2"/>
  <c r="H79" i="19" s="1"/>
  <c r="B79" s="1"/>
  <c r="K67" l="1"/>
  <c r="J74"/>
  <c r="J80" s="1"/>
  <c r="J83" s="1"/>
  <c r="J85" s="1"/>
  <c r="J87" s="1"/>
  <c r="F74"/>
  <c r="F80" s="1"/>
  <c r="F83" s="1"/>
  <c r="F85" s="1"/>
  <c r="F87" s="1"/>
  <c r="B54"/>
  <c r="B65"/>
  <c r="J67"/>
  <c r="K70"/>
  <c r="K71"/>
  <c r="E70"/>
  <c r="E71"/>
  <c r="G71"/>
  <c r="D71"/>
  <c r="D70"/>
  <c r="C71"/>
  <c r="C70"/>
  <c r="J71"/>
  <c r="J70"/>
  <c r="F71"/>
  <c r="F70"/>
  <c r="H85" i="18"/>
  <c r="F69"/>
  <c r="F67"/>
  <c r="H67" s="1"/>
  <c r="F65"/>
  <c r="H65" s="1"/>
  <c r="F63"/>
  <c r="H63" s="1"/>
  <c r="F61"/>
  <c r="H61" s="1"/>
  <c r="F59"/>
  <c r="H59" s="1"/>
  <c r="F55"/>
  <c r="H55" s="1"/>
  <c r="F53"/>
  <c r="H53" s="1"/>
  <c r="F51"/>
  <c r="H51" s="1"/>
  <c r="F49"/>
  <c r="H49" s="1"/>
  <c r="F47"/>
  <c r="F41"/>
  <c r="H41" s="1"/>
  <c r="F39"/>
  <c r="H39" s="1"/>
  <c r="F70"/>
  <c r="F68"/>
  <c r="H68" s="1"/>
  <c r="F66"/>
  <c r="H66" s="1"/>
  <c r="F64"/>
  <c r="H64" s="1"/>
  <c r="F62"/>
  <c r="H62" s="1"/>
  <c r="F60"/>
  <c r="H60" s="1"/>
  <c r="F58"/>
  <c r="H58" s="1"/>
  <c r="F54"/>
  <c r="H54" s="1"/>
  <c r="F52"/>
  <c r="H52" s="1"/>
  <c r="F50"/>
  <c r="H50" s="1"/>
  <c r="F48"/>
  <c r="H48" s="1"/>
  <c r="F40"/>
  <c r="F10"/>
  <c r="H10" s="1"/>
  <c r="H47"/>
  <c r="H40"/>
  <c r="H69"/>
  <c r="H70"/>
  <c r="L78" i="2"/>
  <c r="H78" i="19" s="1"/>
  <c r="B78" s="1"/>
  <c r="L28" i="2"/>
  <c r="H28" i="19" s="1"/>
  <c r="B28" s="1"/>
  <c r="L24" i="2"/>
  <c r="H24" i="19" s="1"/>
  <c r="B24" s="1"/>
  <c r="L23" i="2"/>
  <c r="H23" i="19" s="1"/>
  <c r="L22" i="2"/>
  <c r="H22" i="19" s="1"/>
  <c r="H29" l="1"/>
  <c r="B67"/>
  <c r="H28" i="2"/>
  <c r="H26"/>
  <c r="H25"/>
  <c r="H24"/>
  <c r="H23"/>
  <c r="H22"/>
  <c r="H21"/>
  <c r="H19"/>
  <c r="H28" i="1"/>
  <c r="H74" i="19" l="1"/>
  <c r="D12" i="1"/>
  <c r="V22" i="2"/>
  <c r="V21"/>
  <c r="V19"/>
  <c r="W23"/>
  <c r="W22"/>
  <c r="W19"/>
  <c r="W15"/>
  <c r="W14"/>
  <c r="H80" i="19" l="1"/>
  <c r="R22" i="1"/>
  <c r="R19"/>
  <c r="R14"/>
  <c r="B72" i="17"/>
  <c r="F72" s="1"/>
  <c r="B73"/>
  <c r="D73"/>
  <c r="F73" s="1"/>
  <c r="J73" s="1"/>
  <c r="N73" s="1"/>
  <c r="H73"/>
  <c r="B74"/>
  <c r="B75"/>
  <c r="D75"/>
  <c r="F75" s="1"/>
  <c r="B76"/>
  <c r="D76"/>
  <c r="F76" s="1"/>
  <c r="B83"/>
  <c r="D83"/>
  <c r="F83" s="1"/>
  <c r="J83" s="1"/>
  <c r="N83" s="1"/>
  <c r="H83"/>
  <c r="L62"/>
  <c r="N61"/>
  <c r="H60"/>
  <c r="D60"/>
  <c r="B60"/>
  <c r="H59"/>
  <c r="D59"/>
  <c r="B59"/>
  <c r="H58"/>
  <c r="D58"/>
  <c r="B58"/>
  <c r="H57"/>
  <c r="D57"/>
  <c r="B57"/>
  <c r="H56"/>
  <c r="D56"/>
  <c r="B56"/>
  <c r="H55"/>
  <c r="D55"/>
  <c r="B55"/>
  <c r="H54"/>
  <c r="D54"/>
  <c r="B54"/>
  <c r="L51"/>
  <c r="L64" s="1"/>
  <c r="H50"/>
  <c r="D50"/>
  <c r="B50"/>
  <c r="H49"/>
  <c r="D49"/>
  <c r="B49"/>
  <c r="H48"/>
  <c r="D48"/>
  <c r="B48"/>
  <c r="H47"/>
  <c r="D47"/>
  <c r="B47"/>
  <c r="F47" s="1"/>
  <c r="J47" s="1"/>
  <c r="N47" s="1"/>
  <c r="H46"/>
  <c r="D46"/>
  <c r="B46"/>
  <c r="H45"/>
  <c r="D45"/>
  <c r="B45"/>
  <c r="F45" s="1"/>
  <c r="J45" s="1"/>
  <c r="N45" s="1"/>
  <c r="H44"/>
  <c r="D44"/>
  <c r="B44"/>
  <c r="H43"/>
  <c r="D43"/>
  <c r="B43"/>
  <c r="F43" s="1"/>
  <c r="J43" s="1"/>
  <c r="N43" s="1"/>
  <c r="H42"/>
  <c r="D42"/>
  <c r="B42"/>
  <c r="H41"/>
  <c r="D41"/>
  <c r="B41"/>
  <c r="F41" s="1"/>
  <c r="J41" s="1"/>
  <c r="N41" s="1"/>
  <c r="H40"/>
  <c r="D40"/>
  <c r="D51" s="1"/>
  <c r="B40"/>
  <c r="H34"/>
  <c r="D34"/>
  <c r="B34"/>
  <c r="F34" s="1"/>
  <c r="J34" s="1"/>
  <c r="N34" s="1"/>
  <c r="H33"/>
  <c r="D33"/>
  <c r="B33"/>
  <c r="H32"/>
  <c r="D32"/>
  <c r="B32"/>
  <c r="F32" s="1"/>
  <c r="J32" s="1"/>
  <c r="N32" s="1"/>
  <c r="N31"/>
  <c r="L31"/>
  <c r="J31"/>
  <c r="H31"/>
  <c r="F31"/>
  <c r="D31"/>
  <c r="B31"/>
  <c r="H29"/>
  <c r="D29"/>
  <c r="B29"/>
  <c r="F29" s="1"/>
  <c r="J29" s="1"/>
  <c r="H28"/>
  <c r="D28"/>
  <c r="B28"/>
  <c r="H27"/>
  <c r="D27"/>
  <c r="B27"/>
  <c r="F27" s="1"/>
  <c r="J27" s="1"/>
  <c r="N27" s="1"/>
  <c r="B25"/>
  <c r="H24"/>
  <c r="D24"/>
  <c r="B24"/>
  <c r="F24" s="1"/>
  <c r="J24" s="1"/>
  <c r="N24" s="1"/>
  <c r="D23"/>
  <c r="B23"/>
  <c r="D22"/>
  <c r="B22"/>
  <c r="F22" s="1"/>
  <c r="D21"/>
  <c r="B21"/>
  <c r="D20"/>
  <c r="B20"/>
  <c r="F20" s="1"/>
  <c r="B19"/>
  <c r="D18"/>
  <c r="B18"/>
  <c r="H17"/>
  <c r="D17"/>
  <c r="B17"/>
  <c r="B16"/>
  <c r="B26" s="1"/>
  <c r="D12"/>
  <c r="B12"/>
  <c r="B11"/>
  <c r="H10"/>
  <c r="D10"/>
  <c r="B10"/>
  <c r="H9"/>
  <c r="B9"/>
  <c r="M23" i="2"/>
  <c r="I23" i="19" s="1"/>
  <c r="B23" s="1"/>
  <c r="M22" i="2"/>
  <c r="I22" i="19" s="1"/>
  <c r="B22" s="1"/>
  <c r="M19" i="2"/>
  <c r="I19" i="19" s="1"/>
  <c r="M14" i="2"/>
  <c r="I14" i="19" s="1"/>
  <c r="I29" l="1"/>
  <c r="B19"/>
  <c r="I16"/>
  <c r="B14"/>
  <c r="H83"/>
  <c r="F18" i="17"/>
  <c r="F49"/>
  <c r="J49" s="1"/>
  <c r="N49" s="1"/>
  <c r="D62"/>
  <c r="D64" s="1"/>
  <c r="F55"/>
  <c r="J55" s="1"/>
  <c r="N55" s="1"/>
  <c r="F57"/>
  <c r="J57" s="1"/>
  <c r="N57" s="1"/>
  <c r="F59"/>
  <c r="J59" s="1"/>
  <c r="N59" s="1"/>
  <c r="F60"/>
  <c r="J60" s="1"/>
  <c r="N60" s="1"/>
  <c r="F10"/>
  <c r="J10" s="1"/>
  <c r="N10" s="1"/>
  <c r="F12"/>
  <c r="F17"/>
  <c r="J17" s="1"/>
  <c r="N17" s="1"/>
  <c r="F21"/>
  <c r="F23"/>
  <c r="F28"/>
  <c r="J28" s="1"/>
  <c r="N28" s="1"/>
  <c r="F33"/>
  <c r="J33" s="1"/>
  <c r="N33" s="1"/>
  <c r="B51"/>
  <c r="H51"/>
  <c r="F42"/>
  <c r="J42" s="1"/>
  <c r="N42" s="1"/>
  <c r="F44"/>
  <c r="J44" s="1"/>
  <c r="N44" s="1"/>
  <c r="F46"/>
  <c r="J46" s="1"/>
  <c r="N46" s="1"/>
  <c r="F48"/>
  <c r="J48" s="1"/>
  <c r="N48" s="1"/>
  <c r="F50"/>
  <c r="J50" s="1"/>
  <c r="N50" s="1"/>
  <c r="B62"/>
  <c r="H62"/>
  <c r="F56"/>
  <c r="J56" s="1"/>
  <c r="N56" s="1"/>
  <c r="F58"/>
  <c r="J58" s="1"/>
  <c r="N58" s="1"/>
  <c r="B13"/>
  <c r="B71" s="1"/>
  <c r="B77" s="1"/>
  <c r="B80" s="1"/>
  <c r="B82" s="1"/>
  <c r="B84" s="1"/>
  <c r="F54"/>
  <c r="F40"/>
  <c r="I74" i="19" l="1"/>
  <c r="B16"/>
  <c r="B29"/>
  <c r="H85"/>
  <c r="H64" i="17"/>
  <c r="B64"/>
  <c r="F51"/>
  <c r="J40"/>
  <c r="F62"/>
  <c r="J54"/>
  <c r="B30"/>
  <c r="B35" s="1"/>
  <c r="B37" s="1"/>
  <c r="B68" s="1"/>
  <c r="I80" i="19" l="1"/>
  <c r="B74"/>
  <c r="H87"/>
  <c r="F64" i="17"/>
  <c r="B66"/>
  <c r="B67" s="1"/>
  <c r="J62"/>
  <c r="N54"/>
  <c r="N62" s="1"/>
  <c r="J51"/>
  <c r="J64" s="1"/>
  <c r="N40"/>
  <c r="N51" s="1"/>
  <c r="N64" s="1"/>
  <c r="I83" i="19" l="1"/>
  <c r="B80"/>
  <c r="F15" i="2"/>
  <c r="B83" i="4"/>
  <c r="D22" i="3"/>
  <c r="D21"/>
  <c r="D20"/>
  <c r="D10"/>
  <c r="C10"/>
  <c r="D9"/>
  <c r="C9"/>
  <c r="D8"/>
  <c r="C8"/>
  <c r="W83" i="5"/>
  <c r="S83"/>
  <c r="O83"/>
  <c r="K83"/>
  <c r="G83"/>
  <c r="C83"/>
  <c r="W79"/>
  <c r="W70"/>
  <c r="W30"/>
  <c r="W29"/>
  <c r="W22"/>
  <c r="W9"/>
  <c r="S79"/>
  <c r="S78"/>
  <c r="S76"/>
  <c r="S75"/>
  <c r="S74"/>
  <c r="S73"/>
  <c r="S72"/>
  <c r="S71"/>
  <c r="S70"/>
  <c r="S67"/>
  <c r="S64"/>
  <c r="S62"/>
  <c r="S61"/>
  <c r="S60"/>
  <c r="S59"/>
  <c r="S58"/>
  <c r="S57"/>
  <c r="S56"/>
  <c r="S55"/>
  <c r="S54"/>
  <c r="S51"/>
  <c r="S50"/>
  <c r="S49"/>
  <c r="S48"/>
  <c r="S47"/>
  <c r="S46"/>
  <c r="S45"/>
  <c r="S44"/>
  <c r="S43"/>
  <c r="S42"/>
  <c r="S41"/>
  <c r="S40"/>
  <c r="S37"/>
  <c r="S35"/>
  <c r="S34"/>
  <c r="S33"/>
  <c r="S32"/>
  <c r="S31"/>
  <c r="S30"/>
  <c r="S29"/>
  <c r="S28"/>
  <c r="S27"/>
  <c r="S26"/>
  <c r="S25"/>
  <c r="S24"/>
  <c r="S23"/>
  <c r="S22"/>
  <c r="S21"/>
  <c r="S20"/>
  <c r="S19"/>
  <c r="S18"/>
  <c r="S17"/>
  <c r="S16"/>
  <c r="S13"/>
  <c r="S12"/>
  <c r="S11"/>
  <c r="S10"/>
  <c r="S9"/>
  <c r="O79"/>
  <c r="O78"/>
  <c r="O76"/>
  <c r="O75"/>
  <c r="O74"/>
  <c r="O73"/>
  <c r="O72"/>
  <c r="O71"/>
  <c r="O70"/>
  <c r="O67"/>
  <c r="O64"/>
  <c r="O62"/>
  <c r="O61"/>
  <c r="O60"/>
  <c r="O59"/>
  <c r="O58"/>
  <c r="O57"/>
  <c r="O56"/>
  <c r="O55"/>
  <c r="O54"/>
  <c r="O51"/>
  <c r="O50"/>
  <c r="O49"/>
  <c r="O48"/>
  <c r="O47"/>
  <c r="O46"/>
  <c r="O45"/>
  <c r="O44"/>
  <c r="O43"/>
  <c r="O42"/>
  <c r="O41"/>
  <c r="O40"/>
  <c r="O37"/>
  <c r="O35"/>
  <c r="O34"/>
  <c r="O33"/>
  <c r="O32"/>
  <c r="O31"/>
  <c r="O30"/>
  <c r="O29"/>
  <c r="O28"/>
  <c r="O27"/>
  <c r="O26"/>
  <c r="O25"/>
  <c r="O24"/>
  <c r="O23"/>
  <c r="O22"/>
  <c r="O21"/>
  <c r="O20"/>
  <c r="O19"/>
  <c r="O18"/>
  <c r="O17"/>
  <c r="O16"/>
  <c r="O13"/>
  <c r="O12"/>
  <c r="O11"/>
  <c r="O10"/>
  <c r="O9"/>
  <c r="K79"/>
  <c r="K78"/>
  <c r="K76"/>
  <c r="K75"/>
  <c r="K74"/>
  <c r="K73"/>
  <c r="K72"/>
  <c r="K71"/>
  <c r="K70"/>
  <c r="K67"/>
  <c r="K64"/>
  <c r="K62"/>
  <c r="K61"/>
  <c r="K60"/>
  <c r="K59"/>
  <c r="K58"/>
  <c r="K57"/>
  <c r="K56"/>
  <c r="K55"/>
  <c r="K54"/>
  <c r="K51"/>
  <c r="K50"/>
  <c r="K49"/>
  <c r="K48"/>
  <c r="K47"/>
  <c r="K46"/>
  <c r="K45"/>
  <c r="K44"/>
  <c r="K43"/>
  <c r="K42"/>
  <c r="K41"/>
  <c r="K40"/>
  <c r="K37"/>
  <c r="K35"/>
  <c r="K34"/>
  <c r="K33"/>
  <c r="K32"/>
  <c r="K31"/>
  <c r="K30"/>
  <c r="K29"/>
  <c r="K28"/>
  <c r="K27"/>
  <c r="K26"/>
  <c r="K25"/>
  <c r="K24"/>
  <c r="K23"/>
  <c r="K22"/>
  <c r="K21"/>
  <c r="K20"/>
  <c r="K19"/>
  <c r="K18"/>
  <c r="K17"/>
  <c r="K16"/>
  <c r="K13"/>
  <c r="K12"/>
  <c r="K11"/>
  <c r="K10"/>
  <c r="K9"/>
  <c r="G79"/>
  <c r="G78"/>
  <c r="G76"/>
  <c r="G75"/>
  <c r="G74"/>
  <c r="G73"/>
  <c r="G72"/>
  <c r="G71"/>
  <c r="G70"/>
  <c r="G67"/>
  <c r="G64"/>
  <c r="G62"/>
  <c r="G61"/>
  <c r="G60"/>
  <c r="G59"/>
  <c r="G58"/>
  <c r="G57"/>
  <c r="G56"/>
  <c r="G55"/>
  <c r="G54"/>
  <c r="G51"/>
  <c r="G50"/>
  <c r="G49"/>
  <c r="G48"/>
  <c r="G47"/>
  <c r="G46"/>
  <c r="G45"/>
  <c r="G44"/>
  <c r="G43"/>
  <c r="G42"/>
  <c r="G41"/>
  <c r="G40"/>
  <c r="G37"/>
  <c r="G35"/>
  <c r="G34"/>
  <c r="G33"/>
  <c r="G32"/>
  <c r="G31"/>
  <c r="G30"/>
  <c r="G29"/>
  <c r="G28"/>
  <c r="G27"/>
  <c r="G26"/>
  <c r="G25"/>
  <c r="G24"/>
  <c r="G23"/>
  <c r="G22"/>
  <c r="G21"/>
  <c r="G20"/>
  <c r="G19"/>
  <c r="G18"/>
  <c r="G17"/>
  <c r="G16"/>
  <c r="G13"/>
  <c r="G12"/>
  <c r="G11"/>
  <c r="G10"/>
  <c r="G9"/>
  <c r="C79"/>
  <c r="C78"/>
  <c r="C76"/>
  <c r="C75"/>
  <c r="C74"/>
  <c r="C73"/>
  <c r="C72"/>
  <c r="C71"/>
  <c r="C70"/>
  <c r="C67"/>
  <c r="C64"/>
  <c r="C62"/>
  <c r="C61"/>
  <c r="C60"/>
  <c r="C59"/>
  <c r="C58"/>
  <c r="C57"/>
  <c r="C56"/>
  <c r="C55"/>
  <c r="C54"/>
  <c r="C51"/>
  <c r="C50"/>
  <c r="C49"/>
  <c r="C48"/>
  <c r="C47"/>
  <c r="C46"/>
  <c r="C45"/>
  <c r="C44"/>
  <c r="C43"/>
  <c r="C42"/>
  <c r="C41"/>
  <c r="C40"/>
  <c r="C37"/>
  <c r="C35"/>
  <c r="C34"/>
  <c r="C33"/>
  <c r="C32"/>
  <c r="C31"/>
  <c r="C30"/>
  <c r="C29"/>
  <c r="C28"/>
  <c r="C27"/>
  <c r="C26"/>
  <c r="C25"/>
  <c r="C24"/>
  <c r="C23"/>
  <c r="C22"/>
  <c r="C21"/>
  <c r="C20"/>
  <c r="C19"/>
  <c r="C18"/>
  <c r="C17"/>
  <c r="C16"/>
  <c r="C13"/>
  <c r="C12"/>
  <c r="C11"/>
  <c r="C10"/>
  <c r="C9"/>
  <c r="B76" i="4"/>
  <c r="B75"/>
  <c r="B74"/>
  <c r="B73"/>
  <c r="B72"/>
  <c r="B60"/>
  <c r="B59"/>
  <c r="B58"/>
  <c r="B57"/>
  <c r="B56"/>
  <c r="B55"/>
  <c r="B54"/>
  <c r="B50"/>
  <c r="B49"/>
  <c r="B48"/>
  <c r="B47"/>
  <c r="B46"/>
  <c r="B45"/>
  <c r="B44"/>
  <c r="B43"/>
  <c r="B42"/>
  <c r="B41"/>
  <c r="B40"/>
  <c r="B34"/>
  <c r="B33"/>
  <c r="B32"/>
  <c r="B29"/>
  <c r="B28"/>
  <c r="B27"/>
  <c r="B25"/>
  <c r="B24"/>
  <c r="B23"/>
  <c r="B22"/>
  <c r="B21"/>
  <c r="B20"/>
  <c r="B19"/>
  <c r="B18"/>
  <c r="B17"/>
  <c r="B16"/>
  <c r="B12"/>
  <c r="B11"/>
  <c r="B10"/>
  <c r="B9"/>
  <c r="A12" i="16"/>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H71" i="10"/>
  <c r="H72"/>
  <c r="AB59" i="1"/>
  <c r="AB65" s="1"/>
  <c r="AB54"/>
  <c r="AB29"/>
  <c r="AB16"/>
  <c r="AB35"/>
  <c r="I85" i="19" l="1"/>
  <c r="B83"/>
  <c r="A74" i="16"/>
  <c r="A75" s="1"/>
  <c r="A76" s="1"/>
  <c r="A77" s="1"/>
  <c r="AB67" i="1"/>
  <c r="AB38"/>
  <c r="AB40" s="1"/>
  <c r="AB74"/>
  <c r="AB80" s="1"/>
  <c r="AB83" s="1"/>
  <c r="AB85" s="1"/>
  <c r="AB87" s="1"/>
  <c r="AB33" s="1"/>
  <c r="I87" i="19" l="1"/>
  <c r="B87" s="1"/>
  <c r="B85"/>
  <c r="H79" i="10"/>
  <c r="H57"/>
  <c r="H56"/>
  <c r="H55"/>
  <c r="H54"/>
  <c r="H52"/>
  <c r="H51"/>
  <c r="H47"/>
  <c r="H46"/>
  <c r="H45"/>
  <c r="H44"/>
  <c r="H43"/>
  <c r="H42"/>
  <c r="H41"/>
  <c r="H40"/>
  <c r="H39"/>
  <c r="H38"/>
  <c r="H37"/>
  <c r="H31"/>
  <c r="H30"/>
  <c r="H28"/>
  <c r="H26"/>
  <c r="H25"/>
  <c r="H24"/>
  <c r="H22"/>
  <c r="H21"/>
  <c r="H20"/>
  <c r="H19"/>
  <c r="H18"/>
  <c r="H17"/>
  <c r="H16"/>
  <c r="H15"/>
  <c r="H14"/>
  <c r="H13"/>
  <c r="H7"/>
  <c r="H8"/>
  <c r="H9"/>
  <c r="H6"/>
  <c r="AK86" i="13"/>
  <c r="AK79"/>
  <c r="AK78"/>
  <c r="AK77"/>
  <c r="AK76"/>
  <c r="AK64"/>
  <c r="AK63"/>
  <c r="AK62"/>
  <c r="AK61"/>
  <c r="AK60"/>
  <c r="AK59"/>
  <c r="AK58"/>
  <c r="AK57"/>
  <c r="AK53"/>
  <c r="AK52"/>
  <c r="AK51"/>
  <c r="AK50"/>
  <c r="AK49"/>
  <c r="AK48"/>
  <c r="AK47"/>
  <c r="AK46"/>
  <c r="AK45"/>
  <c r="AK44"/>
  <c r="AK43"/>
  <c r="AK37"/>
  <c r="AK36"/>
  <c r="AK35"/>
  <c r="AK34"/>
  <c r="AK33"/>
  <c r="AK32"/>
  <c r="AK31"/>
  <c r="AK30"/>
  <c r="AK28"/>
  <c r="AK27"/>
  <c r="AK26"/>
  <c r="AK25"/>
  <c r="AK24"/>
  <c r="AK23"/>
  <c r="AK22"/>
  <c r="AK21"/>
  <c r="AK20"/>
  <c r="AK19"/>
  <c r="AK13"/>
  <c r="AK14"/>
  <c r="AK15"/>
  <c r="AK12"/>
  <c r="I70" i="11" l="1"/>
  <c r="I69"/>
  <c r="I79"/>
  <c r="I57"/>
  <c r="I56"/>
  <c r="I55"/>
  <c r="I54"/>
  <c r="I52"/>
  <c r="I47"/>
  <c r="I46"/>
  <c r="I45"/>
  <c r="I44"/>
  <c r="I43"/>
  <c r="I42"/>
  <c r="I41"/>
  <c r="I40"/>
  <c r="I38"/>
  <c r="I31"/>
  <c r="I30"/>
  <c r="I28"/>
  <c r="I26"/>
  <c r="I24"/>
  <c r="I22"/>
  <c r="I21"/>
  <c r="I20"/>
  <c r="I18"/>
  <c r="I17"/>
  <c r="I16"/>
  <c r="I14"/>
  <c r="I13"/>
  <c r="I7"/>
  <c r="I8"/>
  <c r="I6"/>
  <c r="D79" l="1"/>
  <c r="D72"/>
  <c r="D71"/>
  <c r="D70"/>
  <c r="D69"/>
  <c r="D57"/>
  <c r="D56"/>
  <c r="D55"/>
  <c r="D54"/>
  <c r="D53"/>
  <c r="D52"/>
  <c r="D51"/>
  <c r="D47"/>
  <c r="D46"/>
  <c r="D45"/>
  <c r="D44"/>
  <c r="D43"/>
  <c r="D42"/>
  <c r="D41"/>
  <c r="D40"/>
  <c r="D39"/>
  <c r="D38"/>
  <c r="D37"/>
  <c r="D31"/>
  <c r="D30"/>
  <c r="D29"/>
  <c r="D28"/>
  <c r="D26"/>
  <c r="D25"/>
  <c r="D24"/>
  <c r="D22"/>
  <c r="D21"/>
  <c r="D20"/>
  <c r="D19"/>
  <c r="D18"/>
  <c r="D17"/>
  <c r="D16"/>
  <c r="D15"/>
  <c r="D14"/>
  <c r="D13"/>
  <c r="D7"/>
  <c r="D8"/>
  <c r="F33" i="15"/>
  <c r="G33"/>
  <c r="H33"/>
  <c r="I33"/>
  <c r="J33"/>
  <c r="K33"/>
  <c r="E33"/>
  <c r="Q82" l="1"/>
  <c r="M80"/>
  <c r="O80" s="1"/>
  <c r="Q80" s="1"/>
  <c r="Q79"/>
  <c r="Q73"/>
  <c r="Q65"/>
  <c r="O63"/>
  <c r="Q63" s="1"/>
  <c r="Q55"/>
  <c r="Q54"/>
  <c r="Q41"/>
  <c r="Q40"/>
  <c r="Q38"/>
  <c r="M33"/>
  <c r="Q17"/>
  <c r="Q16"/>
  <c r="Z35" i="1"/>
  <c r="Y59"/>
  <c r="AE79"/>
  <c r="AE78"/>
  <c r="AE59"/>
  <c r="AE45"/>
  <c r="AE35"/>
  <c r="AE28"/>
  <c r="AG79"/>
  <c r="AG43"/>
  <c r="AG30"/>
  <c r="U57" i="2"/>
  <c r="I51" i="11" s="1"/>
  <c r="U43" i="2"/>
  <c r="I37" i="11" s="1"/>
  <c r="U21" i="2"/>
  <c r="AL79" i="1"/>
  <c r="AL78"/>
  <c r="AL63"/>
  <c r="AL53"/>
  <c r="AL31"/>
  <c r="S79" i="2"/>
  <c r="I72" i="11" s="1"/>
  <c r="S78" i="2"/>
  <c r="S59"/>
  <c r="S45"/>
  <c r="S35"/>
  <c r="S31"/>
  <c r="I25" i="11" s="1"/>
  <c r="S21" i="2"/>
  <c r="I15" i="11" s="1"/>
  <c r="T78" i="2"/>
  <c r="T59"/>
  <c r="T45"/>
  <c r="T35"/>
  <c r="T25"/>
  <c r="I19" i="11" s="1"/>
  <c r="T15" i="2"/>
  <c r="I9" i="11" s="1"/>
  <c r="AF61" i="1"/>
  <c r="AJ79"/>
  <c r="AJ78"/>
  <c r="AH51"/>
  <c r="AH50"/>
  <c r="AH49"/>
  <c r="AI48"/>
  <c r="AH48"/>
  <c r="AI45"/>
  <c r="AD57"/>
  <c r="AD45"/>
  <c r="AD43"/>
  <c r="AC62"/>
  <c r="AC37"/>
  <c r="AA59"/>
  <c r="AA35"/>
  <c r="X76"/>
  <c r="H69" i="10" s="1"/>
  <c r="R32" i="2"/>
  <c r="W59" i="1"/>
  <c r="H53" i="10" s="1"/>
  <c r="W35" i="1"/>
  <c r="H29" i="10" s="1"/>
  <c r="Q86" i="2"/>
  <c r="Q35"/>
  <c r="O79"/>
  <c r="O59"/>
  <c r="O57"/>
  <c r="O35"/>
  <c r="U57" i="1"/>
  <c r="T79"/>
  <c r="T78"/>
  <c r="T60"/>
  <c r="T59"/>
  <c r="T57"/>
  <c r="T43"/>
  <c r="T35"/>
  <c r="T32"/>
  <c r="T30"/>
  <c r="S22"/>
  <c r="N15" i="2"/>
  <c r="N78" i="1"/>
  <c r="N45"/>
  <c r="N28"/>
  <c r="M26"/>
  <c r="L78"/>
  <c r="L26"/>
  <c r="L15"/>
  <c r="P26"/>
  <c r="J78" i="2"/>
  <c r="J59"/>
  <c r="J35"/>
  <c r="J28"/>
  <c r="Q28" i="1"/>
  <c r="O28"/>
  <c r="J63"/>
  <c r="J28"/>
  <c r="J24"/>
  <c r="J23"/>
  <c r="J22"/>
  <c r="J21"/>
  <c r="J19"/>
  <c r="I79" i="2"/>
  <c r="I59"/>
  <c r="I57"/>
  <c r="I43"/>
  <c r="I35"/>
  <c r="I30"/>
  <c r="I25"/>
  <c r="I28" i="1"/>
  <c r="I26"/>
  <c r="I25"/>
  <c r="I24"/>
  <c r="I23"/>
  <c r="I22"/>
  <c r="I21"/>
  <c r="I19"/>
  <c r="H26"/>
  <c r="H25"/>
  <c r="H24"/>
  <c r="H23"/>
  <c r="G15" i="2"/>
  <c r="D6" i="11"/>
  <c r="C77" i="15"/>
  <c r="C76"/>
  <c r="C75"/>
  <c r="C74"/>
  <c r="C73"/>
  <c r="C62"/>
  <c r="C61"/>
  <c r="C60"/>
  <c r="C59"/>
  <c r="C58"/>
  <c r="C57"/>
  <c r="C56"/>
  <c r="C52"/>
  <c r="C51"/>
  <c r="C50"/>
  <c r="C49"/>
  <c r="C48"/>
  <c r="C47"/>
  <c r="C46"/>
  <c r="C45"/>
  <c r="C44"/>
  <c r="C43"/>
  <c r="C42"/>
  <c r="C36"/>
  <c r="C35"/>
  <c r="C34"/>
  <c r="C31"/>
  <c r="C30"/>
  <c r="C29"/>
  <c r="C27"/>
  <c r="C26"/>
  <c r="C25"/>
  <c r="C24"/>
  <c r="C23"/>
  <c r="C22"/>
  <c r="C21"/>
  <c r="C20"/>
  <c r="C19"/>
  <c r="C18"/>
  <c r="C14"/>
  <c r="C13"/>
  <c r="C12"/>
  <c r="C11"/>
  <c r="D9" i="11" l="1"/>
  <c r="C64" i="15"/>
  <c r="C15"/>
  <c r="C28"/>
  <c r="C53"/>
  <c r="I39" i="11"/>
  <c r="I71"/>
  <c r="I29"/>
  <c r="I53"/>
  <c r="C66" i="15" l="1"/>
  <c r="AW86" i="13"/>
  <c r="AW79"/>
  <c r="AW78"/>
  <c r="AW77"/>
  <c r="AW76"/>
  <c r="AW64"/>
  <c r="AW63"/>
  <c r="AW62"/>
  <c r="AW61"/>
  <c r="AW60"/>
  <c r="AW59"/>
  <c r="AW58"/>
  <c r="AW53"/>
  <c r="AW52"/>
  <c r="AW51"/>
  <c r="AW50"/>
  <c r="AW49"/>
  <c r="AW48"/>
  <c r="AW47"/>
  <c r="AW46"/>
  <c r="AW45"/>
  <c r="AW44"/>
  <c r="AW37"/>
  <c r="AW36"/>
  <c r="AW35"/>
  <c r="AW34"/>
  <c r="AW32"/>
  <c r="AW31"/>
  <c r="AW30"/>
  <c r="AW28"/>
  <c r="AW27"/>
  <c r="AW26"/>
  <c r="AW25"/>
  <c r="AW24"/>
  <c r="AW23"/>
  <c r="AW22"/>
  <c r="AW20"/>
  <c r="AW19"/>
  <c r="AW13"/>
  <c r="AW14"/>
  <c r="AW15"/>
  <c r="AW12"/>
  <c r="U16" i="2"/>
  <c r="AW16" i="13" l="1"/>
  <c r="AW57"/>
  <c r="B86" i="1"/>
  <c r="B75"/>
  <c r="B64"/>
  <c r="B58"/>
  <c r="B52"/>
  <c r="B47"/>
  <c r="B46"/>
  <c r="B44"/>
  <c r="B39"/>
  <c r="B36"/>
  <c r="B34"/>
  <c r="B27"/>
  <c r="B20"/>
  <c r="B13"/>
  <c r="U65" i="2" l="1"/>
  <c r="AW65" i="13"/>
  <c r="U29" i="2" l="1"/>
  <c r="AW21" i="13"/>
  <c r="AW29" s="1"/>
  <c r="AW74" s="1"/>
  <c r="AW80" s="1"/>
  <c r="AW83" s="1"/>
  <c r="AW85" s="1"/>
  <c r="AW87" s="1"/>
  <c r="U54" i="2"/>
  <c r="U67" s="1"/>
  <c r="AW43" i="13"/>
  <c r="AW54" s="1"/>
  <c r="AW67" s="1"/>
  <c r="E64" i="16" s="1"/>
  <c r="U74" i="2" l="1"/>
  <c r="U80" s="1"/>
  <c r="U83" s="1"/>
  <c r="U85" s="1"/>
  <c r="U87" s="1"/>
  <c r="U33" s="1"/>
  <c r="AW33" i="13" s="1"/>
  <c r="AW38" s="1"/>
  <c r="AW40" s="1"/>
  <c r="D64" i="16" s="1"/>
  <c r="U38" i="2" l="1"/>
  <c r="U40" s="1"/>
  <c r="B60" i="1" l="1"/>
  <c r="B32"/>
  <c r="B14"/>
  <c r="D11" i="17" s="1"/>
  <c r="F11" l="1"/>
  <c r="I86" i="13"/>
  <c r="I79"/>
  <c r="I78"/>
  <c r="I77"/>
  <c r="I76"/>
  <c r="I64"/>
  <c r="I63"/>
  <c r="I62"/>
  <c r="I61"/>
  <c r="I60"/>
  <c r="I59"/>
  <c r="I58"/>
  <c r="I57"/>
  <c r="I53"/>
  <c r="I52"/>
  <c r="I51"/>
  <c r="I50"/>
  <c r="I49"/>
  <c r="I48"/>
  <c r="I47"/>
  <c r="I46"/>
  <c r="I45"/>
  <c r="I44"/>
  <c r="I43"/>
  <c r="I37"/>
  <c r="I36"/>
  <c r="I35"/>
  <c r="I34"/>
  <c r="I32"/>
  <c r="I31"/>
  <c r="I30"/>
  <c r="I28"/>
  <c r="I27"/>
  <c r="I26"/>
  <c r="I25"/>
  <c r="I24"/>
  <c r="I23"/>
  <c r="I22"/>
  <c r="I21"/>
  <c r="I20"/>
  <c r="I19"/>
  <c r="I15"/>
  <c r="I14"/>
  <c r="I13"/>
  <c r="I12"/>
  <c r="G65" i="2"/>
  <c r="G54"/>
  <c r="G29"/>
  <c r="G16"/>
  <c r="B12" i="1"/>
  <c r="D9" i="17" s="1"/>
  <c r="F9" s="1"/>
  <c r="J9" s="1"/>
  <c r="B61" i="1"/>
  <c r="F13" i="17" l="1"/>
  <c r="D13"/>
  <c r="G74" i="2"/>
  <c r="G80" s="1"/>
  <c r="G83" s="1"/>
  <c r="G85" s="1"/>
  <c r="G87" s="1"/>
  <c r="G33" s="1"/>
  <c r="I33" i="13" s="1"/>
  <c r="G67" i="2"/>
  <c r="AA30" i="13"/>
  <c r="AA31"/>
  <c r="AA43"/>
  <c r="AA44"/>
  <c r="AA57"/>
  <c r="AA58"/>
  <c r="AA59"/>
  <c r="AA32"/>
  <c r="AA35"/>
  <c r="G38" i="2" l="1"/>
  <c r="G40" s="1"/>
  <c r="E79" i="11"/>
  <c r="I79" i="10"/>
  <c r="BB72" i="13"/>
  <c r="BB73"/>
  <c r="BB81"/>
  <c r="BB84"/>
  <c r="E72" i="10"/>
  <c r="Q86" i="13" l="1"/>
  <c r="Q79"/>
  <c r="Q78"/>
  <c r="Q77"/>
  <c r="Q76"/>
  <c r="Q64"/>
  <c r="Q63"/>
  <c r="Q62"/>
  <c r="Q61"/>
  <c r="Q60"/>
  <c r="Q59"/>
  <c r="Q58"/>
  <c r="Q57"/>
  <c r="Q53"/>
  <c r="Q52"/>
  <c r="Q51"/>
  <c r="Q50"/>
  <c r="Q49"/>
  <c r="Q48"/>
  <c r="Q47"/>
  <c r="Q46"/>
  <c r="Q45"/>
  <c r="Q44"/>
  <c r="Q43"/>
  <c r="Q37"/>
  <c r="Q36"/>
  <c r="Q35"/>
  <c r="Q34"/>
  <c r="Q32"/>
  <c r="Q31"/>
  <c r="Q30"/>
  <c r="Q28"/>
  <c r="Q27"/>
  <c r="Q25"/>
  <c r="Q24"/>
  <c r="Q23"/>
  <c r="Q22"/>
  <c r="Q21"/>
  <c r="Q20"/>
  <c r="Q19"/>
  <c r="Q15"/>
  <c r="Q14"/>
  <c r="Q13"/>
  <c r="Q12"/>
  <c r="BB17"/>
  <c r="BB18"/>
  <c r="BB41"/>
  <c r="BB42"/>
  <c r="BB55"/>
  <c r="BB56"/>
  <c r="BB66"/>
  <c r="BB68"/>
  <c r="E70" i="11"/>
  <c r="E69"/>
  <c r="E58"/>
  <c r="E57"/>
  <c r="E56"/>
  <c r="E55"/>
  <c r="E54"/>
  <c r="E52"/>
  <c r="E47"/>
  <c r="E46"/>
  <c r="E45"/>
  <c r="E44"/>
  <c r="E43"/>
  <c r="E42"/>
  <c r="E41"/>
  <c r="E40"/>
  <c r="E39"/>
  <c r="E38"/>
  <c r="E31"/>
  <c r="E30"/>
  <c r="E28"/>
  <c r="E26"/>
  <c r="E25"/>
  <c r="E21"/>
  <c r="E14"/>
  <c r="E9"/>
  <c r="E8"/>
  <c r="E7"/>
  <c r="E6"/>
  <c r="I70" i="10"/>
  <c r="I69"/>
  <c r="I58"/>
  <c r="I55"/>
  <c r="I54"/>
  <c r="I52"/>
  <c r="I46"/>
  <c r="I41"/>
  <c r="I40"/>
  <c r="I38"/>
  <c r="I30"/>
  <c r="I26"/>
  <c r="I21"/>
  <c r="I20"/>
  <c r="I19"/>
  <c r="I18"/>
  <c r="I17"/>
  <c r="I16"/>
  <c r="I15"/>
  <c r="I14"/>
  <c r="I13"/>
  <c r="I9"/>
  <c r="I8"/>
  <c r="I7"/>
  <c r="I6"/>
  <c r="E79"/>
  <c r="E70"/>
  <c r="E69"/>
  <c r="E56"/>
  <c r="E55"/>
  <c r="E54"/>
  <c r="E53"/>
  <c r="E52"/>
  <c r="E51"/>
  <c r="E47"/>
  <c r="E46"/>
  <c r="E45"/>
  <c r="E44"/>
  <c r="E43"/>
  <c r="E42"/>
  <c r="E41"/>
  <c r="E40"/>
  <c r="E39"/>
  <c r="E38"/>
  <c r="E37"/>
  <c r="E31"/>
  <c r="E30"/>
  <c r="E29"/>
  <c r="E26"/>
  <c r="E25"/>
  <c r="E24"/>
  <c r="E21"/>
  <c r="E14"/>
  <c r="E8"/>
  <c r="E7"/>
  <c r="E6"/>
  <c r="E20" i="11"/>
  <c r="E18"/>
  <c r="E13"/>
  <c r="B25" i="1"/>
  <c r="K20" i="13"/>
  <c r="K21"/>
  <c r="K23"/>
  <c r="K24"/>
  <c r="K25"/>
  <c r="K26"/>
  <c r="K28"/>
  <c r="K19" l="1"/>
  <c r="K22"/>
  <c r="F86"/>
  <c r="F77"/>
  <c r="F76"/>
  <c r="F64"/>
  <c r="F62"/>
  <c r="F61"/>
  <c r="F60"/>
  <c r="F58"/>
  <c r="F57"/>
  <c r="F53"/>
  <c r="F52"/>
  <c r="F51"/>
  <c r="F50"/>
  <c r="F49"/>
  <c r="F48"/>
  <c r="F47"/>
  <c r="F46"/>
  <c r="F45"/>
  <c r="F44"/>
  <c r="F43"/>
  <c r="F36"/>
  <c r="F34"/>
  <c r="F32"/>
  <c r="F31"/>
  <c r="F30"/>
  <c r="F28"/>
  <c r="F27"/>
  <c r="F26"/>
  <c r="F25"/>
  <c r="F24"/>
  <c r="F23"/>
  <c r="F22"/>
  <c r="F21"/>
  <c r="F20"/>
  <c r="F19"/>
  <c r="F15"/>
  <c r="F14"/>
  <c r="F13"/>
  <c r="F12"/>
  <c r="F79"/>
  <c r="F78"/>
  <c r="F63"/>
  <c r="E65" i="1"/>
  <c r="F37" i="13"/>
  <c r="F35"/>
  <c r="E54" i="1"/>
  <c r="E29"/>
  <c r="E16"/>
  <c r="F59" i="13" l="1"/>
  <c r="E67" i="1"/>
  <c r="E74"/>
  <c r="E80" s="1"/>
  <c r="E83" s="1"/>
  <c r="E85" s="1"/>
  <c r="E87" s="1"/>
  <c r="E33" s="1"/>
  <c r="E38" l="1"/>
  <c r="E40" s="1"/>
  <c r="F33" i="13"/>
  <c r="B76" i="1" l="1"/>
  <c r="Q65" i="2" l="1"/>
  <c r="Q54"/>
  <c r="Q29"/>
  <c r="Q74" s="1"/>
  <c r="Q80" s="1"/>
  <c r="Q83" s="1"/>
  <c r="Q85" s="1"/>
  <c r="AD35" i="13"/>
  <c r="AD86"/>
  <c r="AD79"/>
  <c r="AD78"/>
  <c r="AD77"/>
  <c r="AD76"/>
  <c r="AD64"/>
  <c r="AD63"/>
  <c r="AD62"/>
  <c r="AD61"/>
  <c r="AD60"/>
  <c r="AD59"/>
  <c r="AD58"/>
  <c r="AD57"/>
  <c r="AD53"/>
  <c r="AD52"/>
  <c r="AD51"/>
  <c r="AD50"/>
  <c r="AD49"/>
  <c r="AD48"/>
  <c r="AD47"/>
  <c r="AD46"/>
  <c r="AD45"/>
  <c r="AD44"/>
  <c r="AD43"/>
  <c r="AD37"/>
  <c r="AD36"/>
  <c r="AD34"/>
  <c r="AD32"/>
  <c r="AD31"/>
  <c r="AD30"/>
  <c r="AD28"/>
  <c r="AD27"/>
  <c r="AD26"/>
  <c r="AD25"/>
  <c r="AD24"/>
  <c r="AD23"/>
  <c r="AD22"/>
  <c r="AD21"/>
  <c r="AD20"/>
  <c r="AD19"/>
  <c r="AD15"/>
  <c r="AD14"/>
  <c r="AD13"/>
  <c r="AD12"/>
  <c r="Q67" i="2" l="1"/>
  <c r="AD65" i="13"/>
  <c r="Q87" i="2"/>
  <c r="Q33" s="1"/>
  <c r="AD33" i="13" s="1"/>
  <c r="Q38" i="2" l="1"/>
  <c r="Q40" s="1"/>
  <c r="I57" i="10"/>
  <c r="I47" l="1"/>
  <c r="B53" i="1"/>
  <c r="I25" i="10"/>
  <c r="B31" i="1"/>
  <c r="I24" i="10" l="1"/>
  <c r="B30" i="1"/>
  <c r="I44" i="10" l="1"/>
  <c r="B50" i="1"/>
  <c r="I43" i="10" l="1"/>
  <c r="B49" i="1"/>
  <c r="I42" i="10"/>
  <c r="B48" i="1"/>
  <c r="I45" i="10"/>
  <c r="B51" i="1"/>
  <c r="I71" i="10"/>
  <c r="I22"/>
  <c r="I29" l="1"/>
  <c r="B35" i="1"/>
  <c r="I53" i="10"/>
  <c r="B59" i="1"/>
  <c r="I72" i="10"/>
  <c r="B79" i="1"/>
  <c r="I51" i="10"/>
  <c r="I39" l="1"/>
  <c r="B45" i="1"/>
  <c r="I37" i="10"/>
  <c r="B43" i="1"/>
  <c r="B57"/>
  <c r="I56" i="10" l="1"/>
  <c r="B62" i="1"/>
  <c r="I31" i="10"/>
  <c r="B37" i="1"/>
  <c r="E71" i="11" l="1"/>
  <c r="E17"/>
  <c r="E16"/>
  <c r="E15"/>
  <c r="Q26" i="13" l="1"/>
  <c r="B26" i="1"/>
  <c r="E71" i="10"/>
  <c r="E9"/>
  <c r="E22" i="11" l="1"/>
  <c r="B28" i="1" l="1"/>
  <c r="D25" i="17" s="1"/>
  <c r="F25" s="1"/>
  <c r="B24" i="1"/>
  <c r="E15" i="10" l="1"/>
  <c r="B21" i="1"/>
  <c r="E13" i="10"/>
  <c r="B19" i="1"/>
  <c r="D16" i="17" s="1"/>
  <c r="E16" i="10"/>
  <c r="B22" i="1"/>
  <c r="D19" i="17" s="1"/>
  <c r="F19" s="1"/>
  <c r="E57" i="10"/>
  <c r="B63" i="1"/>
  <c r="E37" i="11"/>
  <c r="E24"/>
  <c r="D26" i="17" l="1"/>
  <c r="D71" s="1"/>
  <c r="F16"/>
  <c r="F26" s="1"/>
  <c r="F71" s="1"/>
  <c r="E72" i="11"/>
  <c r="E53"/>
  <c r="E29"/>
  <c r="E51"/>
  <c r="E19"/>
  <c r="E20" i="10" l="1"/>
  <c r="E18"/>
  <c r="E17"/>
  <c r="E19"/>
  <c r="E22"/>
  <c r="B23" i="1" l="1"/>
  <c r="E65" i="2"/>
  <c r="E54"/>
  <c r="D54"/>
  <c r="D29"/>
  <c r="E29"/>
  <c r="D16"/>
  <c r="E16"/>
  <c r="E74" s="1"/>
  <c r="E67" l="1"/>
  <c r="B15" i="1"/>
  <c r="E80" i="2"/>
  <c r="E83" s="1"/>
  <c r="E85" s="1"/>
  <c r="E87" s="1"/>
  <c r="E33" s="1"/>
  <c r="E38" s="1"/>
  <c r="E40" s="1"/>
  <c r="D65"/>
  <c r="D67" s="1"/>
  <c r="D74"/>
  <c r="D80" s="1"/>
  <c r="D83" s="1"/>
  <c r="D85" s="1"/>
  <c r="D87" s="1"/>
  <c r="D33" s="1"/>
  <c r="D38" s="1"/>
  <c r="D40" s="1"/>
  <c r="B78" i="1" l="1"/>
  <c r="R65"/>
  <c r="R54"/>
  <c r="R29"/>
  <c r="K65" i="2" l="1"/>
  <c r="L65"/>
  <c r="K54"/>
  <c r="K67" s="1"/>
  <c r="L54"/>
  <c r="L67" s="1"/>
  <c r="K29"/>
  <c r="L29"/>
  <c r="K16"/>
  <c r="K74" s="1"/>
  <c r="K80" s="1"/>
  <c r="K83" s="1"/>
  <c r="K85" s="1"/>
  <c r="K87" s="1"/>
  <c r="K33" s="1"/>
  <c r="L16"/>
  <c r="AL65" i="1"/>
  <c r="AL54"/>
  <c r="AL29"/>
  <c r="AL16"/>
  <c r="M65"/>
  <c r="N65"/>
  <c r="O65"/>
  <c r="P65"/>
  <c r="Q65"/>
  <c r="Q16"/>
  <c r="Q29"/>
  <c r="M54"/>
  <c r="N54"/>
  <c r="O54"/>
  <c r="P54"/>
  <c r="Q54"/>
  <c r="M29"/>
  <c r="N29"/>
  <c r="O29"/>
  <c r="P29"/>
  <c r="M16"/>
  <c r="M74" s="1"/>
  <c r="M80" s="1"/>
  <c r="M83" s="1"/>
  <c r="M85" s="1"/>
  <c r="N16"/>
  <c r="O16"/>
  <c r="O74" s="1"/>
  <c r="O80" s="1"/>
  <c r="O83" s="1"/>
  <c r="O85" s="1"/>
  <c r="O87" s="1"/>
  <c r="O33" s="1"/>
  <c r="P16"/>
  <c r="AY79" i="13"/>
  <c r="AY78"/>
  <c r="AY77"/>
  <c r="AY76"/>
  <c r="AY64"/>
  <c r="AY62"/>
  <c r="AY61"/>
  <c r="AY60"/>
  <c r="AY59"/>
  <c r="AY58"/>
  <c r="AY53"/>
  <c r="AY52"/>
  <c r="AY51"/>
  <c r="AY50"/>
  <c r="AY49"/>
  <c r="AY48"/>
  <c r="AY47"/>
  <c r="AY46"/>
  <c r="AY44"/>
  <c r="AY36"/>
  <c r="AY35"/>
  <c r="AY34"/>
  <c r="AY32"/>
  <c r="AY31"/>
  <c r="AY30"/>
  <c r="AY28"/>
  <c r="AY27"/>
  <c r="AY26"/>
  <c r="AY25"/>
  <c r="AY24"/>
  <c r="AY21"/>
  <c r="AY20"/>
  <c r="AY13"/>
  <c r="AY12"/>
  <c r="AX86"/>
  <c r="AX79"/>
  <c r="AX78"/>
  <c r="AX77"/>
  <c r="AX76"/>
  <c r="AX64"/>
  <c r="AX63"/>
  <c r="AX62"/>
  <c r="AX61"/>
  <c r="AX60"/>
  <c r="AX59"/>
  <c r="AX58"/>
  <c r="AX53"/>
  <c r="AX52"/>
  <c r="AX51"/>
  <c r="AX50"/>
  <c r="AX49"/>
  <c r="AX48"/>
  <c r="AX47"/>
  <c r="AX46"/>
  <c r="AX45"/>
  <c r="AX44"/>
  <c r="AX37"/>
  <c r="AX36"/>
  <c r="AX35"/>
  <c r="AX34"/>
  <c r="AX32"/>
  <c r="AX31"/>
  <c r="AX28"/>
  <c r="AX27"/>
  <c r="AX26"/>
  <c r="AX25"/>
  <c r="AX24"/>
  <c r="AX23"/>
  <c r="AX20"/>
  <c r="AX13"/>
  <c r="AX14"/>
  <c r="AX15"/>
  <c r="AX12"/>
  <c r="AV86"/>
  <c r="AV79"/>
  <c r="AV78"/>
  <c r="AV77"/>
  <c r="AV76"/>
  <c r="AV64"/>
  <c r="AV63"/>
  <c r="AV62"/>
  <c r="AV61"/>
  <c r="AV60"/>
  <c r="AV59"/>
  <c r="AV58"/>
  <c r="AV57"/>
  <c r="AV53"/>
  <c r="AV52"/>
  <c r="AV51"/>
  <c r="AV50"/>
  <c r="AV49"/>
  <c r="AV48"/>
  <c r="AV47"/>
  <c r="AV46"/>
  <c r="AV45"/>
  <c r="AV44"/>
  <c r="AV43"/>
  <c r="AV37"/>
  <c r="AV36"/>
  <c r="AV35"/>
  <c r="AV34"/>
  <c r="AV32"/>
  <c r="AV31"/>
  <c r="AV30"/>
  <c r="AV28"/>
  <c r="AV27"/>
  <c r="AV26"/>
  <c r="AV25"/>
  <c r="AV24"/>
  <c r="AV23"/>
  <c r="AV22"/>
  <c r="AV21"/>
  <c r="AV20"/>
  <c r="AV19"/>
  <c r="AV13"/>
  <c r="AV14"/>
  <c r="AV15"/>
  <c r="AV12"/>
  <c r="AU86"/>
  <c r="AU79"/>
  <c r="AU77"/>
  <c r="AU76"/>
  <c r="AU64"/>
  <c r="AU63"/>
  <c r="AU61"/>
  <c r="AU60"/>
  <c r="AU58"/>
  <c r="AU57"/>
  <c r="AU53"/>
  <c r="AU52"/>
  <c r="AU51"/>
  <c r="AU50"/>
  <c r="AU49"/>
  <c r="AU48"/>
  <c r="AU47"/>
  <c r="AU46"/>
  <c r="AU44"/>
  <c r="AU43"/>
  <c r="AU36"/>
  <c r="AU34"/>
  <c r="AU32"/>
  <c r="AU31"/>
  <c r="AU30"/>
  <c r="AU28"/>
  <c r="AU27"/>
  <c r="AU26"/>
  <c r="AU25"/>
  <c r="AU24"/>
  <c r="AU23"/>
  <c r="AU22"/>
  <c r="AU21"/>
  <c r="AU20"/>
  <c r="AU19"/>
  <c r="AU13"/>
  <c r="AU14"/>
  <c r="AU12"/>
  <c r="AT86"/>
  <c r="AT79"/>
  <c r="AT77"/>
  <c r="AT76"/>
  <c r="AT64"/>
  <c r="AT63"/>
  <c r="AT62"/>
  <c r="AT61"/>
  <c r="AT60"/>
  <c r="AT58"/>
  <c r="AT57"/>
  <c r="AT53"/>
  <c r="AT52"/>
  <c r="AT51"/>
  <c r="AT50"/>
  <c r="AT49"/>
  <c r="AT48"/>
  <c r="AT47"/>
  <c r="AT46"/>
  <c r="AT44"/>
  <c r="AT43"/>
  <c r="AT37"/>
  <c r="AT36"/>
  <c r="AT34"/>
  <c r="AT32"/>
  <c r="AT30"/>
  <c r="AT28"/>
  <c r="AT27"/>
  <c r="AT26"/>
  <c r="AT25"/>
  <c r="AT24"/>
  <c r="AT23"/>
  <c r="AT22"/>
  <c r="AT21"/>
  <c r="AT20"/>
  <c r="AT19"/>
  <c r="AT13"/>
  <c r="AT14"/>
  <c r="AT15"/>
  <c r="AT12"/>
  <c r="AS86"/>
  <c r="AS79"/>
  <c r="AS77"/>
  <c r="AS76"/>
  <c r="AS64"/>
  <c r="AS62"/>
  <c r="AS61"/>
  <c r="AS60"/>
  <c r="AS58"/>
  <c r="AS52"/>
  <c r="AS51"/>
  <c r="AS50"/>
  <c r="AS49"/>
  <c r="AS48"/>
  <c r="AS47"/>
  <c r="AS46"/>
  <c r="AS45"/>
  <c r="AS44"/>
  <c r="AS43"/>
  <c r="AS37"/>
  <c r="AS36"/>
  <c r="AS34"/>
  <c r="AS32"/>
  <c r="AS30"/>
  <c r="AS28"/>
  <c r="AS27"/>
  <c r="AS26"/>
  <c r="AS25"/>
  <c r="AS24"/>
  <c r="AS23"/>
  <c r="AS22"/>
  <c r="AS21"/>
  <c r="AS20"/>
  <c r="AS19"/>
  <c r="AS13"/>
  <c r="AS14"/>
  <c r="AS15"/>
  <c r="AS12"/>
  <c r="AR86"/>
  <c r="AR79"/>
  <c r="AR77"/>
  <c r="AR76"/>
  <c r="AR64"/>
  <c r="AR63"/>
  <c r="AR62"/>
  <c r="AR61"/>
  <c r="AR60"/>
  <c r="AR59"/>
  <c r="AR58"/>
  <c r="AR57"/>
  <c r="AR53"/>
  <c r="AR52"/>
  <c r="AR51"/>
  <c r="AR50"/>
  <c r="AR49"/>
  <c r="AR48"/>
  <c r="AR47"/>
  <c r="AR46"/>
  <c r="AR45"/>
  <c r="AR44"/>
  <c r="AR37"/>
  <c r="AR36"/>
  <c r="AR35"/>
  <c r="AR34"/>
  <c r="AR33"/>
  <c r="AR32"/>
  <c r="AR31"/>
  <c r="AR28"/>
  <c r="AR27"/>
  <c r="AR26"/>
  <c r="AR25"/>
  <c r="AR24"/>
  <c r="AR23"/>
  <c r="AR22"/>
  <c r="AR21"/>
  <c r="AR20"/>
  <c r="AR19"/>
  <c r="AR13"/>
  <c r="AR14"/>
  <c r="AR15"/>
  <c r="AR12"/>
  <c r="AQ86"/>
  <c r="AQ77"/>
  <c r="AQ76"/>
  <c r="AQ64"/>
  <c r="AQ63"/>
  <c r="AQ62"/>
  <c r="AQ61"/>
  <c r="AQ60"/>
  <c r="AQ58"/>
  <c r="AQ57"/>
  <c r="AQ53"/>
  <c r="AQ52"/>
  <c r="AQ51"/>
  <c r="AQ50"/>
  <c r="AQ49"/>
  <c r="AQ48"/>
  <c r="AQ47"/>
  <c r="AQ46"/>
  <c r="AQ45"/>
  <c r="AQ44"/>
  <c r="AQ43"/>
  <c r="AQ37"/>
  <c r="AQ36"/>
  <c r="AQ34"/>
  <c r="AQ32"/>
  <c r="AQ31"/>
  <c r="AQ30"/>
  <c r="AQ28"/>
  <c r="AQ27"/>
  <c r="AQ26"/>
  <c r="AQ25"/>
  <c r="AQ24"/>
  <c r="AQ23"/>
  <c r="AQ22"/>
  <c r="AQ21"/>
  <c r="AQ20"/>
  <c r="AQ19"/>
  <c r="AQ13"/>
  <c r="AQ14"/>
  <c r="AQ15"/>
  <c r="AQ12"/>
  <c r="AP86"/>
  <c r="AP79"/>
  <c r="AP78"/>
  <c r="AP77"/>
  <c r="AP76"/>
  <c r="AP64"/>
  <c r="AP63"/>
  <c r="AP62"/>
  <c r="AP61"/>
  <c r="AP60"/>
  <c r="AP59"/>
  <c r="AP58"/>
  <c r="AP57"/>
  <c r="AP65" s="1"/>
  <c r="AP53"/>
  <c r="AP52"/>
  <c r="AP49"/>
  <c r="AP47"/>
  <c r="AP46"/>
  <c r="AP44"/>
  <c r="AP43"/>
  <c r="AP37"/>
  <c r="AP36"/>
  <c r="AP35"/>
  <c r="AP34"/>
  <c r="AP33"/>
  <c r="AP32"/>
  <c r="AP31"/>
  <c r="AP30"/>
  <c r="AP28"/>
  <c r="AP27"/>
  <c r="AP26"/>
  <c r="AP25"/>
  <c r="AP24"/>
  <c r="AP23"/>
  <c r="AP22"/>
  <c r="AP21"/>
  <c r="AP20"/>
  <c r="AP19"/>
  <c r="AP13"/>
  <c r="AP14"/>
  <c r="AP15"/>
  <c r="AP12"/>
  <c r="AO86"/>
  <c r="AO79"/>
  <c r="AO78"/>
  <c r="AO77"/>
  <c r="AO76"/>
  <c r="AO64"/>
  <c r="AO63"/>
  <c r="AO62"/>
  <c r="AO60"/>
  <c r="AO59"/>
  <c r="AO58"/>
  <c r="AO57"/>
  <c r="AO53"/>
  <c r="AO52"/>
  <c r="AO51"/>
  <c r="AO50"/>
  <c r="AO49"/>
  <c r="AO48"/>
  <c r="AO47"/>
  <c r="AO46"/>
  <c r="AO45"/>
  <c r="AO44"/>
  <c r="AO43"/>
  <c r="AO37"/>
  <c r="AO36"/>
  <c r="AO35"/>
  <c r="AO34"/>
  <c r="AO32"/>
  <c r="AO31"/>
  <c r="AO30"/>
  <c r="AO28"/>
  <c r="AO27"/>
  <c r="AO26"/>
  <c r="AO25"/>
  <c r="AO24"/>
  <c r="AO23"/>
  <c r="AO22"/>
  <c r="AO21"/>
  <c r="AO20"/>
  <c r="AO19"/>
  <c r="AO13"/>
  <c r="AO14"/>
  <c r="AO15"/>
  <c r="AO12"/>
  <c r="AN86"/>
  <c r="AN79"/>
  <c r="AN77"/>
  <c r="AN76"/>
  <c r="AN64"/>
  <c r="AN63"/>
  <c r="AN62"/>
  <c r="AN61"/>
  <c r="AN60"/>
  <c r="AN58"/>
  <c r="AN57"/>
  <c r="AN53"/>
  <c r="AN52"/>
  <c r="AN51"/>
  <c r="AN50"/>
  <c r="AN49"/>
  <c r="AN48"/>
  <c r="AN47"/>
  <c r="AN46"/>
  <c r="AN44"/>
  <c r="AN43"/>
  <c r="AN37"/>
  <c r="AN36"/>
  <c r="AN34"/>
  <c r="AN32"/>
  <c r="AN31"/>
  <c r="AN30"/>
  <c r="AN27"/>
  <c r="AN26"/>
  <c r="AN25"/>
  <c r="AN24"/>
  <c r="AN23"/>
  <c r="AN22"/>
  <c r="AN21"/>
  <c r="AN20"/>
  <c r="AN19"/>
  <c r="AN13"/>
  <c r="AN14"/>
  <c r="AN15"/>
  <c r="AN12"/>
  <c r="AM86"/>
  <c r="AM79"/>
  <c r="AM78"/>
  <c r="AM77"/>
  <c r="AM76"/>
  <c r="AM64"/>
  <c r="AM63"/>
  <c r="AM62"/>
  <c r="AM61"/>
  <c r="AM60"/>
  <c r="AM59"/>
  <c r="AM58"/>
  <c r="AM53"/>
  <c r="AM52"/>
  <c r="AM51"/>
  <c r="AM48"/>
  <c r="AM47"/>
  <c r="AM46"/>
  <c r="AM44"/>
  <c r="AM37"/>
  <c r="AM36"/>
  <c r="AM35"/>
  <c r="AM34"/>
  <c r="AM32"/>
  <c r="AM31"/>
  <c r="AM30"/>
  <c r="AM28"/>
  <c r="AM27"/>
  <c r="AM26"/>
  <c r="AM25"/>
  <c r="AM24"/>
  <c r="AM23"/>
  <c r="AM22"/>
  <c r="AM21"/>
  <c r="AM20"/>
  <c r="AM19"/>
  <c r="AM13"/>
  <c r="AM14"/>
  <c r="AM15"/>
  <c r="AM12"/>
  <c r="AL86"/>
  <c r="AL79"/>
  <c r="AL78"/>
  <c r="AL77"/>
  <c r="AL76"/>
  <c r="AL64"/>
  <c r="AL63"/>
  <c r="AL62"/>
  <c r="AL61"/>
  <c r="AL60"/>
  <c r="AL59"/>
  <c r="AL58"/>
  <c r="AL57"/>
  <c r="AL53"/>
  <c r="AL52"/>
  <c r="AL51"/>
  <c r="AL50"/>
  <c r="AL49"/>
  <c r="AL48"/>
  <c r="AL47"/>
  <c r="AL46"/>
  <c r="AL45"/>
  <c r="AL44"/>
  <c r="AL43"/>
  <c r="AL37"/>
  <c r="AL36"/>
  <c r="AL35"/>
  <c r="AL34"/>
  <c r="AL32"/>
  <c r="AL31"/>
  <c r="AL30"/>
  <c r="AL28"/>
  <c r="AL27"/>
  <c r="AL26"/>
  <c r="AL25"/>
  <c r="AL24"/>
  <c r="AL23"/>
  <c r="AL22"/>
  <c r="AL21"/>
  <c r="AL20"/>
  <c r="AL19"/>
  <c r="AL13"/>
  <c r="AL14"/>
  <c r="AL15"/>
  <c r="AL12"/>
  <c r="AJ86"/>
  <c r="AJ79"/>
  <c r="AJ78"/>
  <c r="AJ77"/>
  <c r="AJ76"/>
  <c r="AJ64"/>
  <c r="AJ63"/>
  <c r="AJ62"/>
  <c r="AJ61"/>
  <c r="AJ60"/>
  <c r="AJ58"/>
  <c r="AJ57"/>
  <c r="AJ53"/>
  <c r="AJ52"/>
  <c r="AJ51"/>
  <c r="AJ50"/>
  <c r="AJ49"/>
  <c r="AJ48"/>
  <c r="AJ47"/>
  <c r="AJ46"/>
  <c r="AJ45"/>
  <c r="AJ44"/>
  <c r="AJ43"/>
  <c r="AJ37"/>
  <c r="AJ36"/>
  <c r="AJ34"/>
  <c r="AJ32"/>
  <c r="AJ31"/>
  <c r="AJ30"/>
  <c r="AJ28"/>
  <c r="AJ27"/>
  <c r="AJ26"/>
  <c r="AJ25"/>
  <c r="AJ24"/>
  <c r="AJ23"/>
  <c r="AJ22"/>
  <c r="AJ21"/>
  <c r="AJ20"/>
  <c r="AJ19"/>
  <c r="AJ13"/>
  <c r="AJ14"/>
  <c r="AJ15"/>
  <c r="AJ12"/>
  <c r="AI86"/>
  <c r="AI79"/>
  <c r="AI78"/>
  <c r="AI77"/>
  <c r="AI76"/>
  <c r="AI64"/>
  <c r="AI63"/>
  <c r="AI62"/>
  <c r="AI61"/>
  <c r="AI60"/>
  <c r="AI58"/>
  <c r="AI57"/>
  <c r="AI53"/>
  <c r="AI52"/>
  <c r="AI51"/>
  <c r="AI50"/>
  <c r="AI49"/>
  <c r="AI48"/>
  <c r="AI47"/>
  <c r="AI46"/>
  <c r="AI45"/>
  <c r="AI44"/>
  <c r="AI43"/>
  <c r="AI37"/>
  <c r="AI36"/>
  <c r="AI34"/>
  <c r="AI32"/>
  <c r="AI31"/>
  <c r="AI30"/>
  <c r="AI28"/>
  <c r="AI27"/>
  <c r="AI26"/>
  <c r="AI25"/>
  <c r="AI24"/>
  <c r="AI23"/>
  <c r="AI22"/>
  <c r="AI21"/>
  <c r="AI20"/>
  <c r="AI19"/>
  <c r="AI13"/>
  <c r="AI14"/>
  <c r="AI15"/>
  <c r="AI12"/>
  <c r="AH86"/>
  <c r="AH79"/>
  <c r="AH78"/>
  <c r="AH77"/>
  <c r="AH64"/>
  <c r="AH63"/>
  <c r="AH62"/>
  <c r="AH61"/>
  <c r="AH60"/>
  <c r="AH59"/>
  <c r="AH58"/>
  <c r="AH57"/>
  <c r="AH53"/>
  <c r="AH52"/>
  <c r="AH51"/>
  <c r="AH50"/>
  <c r="AH49"/>
  <c r="AH48"/>
  <c r="AH47"/>
  <c r="AH46"/>
  <c r="AH45"/>
  <c r="AH44"/>
  <c r="AH43"/>
  <c r="AH37"/>
  <c r="AH36"/>
  <c r="AH35"/>
  <c r="AH34"/>
  <c r="AH32"/>
  <c r="AH31"/>
  <c r="AH30"/>
  <c r="AH28"/>
  <c r="AH27"/>
  <c r="AH26"/>
  <c r="AH25"/>
  <c r="AH24"/>
  <c r="AH23"/>
  <c r="AH22"/>
  <c r="AH21"/>
  <c r="AH20"/>
  <c r="AH19"/>
  <c r="AH13"/>
  <c r="AH14"/>
  <c r="AH15"/>
  <c r="AH12"/>
  <c r="AG86"/>
  <c r="AG79"/>
  <c r="AG78"/>
  <c r="AG77"/>
  <c r="AG76"/>
  <c r="AG64"/>
  <c r="AG63"/>
  <c r="AG62"/>
  <c r="AG61"/>
  <c r="AG60"/>
  <c r="AG59"/>
  <c r="AG58"/>
  <c r="AG57"/>
  <c r="AG53"/>
  <c r="AG52"/>
  <c r="AG51"/>
  <c r="AG50"/>
  <c r="AG49"/>
  <c r="AG48"/>
  <c r="AG47"/>
  <c r="AG46"/>
  <c r="AG45"/>
  <c r="AG44"/>
  <c r="AG43"/>
  <c r="AG37"/>
  <c r="AG36"/>
  <c r="AG34"/>
  <c r="AG32"/>
  <c r="AG31"/>
  <c r="AG30"/>
  <c r="AG28"/>
  <c r="AG27"/>
  <c r="AG26"/>
  <c r="AG25"/>
  <c r="AG24"/>
  <c r="AG23"/>
  <c r="AG22"/>
  <c r="AG21"/>
  <c r="AG20"/>
  <c r="AG19"/>
  <c r="AG13"/>
  <c r="AG14"/>
  <c r="AG15"/>
  <c r="AG12"/>
  <c r="AF79"/>
  <c r="AF78"/>
  <c r="AF77"/>
  <c r="AF76"/>
  <c r="AF64"/>
  <c r="AF63"/>
  <c r="AF62"/>
  <c r="AF61"/>
  <c r="AF60"/>
  <c r="AF59"/>
  <c r="AF58"/>
  <c r="AF57"/>
  <c r="AF53"/>
  <c r="AF52"/>
  <c r="AF51"/>
  <c r="AF50"/>
  <c r="AF49"/>
  <c r="AF48"/>
  <c r="AF47"/>
  <c r="AF46"/>
  <c r="AF45"/>
  <c r="AF44"/>
  <c r="AF43"/>
  <c r="AF37"/>
  <c r="AF36"/>
  <c r="AF35"/>
  <c r="AF34"/>
  <c r="AF32"/>
  <c r="AF31"/>
  <c r="AF30"/>
  <c r="AF28"/>
  <c r="AF27"/>
  <c r="AF26"/>
  <c r="AF25"/>
  <c r="AF24"/>
  <c r="AF23"/>
  <c r="AF22"/>
  <c r="AF21"/>
  <c r="AF20"/>
  <c r="AF19"/>
  <c r="AF13"/>
  <c r="AF14"/>
  <c r="AF15"/>
  <c r="AF12"/>
  <c r="AE86"/>
  <c r="AE79"/>
  <c r="AE78"/>
  <c r="AE77"/>
  <c r="AE76"/>
  <c r="AE64"/>
  <c r="AE63"/>
  <c r="AE62"/>
  <c r="AE61"/>
  <c r="AE60"/>
  <c r="AE58"/>
  <c r="AE53"/>
  <c r="AE52"/>
  <c r="AE51"/>
  <c r="AE50"/>
  <c r="AE49"/>
  <c r="AE48"/>
  <c r="AE47"/>
  <c r="AE46"/>
  <c r="AE45"/>
  <c r="AE44"/>
  <c r="AE43"/>
  <c r="AE37"/>
  <c r="AE36"/>
  <c r="AE34"/>
  <c r="AE32"/>
  <c r="AE31"/>
  <c r="AE30"/>
  <c r="AE28"/>
  <c r="AE27"/>
  <c r="AE26"/>
  <c r="AE25"/>
  <c r="AE24"/>
  <c r="AE23"/>
  <c r="AE22"/>
  <c r="AE21"/>
  <c r="AE20"/>
  <c r="AE19"/>
  <c r="AE13"/>
  <c r="AE14"/>
  <c r="AE15"/>
  <c r="AE12"/>
  <c r="AC86"/>
  <c r="AC79"/>
  <c r="AC78"/>
  <c r="AC76"/>
  <c r="AC64"/>
  <c r="AC63"/>
  <c r="AC62"/>
  <c r="AC61"/>
  <c r="AC60"/>
  <c r="AC59"/>
  <c r="AC58"/>
  <c r="AC57"/>
  <c r="AC53"/>
  <c r="AC52"/>
  <c r="AC51"/>
  <c r="AC50"/>
  <c r="AC49"/>
  <c r="AC48"/>
  <c r="AC47"/>
  <c r="AC46"/>
  <c r="AC45"/>
  <c r="AC44"/>
  <c r="AC43"/>
  <c r="AC37"/>
  <c r="AC36"/>
  <c r="AC35"/>
  <c r="AC34"/>
  <c r="AC32"/>
  <c r="AC31"/>
  <c r="AC30"/>
  <c r="AC28"/>
  <c r="AC27"/>
  <c r="AC26"/>
  <c r="AC25"/>
  <c r="AC24"/>
  <c r="AC23"/>
  <c r="AC22"/>
  <c r="AC21"/>
  <c r="AC20"/>
  <c r="AC19"/>
  <c r="AC13"/>
  <c r="AC14"/>
  <c r="AC15"/>
  <c r="AC12"/>
  <c r="AB86"/>
  <c r="AB79"/>
  <c r="AB78"/>
  <c r="AB77"/>
  <c r="AB76"/>
  <c r="AB64"/>
  <c r="AB63"/>
  <c r="AB62"/>
  <c r="AB61"/>
  <c r="AB60"/>
  <c r="AB59"/>
  <c r="AB58"/>
  <c r="AB53"/>
  <c r="AB52"/>
  <c r="AB51"/>
  <c r="AB50"/>
  <c r="AB49"/>
  <c r="AB48"/>
  <c r="AB47"/>
  <c r="AB46"/>
  <c r="AB45"/>
  <c r="AB44"/>
  <c r="AB43"/>
  <c r="AB37"/>
  <c r="AB36"/>
  <c r="AB35"/>
  <c r="AB34"/>
  <c r="AB32"/>
  <c r="AB31"/>
  <c r="AB30"/>
  <c r="AB28"/>
  <c r="AB27"/>
  <c r="AB26"/>
  <c r="AB25"/>
  <c r="AB24"/>
  <c r="AB23"/>
  <c r="AB22"/>
  <c r="AB21"/>
  <c r="AB20"/>
  <c r="AB19"/>
  <c r="AB13"/>
  <c r="AB14"/>
  <c r="AB15"/>
  <c r="AB12"/>
  <c r="AA86"/>
  <c r="AA79"/>
  <c r="AA78"/>
  <c r="AA77"/>
  <c r="AA76"/>
  <c r="AA64"/>
  <c r="AA63"/>
  <c r="AA62"/>
  <c r="AA61"/>
  <c r="AA60"/>
  <c r="AA53"/>
  <c r="AA52"/>
  <c r="AA51"/>
  <c r="AA50"/>
  <c r="AA49"/>
  <c r="AA48"/>
  <c r="AA47"/>
  <c r="AA46"/>
  <c r="AA45"/>
  <c r="AA37"/>
  <c r="AA36"/>
  <c r="AA34"/>
  <c r="AA28"/>
  <c r="AA27"/>
  <c r="AA26"/>
  <c r="AA25"/>
  <c r="AA24"/>
  <c r="AA23"/>
  <c r="AA21"/>
  <c r="AA20"/>
  <c r="AA19"/>
  <c r="AA15"/>
  <c r="AA13"/>
  <c r="AA14"/>
  <c r="AA12"/>
  <c r="Z86"/>
  <c r="Z79"/>
  <c r="Z78"/>
  <c r="Z77"/>
  <c r="Z76"/>
  <c r="Z64"/>
  <c r="Z62"/>
  <c r="Z61"/>
  <c r="Z60"/>
  <c r="Z59"/>
  <c r="Z58"/>
  <c r="Z57"/>
  <c r="Z53"/>
  <c r="Z52"/>
  <c r="Z51"/>
  <c r="Z50"/>
  <c r="Z49"/>
  <c r="Z48"/>
  <c r="Z47"/>
  <c r="Z46"/>
  <c r="Z45"/>
  <c r="Z44"/>
  <c r="Z43"/>
  <c r="Z37"/>
  <c r="Z36"/>
  <c r="Z35"/>
  <c r="Z34"/>
  <c r="Z32"/>
  <c r="Z31"/>
  <c r="Z30"/>
  <c r="Z28"/>
  <c r="Z27"/>
  <c r="Z26"/>
  <c r="Z25"/>
  <c r="Z24"/>
  <c r="Z23"/>
  <c r="Z21"/>
  <c r="Z20"/>
  <c r="Z19"/>
  <c r="Z13"/>
  <c r="Z14"/>
  <c r="Z15"/>
  <c r="Z12"/>
  <c r="Y86"/>
  <c r="Y79"/>
  <c r="Y78"/>
  <c r="Y77"/>
  <c r="Y76"/>
  <c r="Y64"/>
  <c r="Y63"/>
  <c r="Y62"/>
  <c r="Y61"/>
  <c r="Y60"/>
  <c r="Y59"/>
  <c r="Y58"/>
  <c r="Y57"/>
  <c r="Y53"/>
  <c r="Y52"/>
  <c r="Y51"/>
  <c r="Y50"/>
  <c r="Y49"/>
  <c r="Y48"/>
  <c r="Y47"/>
  <c r="Y46"/>
  <c r="Y45"/>
  <c r="Y44"/>
  <c r="Y43"/>
  <c r="Y37"/>
  <c r="Y36"/>
  <c r="Y35"/>
  <c r="Y34"/>
  <c r="Y32"/>
  <c r="Y31"/>
  <c r="Y30"/>
  <c r="Y28"/>
  <c r="Y27"/>
  <c r="Y26"/>
  <c r="Y25"/>
  <c r="Y24"/>
  <c r="Y23"/>
  <c r="Y22"/>
  <c r="Y21"/>
  <c r="Y20"/>
  <c r="Y19"/>
  <c r="Y13"/>
  <c r="Y14"/>
  <c r="Y12"/>
  <c r="X86"/>
  <c r="X79"/>
  <c r="X78"/>
  <c r="X77"/>
  <c r="X76"/>
  <c r="X64"/>
  <c r="X63"/>
  <c r="X62"/>
  <c r="X61"/>
  <c r="X60"/>
  <c r="X59"/>
  <c r="X58"/>
  <c r="X57"/>
  <c r="X53"/>
  <c r="X52"/>
  <c r="X51"/>
  <c r="X50"/>
  <c r="X49"/>
  <c r="X48"/>
  <c r="X47"/>
  <c r="X46"/>
  <c r="X45"/>
  <c r="X44"/>
  <c r="X43"/>
  <c r="X37"/>
  <c r="X36"/>
  <c r="X35"/>
  <c r="X34"/>
  <c r="X32"/>
  <c r="X31"/>
  <c r="X30"/>
  <c r="X28"/>
  <c r="X27"/>
  <c r="X26"/>
  <c r="X25"/>
  <c r="X24"/>
  <c r="X23"/>
  <c r="X22"/>
  <c r="X21"/>
  <c r="X20"/>
  <c r="X19"/>
  <c r="X13"/>
  <c r="X14"/>
  <c r="X15"/>
  <c r="X12"/>
  <c r="W86"/>
  <c r="W79"/>
  <c r="W78"/>
  <c r="W77"/>
  <c r="W76"/>
  <c r="W64"/>
  <c r="W63"/>
  <c r="W62"/>
  <c r="W61"/>
  <c r="W60"/>
  <c r="W59"/>
  <c r="W58"/>
  <c r="W57"/>
  <c r="W53"/>
  <c r="W52"/>
  <c r="W51"/>
  <c r="W50"/>
  <c r="W49"/>
  <c r="W48"/>
  <c r="W47"/>
  <c r="W46"/>
  <c r="W45"/>
  <c r="W44"/>
  <c r="W43"/>
  <c r="W37"/>
  <c r="W36"/>
  <c r="W35"/>
  <c r="W34"/>
  <c r="W32"/>
  <c r="W31"/>
  <c r="W30"/>
  <c r="W28"/>
  <c r="W27"/>
  <c r="W26"/>
  <c r="W25"/>
  <c r="W24"/>
  <c r="W21"/>
  <c r="W20"/>
  <c r="W13"/>
  <c r="W15"/>
  <c r="W12"/>
  <c r="V86"/>
  <c r="V79"/>
  <c r="V78"/>
  <c r="V77"/>
  <c r="V76"/>
  <c r="V64"/>
  <c r="V63"/>
  <c r="V62"/>
  <c r="V61"/>
  <c r="V60"/>
  <c r="V59"/>
  <c r="V58"/>
  <c r="V57"/>
  <c r="V53"/>
  <c r="V52"/>
  <c r="V51"/>
  <c r="V50"/>
  <c r="V49"/>
  <c r="V48"/>
  <c r="V47"/>
  <c r="V46"/>
  <c r="V45"/>
  <c r="V44"/>
  <c r="V43"/>
  <c r="V37"/>
  <c r="V36"/>
  <c r="V35"/>
  <c r="V34"/>
  <c r="V32"/>
  <c r="V31"/>
  <c r="V30"/>
  <c r="V28"/>
  <c r="V27"/>
  <c r="V26"/>
  <c r="V25"/>
  <c r="V24"/>
  <c r="V23"/>
  <c r="V22"/>
  <c r="V21"/>
  <c r="V20"/>
  <c r="V19"/>
  <c r="V13"/>
  <c r="V14"/>
  <c r="V15"/>
  <c r="V12"/>
  <c r="U86"/>
  <c r="U79"/>
  <c r="U78"/>
  <c r="U77"/>
  <c r="U76"/>
  <c r="U64"/>
  <c r="U63"/>
  <c r="U62"/>
  <c r="U61"/>
  <c r="U60"/>
  <c r="U59"/>
  <c r="U58"/>
  <c r="U57"/>
  <c r="U53"/>
  <c r="U52"/>
  <c r="U51"/>
  <c r="U50"/>
  <c r="U49"/>
  <c r="U48"/>
  <c r="U47"/>
  <c r="U46"/>
  <c r="U45"/>
  <c r="U44"/>
  <c r="U43"/>
  <c r="U37"/>
  <c r="U36"/>
  <c r="U35"/>
  <c r="U34"/>
  <c r="U32"/>
  <c r="U31"/>
  <c r="U30"/>
  <c r="U28"/>
  <c r="U27"/>
  <c r="U26"/>
  <c r="U25"/>
  <c r="U24"/>
  <c r="U23"/>
  <c r="U22"/>
  <c r="U21"/>
  <c r="U20"/>
  <c r="U19"/>
  <c r="U13"/>
  <c r="U14"/>
  <c r="U15"/>
  <c r="U12"/>
  <c r="T86"/>
  <c r="T79"/>
  <c r="T78"/>
  <c r="T77"/>
  <c r="T76"/>
  <c r="T64"/>
  <c r="T63"/>
  <c r="T62"/>
  <c r="T61"/>
  <c r="T60"/>
  <c r="T59"/>
  <c r="T58"/>
  <c r="T65" s="1"/>
  <c r="T57"/>
  <c r="T53"/>
  <c r="T52"/>
  <c r="T51"/>
  <c r="T50"/>
  <c r="T49"/>
  <c r="T48"/>
  <c r="T47"/>
  <c r="T46"/>
  <c r="T45"/>
  <c r="T44"/>
  <c r="T43"/>
  <c r="T54" s="1"/>
  <c r="T37"/>
  <c r="T36"/>
  <c r="T35"/>
  <c r="T34"/>
  <c r="T32"/>
  <c r="T31"/>
  <c r="T30"/>
  <c r="T28"/>
  <c r="T27"/>
  <c r="T26"/>
  <c r="T25"/>
  <c r="T24"/>
  <c r="T23"/>
  <c r="T22"/>
  <c r="T21"/>
  <c r="T20"/>
  <c r="T19"/>
  <c r="T13"/>
  <c r="T14"/>
  <c r="T15"/>
  <c r="T12"/>
  <c r="S86"/>
  <c r="S79"/>
  <c r="S78"/>
  <c r="S77"/>
  <c r="S76"/>
  <c r="S64"/>
  <c r="S63"/>
  <c r="S62"/>
  <c r="S61"/>
  <c r="S60"/>
  <c r="S59"/>
  <c r="S58"/>
  <c r="S57"/>
  <c r="S53"/>
  <c r="S52"/>
  <c r="S51"/>
  <c r="S50"/>
  <c r="S49"/>
  <c r="S48"/>
  <c r="S47"/>
  <c r="S46"/>
  <c r="S45"/>
  <c r="S44"/>
  <c r="S43"/>
  <c r="S37"/>
  <c r="S36"/>
  <c r="S35"/>
  <c r="S34"/>
  <c r="S33"/>
  <c r="S32"/>
  <c r="S31"/>
  <c r="S30"/>
  <c r="S28"/>
  <c r="S27"/>
  <c r="S26"/>
  <c r="S25"/>
  <c r="S24"/>
  <c r="S23"/>
  <c r="S22"/>
  <c r="S21"/>
  <c r="S20"/>
  <c r="S19"/>
  <c r="S13"/>
  <c r="S14"/>
  <c r="S15"/>
  <c r="S12"/>
  <c r="R86"/>
  <c r="R79"/>
  <c r="R78"/>
  <c r="R77"/>
  <c r="R76"/>
  <c r="R64"/>
  <c r="R63"/>
  <c r="R62"/>
  <c r="R61"/>
  <c r="R60"/>
  <c r="R59"/>
  <c r="R58"/>
  <c r="R57"/>
  <c r="R53"/>
  <c r="R52"/>
  <c r="R51"/>
  <c r="R50"/>
  <c r="R49"/>
  <c r="R48"/>
  <c r="R47"/>
  <c r="R46"/>
  <c r="R45"/>
  <c r="R44"/>
  <c r="R43"/>
  <c r="R37"/>
  <c r="R36"/>
  <c r="R35"/>
  <c r="R34"/>
  <c r="R32"/>
  <c r="R31"/>
  <c r="R30"/>
  <c r="R28"/>
  <c r="R27"/>
  <c r="R26"/>
  <c r="R25"/>
  <c r="R24"/>
  <c r="R23"/>
  <c r="R22"/>
  <c r="R21"/>
  <c r="R20"/>
  <c r="R19"/>
  <c r="R13"/>
  <c r="R14"/>
  <c r="R15"/>
  <c r="R12"/>
  <c r="R16" s="1"/>
  <c r="P86"/>
  <c r="O86"/>
  <c r="N86"/>
  <c r="M86"/>
  <c r="L86"/>
  <c r="K86"/>
  <c r="J86"/>
  <c r="H86"/>
  <c r="G86"/>
  <c r="E86"/>
  <c r="D86"/>
  <c r="C86"/>
  <c r="U65"/>
  <c r="V65"/>
  <c r="U54"/>
  <c r="V54"/>
  <c r="U29"/>
  <c r="V29"/>
  <c r="T16"/>
  <c r="U16"/>
  <c r="V16"/>
  <c r="P79"/>
  <c r="P78"/>
  <c r="P77"/>
  <c r="P76"/>
  <c r="P64"/>
  <c r="P63"/>
  <c r="P62"/>
  <c r="P61"/>
  <c r="P60"/>
  <c r="P59"/>
  <c r="P58"/>
  <c r="P57"/>
  <c r="P53"/>
  <c r="P52"/>
  <c r="P51"/>
  <c r="P50"/>
  <c r="P49"/>
  <c r="P48"/>
  <c r="P47"/>
  <c r="P46"/>
  <c r="P45"/>
  <c r="P44"/>
  <c r="P43"/>
  <c r="P37"/>
  <c r="P36"/>
  <c r="P35"/>
  <c r="P34"/>
  <c r="P32"/>
  <c r="P31"/>
  <c r="P30"/>
  <c r="P28"/>
  <c r="P27"/>
  <c r="P26"/>
  <c r="P25"/>
  <c r="P21"/>
  <c r="P20"/>
  <c r="P13"/>
  <c r="P14"/>
  <c r="P15"/>
  <c r="P12"/>
  <c r="O77"/>
  <c r="O76"/>
  <c r="O64"/>
  <c r="O63"/>
  <c r="O62"/>
  <c r="O61"/>
  <c r="O60"/>
  <c r="O58"/>
  <c r="O57"/>
  <c r="O53"/>
  <c r="O52"/>
  <c r="O51"/>
  <c r="O50"/>
  <c r="O49"/>
  <c r="O48"/>
  <c r="O47"/>
  <c r="O46"/>
  <c r="O44"/>
  <c r="O43"/>
  <c r="O37"/>
  <c r="O36"/>
  <c r="O34"/>
  <c r="O32"/>
  <c r="O31"/>
  <c r="O30"/>
  <c r="O27"/>
  <c r="O25"/>
  <c r="O24"/>
  <c r="O23"/>
  <c r="O22"/>
  <c r="O21"/>
  <c r="O20"/>
  <c r="O19"/>
  <c r="O13"/>
  <c r="O14"/>
  <c r="O15"/>
  <c r="O12"/>
  <c r="N79"/>
  <c r="N78"/>
  <c r="N77"/>
  <c r="N76"/>
  <c r="N64"/>
  <c r="N63"/>
  <c r="N62"/>
  <c r="N61"/>
  <c r="N60"/>
  <c r="N59"/>
  <c r="N58"/>
  <c r="N57"/>
  <c r="N53"/>
  <c r="N52"/>
  <c r="N51"/>
  <c r="N50"/>
  <c r="N49"/>
  <c r="N48"/>
  <c r="N47"/>
  <c r="N46"/>
  <c r="N45"/>
  <c r="N44"/>
  <c r="N43"/>
  <c r="N37"/>
  <c r="N36"/>
  <c r="N35"/>
  <c r="N34"/>
  <c r="N32"/>
  <c r="N31"/>
  <c r="N30"/>
  <c r="N28"/>
  <c r="N27"/>
  <c r="N26"/>
  <c r="N25"/>
  <c r="N24"/>
  <c r="N23"/>
  <c r="N22"/>
  <c r="N21"/>
  <c r="N20"/>
  <c r="N19"/>
  <c r="N13"/>
  <c r="N14"/>
  <c r="N15"/>
  <c r="N12"/>
  <c r="M78"/>
  <c r="M77"/>
  <c r="M76"/>
  <c r="M64"/>
  <c r="M63"/>
  <c r="M62"/>
  <c r="M61"/>
  <c r="M60"/>
  <c r="M59"/>
  <c r="M58"/>
  <c r="M57"/>
  <c r="M53"/>
  <c r="M52"/>
  <c r="M51"/>
  <c r="M50"/>
  <c r="M49"/>
  <c r="M48"/>
  <c r="M47"/>
  <c r="M46"/>
  <c r="M45"/>
  <c r="M44"/>
  <c r="M43"/>
  <c r="M37"/>
  <c r="M36"/>
  <c r="M34"/>
  <c r="M32"/>
  <c r="M31"/>
  <c r="M30"/>
  <c r="M27"/>
  <c r="M26"/>
  <c r="M25"/>
  <c r="M24"/>
  <c r="M23"/>
  <c r="M22"/>
  <c r="M21"/>
  <c r="M20"/>
  <c r="M19"/>
  <c r="M13"/>
  <c r="M14"/>
  <c r="M15"/>
  <c r="M12"/>
  <c r="L79"/>
  <c r="L78"/>
  <c r="L77"/>
  <c r="L76"/>
  <c r="L64"/>
  <c r="L63"/>
  <c r="L62"/>
  <c r="L61"/>
  <c r="L60"/>
  <c r="L59"/>
  <c r="L58"/>
  <c r="L57"/>
  <c r="L53"/>
  <c r="L52"/>
  <c r="L51"/>
  <c r="L50"/>
  <c r="L49"/>
  <c r="L48"/>
  <c r="L47"/>
  <c r="L46"/>
  <c r="L45"/>
  <c r="L44"/>
  <c r="L43"/>
  <c r="L37"/>
  <c r="L36"/>
  <c r="L35"/>
  <c r="L34"/>
  <c r="L32"/>
  <c r="L31"/>
  <c r="L30"/>
  <c r="L27"/>
  <c r="L20"/>
  <c r="L13"/>
  <c r="L14"/>
  <c r="L15"/>
  <c r="L12"/>
  <c r="K79"/>
  <c r="K78"/>
  <c r="K77"/>
  <c r="K76"/>
  <c r="K64"/>
  <c r="K63"/>
  <c r="K62"/>
  <c r="K61"/>
  <c r="K60"/>
  <c r="K59"/>
  <c r="K58"/>
  <c r="K57"/>
  <c r="K53"/>
  <c r="K52"/>
  <c r="K51"/>
  <c r="K50"/>
  <c r="K49"/>
  <c r="K48"/>
  <c r="K47"/>
  <c r="K46"/>
  <c r="K45"/>
  <c r="K44"/>
  <c r="K43"/>
  <c r="K37"/>
  <c r="K36"/>
  <c r="K35"/>
  <c r="K34"/>
  <c r="K32"/>
  <c r="K31"/>
  <c r="K30"/>
  <c r="K27"/>
  <c r="K13"/>
  <c r="K14"/>
  <c r="K15"/>
  <c r="K12"/>
  <c r="J79"/>
  <c r="J78"/>
  <c r="J77"/>
  <c r="J76"/>
  <c r="J64"/>
  <c r="J63"/>
  <c r="J62"/>
  <c r="J61"/>
  <c r="J60"/>
  <c r="J59"/>
  <c r="J58"/>
  <c r="J57"/>
  <c r="J53"/>
  <c r="J52"/>
  <c r="J51"/>
  <c r="J50"/>
  <c r="J49"/>
  <c r="J48"/>
  <c r="J47"/>
  <c r="J46"/>
  <c r="J45"/>
  <c r="J44"/>
  <c r="J43"/>
  <c r="J37"/>
  <c r="J36"/>
  <c r="J35"/>
  <c r="J34"/>
  <c r="J32"/>
  <c r="J31"/>
  <c r="J30"/>
  <c r="J27"/>
  <c r="J25"/>
  <c r="J24"/>
  <c r="J23"/>
  <c r="J21"/>
  <c r="J20"/>
  <c r="J19"/>
  <c r="J13"/>
  <c r="J14"/>
  <c r="J15"/>
  <c r="J12"/>
  <c r="H79"/>
  <c r="H78"/>
  <c r="H77"/>
  <c r="H76"/>
  <c r="H64"/>
  <c r="H63"/>
  <c r="H62"/>
  <c r="H61"/>
  <c r="H60"/>
  <c r="H59"/>
  <c r="H58"/>
  <c r="H57"/>
  <c r="H53"/>
  <c r="H52"/>
  <c r="H51"/>
  <c r="H50"/>
  <c r="H49"/>
  <c r="H48"/>
  <c r="H47"/>
  <c r="H46"/>
  <c r="H45"/>
  <c r="H44"/>
  <c r="H43"/>
  <c r="H37"/>
  <c r="H36"/>
  <c r="H35"/>
  <c r="H34"/>
  <c r="H32"/>
  <c r="H31"/>
  <c r="H30"/>
  <c r="H28"/>
  <c r="H27"/>
  <c r="H26"/>
  <c r="H25"/>
  <c r="H24"/>
  <c r="H23"/>
  <c r="H22"/>
  <c r="H21"/>
  <c r="H20"/>
  <c r="H19"/>
  <c r="H13"/>
  <c r="H14"/>
  <c r="H12"/>
  <c r="G79"/>
  <c r="G78"/>
  <c r="G77"/>
  <c r="G76"/>
  <c r="G64"/>
  <c r="G63"/>
  <c r="G62"/>
  <c r="G61"/>
  <c r="G60"/>
  <c r="G59"/>
  <c r="G58"/>
  <c r="G57"/>
  <c r="G53"/>
  <c r="G52"/>
  <c r="G51"/>
  <c r="G50"/>
  <c r="G49"/>
  <c r="G48"/>
  <c r="G47"/>
  <c r="G46"/>
  <c r="G45"/>
  <c r="G44"/>
  <c r="G43"/>
  <c r="G37"/>
  <c r="G36"/>
  <c r="G35"/>
  <c r="G34"/>
  <c r="G32"/>
  <c r="G31"/>
  <c r="G30"/>
  <c r="G28"/>
  <c r="G27"/>
  <c r="G26"/>
  <c r="G25"/>
  <c r="G24"/>
  <c r="G23"/>
  <c r="G22"/>
  <c r="G21"/>
  <c r="G20"/>
  <c r="G19"/>
  <c r="G13"/>
  <c r="G14"/>
  <c r="G15"/>
  <c r="G12"/>
  <c r="E79"/>
  <c r="E78"/>
  <c r="E77"/>
  <c r="E76"/>
  <c r="E64"/>
  <c r="E63"/>
  <c r="E62"/>
  <c r="E61"/>
  <c r="E60"/>
  <c r="E59"/>
  <c r="E58"/>
  <c r="E57"/>
  <c r="E53"/>
  <c r="E52"/>
  <c r="E51"/>
  <c r="E50"/>
  <c r="E49"/>
  <c r="E48"/>
  <c r="E47"/>
  <c r="E46"/>
  <c r="E45"/>
  <c r="E44"/>
  <c r="E43"/>
  <c r="E37"/>
  <c r="E36"/>
  <c r="E35"/>
  <c r="E34"/>
  <c r="E32"/>
  <c r="E31"/>
  <c r="E30"/>
  <c r="E28"/>
  <c r="E27"/>
  <c r="E26"/>
  <c r="E25"/>
  <c r="E24"/>
  <c r="E23"/>
  <c r="E22"/>
  <c r="E21"/>
  <c r="E20"/>
  <c r="E19"/>
  <c r="E13"/>
  <c r="E14"/>
  <c r="E15"/>
  <c r="D77"/>
  <c r="D76"/>
  <c r="D58"/>
  <c r="D60"/>
  <c r="D61"/>
  <c r="D62"/>
  <c r="D63"/>
  <c r="D64"/>
  <c r="D57"/>
  <c r="D44"/>
  <c r="D45"/>
  <c r="D46"/>
  <c r="D47"/>
  <c r="D48"/>
  <c r="D49"/>
  <c r="D50"/>
  <c r="D51"/>
  <c r="D52"/>
  <c r="D53"/>
  <c r="D43"/>
  <c r="D31"/>
  <c r="D32"/>
  <c r="D34"/>
  <c r="D36"/>
  <c r="D37"/>
  <c r="D30"/>
  <c r="D20"/>
  <c r="D21"/>
  <c r="D22"/>
  <c r="D23"/>
  <c r="D24"/>
  <c r="D25"/>
  <c r="D26"/>
  <c r="D27"/>
  <c r="D28"/>
  <c r="D19"/>
  <c r="D13"/>
  <c r="D14"/>
  <c r="D15"/>
  <c r="C77"/>
  <c r="C78"/>
  <c r="C79"/>
  <c r="C76"/>
  <c r="C58"/>
  <c r="C59"/>
  <c r="C60"/>
  <c r="C61"/>
  <c r="C62"/>
  <c r="C63"/>
  <c r="C64"/>
  <c r="C57"/>
  <c r="C44"/>
  <c r="C45"/>
  <c r="C46"/>
  <c r="C47"/>
  <c r="C48"/>
  <c r="C49"/>
  <c r="C50"/>
  <c r="C51"/>
  <c r="C52"/>
  <c r="C53"/>
  <c r="C43"/>
  <c r="C31"/>
  <c r="C32"/>
  <c r="C34"/>
  <c r="C35"/>
  <c r="C36"/>
  <c r="C37"/>
  <c r="C30"/>
  <c r="C20"/>
  <c r="C21"/>
  <c r="C22"/>
  <c r="C23"/>
  <c r="C24"/>
  <c r="C25"/>
  <c r="C26"/>
  <c r="C27"/>
  <c r="C28"/>
  <c r="C19"/>
  <c r="C13"/>
  <c r="C14"/>
  <c r="C15"/>
  <c r="T29" l="1"/>
  <c r="R54"/>
  <c r="P67" i="1"/>
  <c r="N67"/>
  <c r="R65" i="13"/>
  <c r="S16"/>
  <c r="S29"/>
  <c r="S38" s="1"/>
  <c r="S54"/>
  <c r="S65"/>
  <c r="V74"/>
  <c r="V80" s="1"/>
  <c r="V83" s="1"/>
  <c r="V85" s="1"/>
  <c r="V87" s="1"/>
  <c r="T74"/>
  <c r="T80" s="1"/>
  <c r="T83" s="1"/>
  <c r="T85" s="1"/>
  <c r="T87" s="1"/>
  <c r="AH65"/>
  <c r="AR65"/>
  <c r="V67"/>
  <c r="T67"/>
  <c r="Q67" i="1"/>
  <c r="O67"/>
  <c r="M67"/>
  <c r="AL74"/>
  <c r="AL80" s="1"/>
  <c r="AL83" s="1"/>
  <c r="AL85" s="1"/>
  <c r="AL87" s="1"/>
  <c r="AL33" s="1"/>
  <c r="AV33" i="13" s="1"/>
  <c r="K38" i="2"/>
  <c r="AL67" i="1"/>
  <c r="Q74"/>
  <c r="Q80" s="1"/>
  <c r="Q83" s="1"/>
  <c r="Q85" s="1"/>
  <c r="Q87" s="1"/>
  <c r="Q33" s="1"/>
  <c r="V33" i="13" s="1"/>
  <c r="V38" s="1"/>
  <c r="V40" s="1"/>
  <c r="O38" i="1"/>
  <c r="O40" s="1"/>
  <c r="R29" i="13"/>
  <c r="U67"/>
  <c r="I65"/>
  <c r="S40"/>
  <c r="K40" i="2"/>
  <c r="L74"/>
  <c r="L80" s="1"/>
  <c r="L83" s="1"/>
  <c r="L85" s="1"/>
  <c r="L87" s="1"/>
  <c r="L33" s="1"/>
  <c r="M87" i="1"/>
  <c r="M33" s="1"/>
  <c r="Q33" i="13" s="1"/>
  <c r="N74" i="1"/>
  <c r="N80" s="1"/>
  <c r="N83" s="1"/>
  <c r="N85" s="1"/>
  <c r="N87" s="1"/>
  <c r="N33" s="1"/>
  <c r="R33" i="13" s="1"/>
  <c r="P74" i="1"/>
  <c r="P80" s="1"/>
  <c r="P83" s="1"/>
  <c r="P85" s="1"/>
  <c r="P87" s="1"/>
  <c r="P33" s="1"/>
  <c r="U33" i="13" s="1"/>
  <c r="U38" s="1"/>
  <c r="U40" s="1"/>
  <c r="I54"/>
  <c r="R74"/>
  <c r="R80" s="1"/>
  <c r="R83" s="1"/>
  <c r="R85" s="1"/>
  <c r="R87" s="1"/>
  <c r="R67"/>
  <c r="U74"/>
  <c r="U80" s="1"/>
  <c r="U83" s="1"/>
  <c r="U85" s="1"/>
  <c r="U87" s="1"/>
  <c r="T33" l="1"/>
  <c r="T38" s="1"/>
  <c r="T40" s="1"/>
  <c r="D32" i="18" s="1"/>
  <c r="H33" i="19"/>
  <c r="E28" i="16"/>
  <c r="E30" i="18"/>
  <c r="D30" i="16"/>
  <c r="D29"/>
  <c r="D31" i="18"/>
  <c r="E31" i="16"/>
  <c r="E33" i="18"/>
  <c r="E30" i="16"/>
  <c r="E32" i="18"/>
  <c r="D31" i="16"/>
  <c r="D33" i="18"/>
  <c r="D32" i="16"/>
  <c r="D34" i="18"/>
  <c r="E32" i="16"/>
  <c r="E34" i="18"/>
  <c r="S74" i="13"/>
  <c r="S80" s="1"/>
  <c r="S83" s="1"/>
  <c r="S85" s="1"/>
  <c r="S87" s="1"/>
  <c r="S67"/>
  <c r="AL38" i="1"/>
  <c r="AL40" s="1"/>
  <c r="M38"/>
  <c r="M40" s="1"/>
  <c r="P38"/>
  <c r="P40" s="1"/>
  <c r="Q38"/>
  <c r="Q40" s="1"/>
  <c r="L38" i="2"/>
  <c r="L40" s="1"/>
  <c r="N38" i="1"/>
  <c r="N40" s="1"/>
  <c r="R38" i="13"/>
  <c r="R40" s="1"/>
  <c r="I67"/>
  <c r="F34" i="18" l="1"/>
  <c r="H34" s="1"/>
  <c r="F32"/>
  <c r="F33"/>
  <c r="H33" s="1"/>
  <c r="H38" i="19"/>
  <c r="D28" i="16"/>
  <c r="D30" i="18"/>
  <c r="E17" i="16"/>
  <c r="E19" i="18"/>
  <c r="E29" i="16"/>
  <c r="E31" i="18"/>
  <c r="H32"/>
  <c r="W23" i="13"/>
  <c r="W22"/>
  <c r="W19"/>
  <c r="W14"/>
  <c r="AU62"/>
  <c r="AU37"/>
  <c r="AS78"/>
  <c r="AS63"/>
  <c r="AS59"/>
  <c r="AS53"/>
  <c r="AS35"/>
  <c r="AS31"/>
  <c r="AT78"/>
  <c r="AT59"/>
  <c r="AT45"/>
  <c r="AT35"/>
  <c r="AT31"/>
  <c r="AR78"/>
  <c r="AR43"/>
  <c r="AR30"/>
  <c r="AQ79"/>
  <c r="AQ78"/>
  <c r="AQ59"/>
  <c r="AQ65" s="1"/>
  <c r="AP51"/>
  <c r="AP50"/>
  <c r="AP48"/>
  <c r="AP45"/>
  <c r="AQ35"/>
  <c r="AO61"/>
  <c r="AN78"/>
  <c r="AN59"/>
  <c r="AN45"/>
  <c r="AN35"/>
  <c r="AN28"/>
  <c r="AM57"/>
  <c r="AM50"/>
  <c r="AM49"/>
  <c r="AM45"/>
  <c r="AM43"/>
  <c r="AU78"/>
  <c r="AU59"/>
  <c r="AU65" s="1"/>
  <c r="AU45"/>
  <c r="AU35"/>
  <c r="AU15"/>
  <c r="AU16" s="1"/>
  <c r="AJ59"/>
  <c r="AJ35"/>
  <c r="AI59"/>
  <c r="AI35"/>
  <c r="AH76"/>
  <c r="AG35"/>
  <c r="AE59"/>
  <c r="AE35"/>
  <c r="AF86"/>
  <c r="AB57"/>
  <c r="Y15"/>
  <c r="Y16" s="1"/>
  <c r="AA22"/>
  <c r="Z63"/>
  <c r="Z22"/>
  <c r="O78"/>
  <c r="O45"/>
  <c r="O28"/>
  <c r="P24"/>
  <c r="P23"/>
  <c r="P22"/>
  <c r="P19"/>
  <c r="O79"/>
  <c r="O59"/>
  <c r="O65" s="1"/>
  <c r="O35"/>
  <c r="O26"/>
  <c r="M79"/>
  <c r="M35"/>
  <c r="M28"/>
  <c r="M29" s="1"/>
  <c r="L28"/>
  <c r="L26"/>
  <c r="L25"/>
  <c r="L24"/>
  <c r="L23"/>
  <c r="L22"/>
  <c r="L21"/>
  <c r="L19"/>
  <c r="J28"/>
  <c r="J26"/>
  <c r="J22"/>
  <c r="H15"/>
  <c r="I29"/>
  <c r="I16"/>
  <c r="E12"/>
  <c r="D79"/>
  <c r="D78"/>
  <c r="D59"/>
  <c r="D35"/>
  <c r="D12"/>
  <c r="C12"/>
  <c r="C16" s="1"/>
  <c r="AS57"/>
  <c r="AS65" s="1"/>
  <c r="AV29"/>
  <c r="AV38" s="1"/>
  <c r="AV65"/>
  <c r="AP16"/>
  <c r="AE57"/>
  <c r="AH54"/>
  <c r="AH29"/>
  <c r="AH16"/>
  <c r="AX16"/>
  <c r="AS29"/>
  <c r="AS16"/>
  <c r="AD54"/>
  <c r="AD29"/>
  <c r="AD16"/>
  <c r="X65"/>
  <c r="X54"/>
  <c r="X29"/>
  <c r="X16"/>
  <c r="Q65"/>
  <c r="Q16"/>
  <c r="M65"/>
  <c r="L65"/>
  <c r="M54"/>
  <c r="M67" s="1"/>
  <c r="L54"/>
  <c r="L67" s="1"/>
  <c r="M16"/>
  <c r="L16"/>
  <c r="B75"/>
  <c r="BB75" s="1"/>
  <c r="AL65"/>
  <c r="AG65"/>
  <c r="AF65"/>
  <c r="AC65"/>
  <c r="Z65"/>
  <c r="W65"/>
  <c r="P65"/>
  <c r="N65"/>
  <c r="K65"/>
  <c r="J65"/>
  <c r="H65"/>
  <c r="G65"/>
  <c r="F65"/>
  <c r="C65"/>
  <c r="B64"/>
  <c r="BB64" s="1"/>
  <c r="B60"/>
  <c r="AN65"/>
  <c r="AK65"/>
  <c r="AI65"/>
  <c r="D65"/>
  <c r="B58"/>
  <c r="AM65"/>
  <c r="AU54"/>
  <c r="AQ54"/>
  <c r="AO54"/>
  <c r="AL54"/>
  <c r="AK54"/>
  <c r="AJ54"/>
  <c r="AI54"/>
  <c r="AG54"/>
  <c r="AG67" s="1"/>
  <c r="E49" i="16" s="1"/>
  <c r="AF54" i="13"/>
  <c r="AE54"/>
  <c r="AC54"/>
  <c r="AB54"/>
  <c r="Z54"/>
  <c r="Z67" s="1"/>
  <c r="E38" i="16" s="1"/>
  <c r="Y54" i="13"/>
  <c r="W54"/>
  <c r="P54"/>
  <c r="O54"/>
  <c r="N54"/>
  <c r="K54"/>
  <c r="K67" s="1"/>
  <c r="J54"/>
  <c r="J67" s="1"/>
  <c r="H54"/>
  <c r="H67" s="1"/>
  <c r="G54"/>
  <c r="G67" s="1"/>
  <c r="F54"/>
  <c r="D54"/>
  <c r="C54"/>
  <c r="B52"/>
  <c r="B47"/>
  <c r="B46"/>
  <c r="B44"/>
  <c r="AR54"/>
  <c r="AR67" s="1"/>
  <c r="B39"/>
  <c r="BB39" s="1"/>
  <c r="B36"/>
  <c r="B34"/>
  <c r="B32"/>
  <c r="AU29"/>
  <c r="AT29"/>
  <c r="AR29"/>
  <c r="AQ29"/>
  <c r="AP29"/>
  <c r="AP38" s="1"/>
  <c r="AO29"/>
  <c r="AM29"/>
  <c r="AL29"/>
  <c r="AK29"/>
  <c r="AJ29"/>
  <c r="AI29"/>
  <c r="AG29"/>
  <c r="AF29"/>
  <c r="AE29"/>
  <c r="AC29"/>
  <c r="AB29"/>
  <c r="AA29"/>
  <c r="N29"/>
  <c r="G29"/>
  <c r="F29"/>
  <c r="D29"/>
  <c r="C29"/>
  <c r="B27"/>
  <c r="H29"/>
  <c r="Y29"/>
  <c r="B20"/>
  <c r="P29"/>
  <c r="AT16"/>
  <c r="AR16"/>
  <c r="AQ16"/>
  <c r="AO16"/>
  <c r="AN16"/>
  <c r="AM16"/>
  <c r="AL16"/>
  <c r="AK16"/>
  <c r="AJ16"/>
  <c r="AI16"/>
  <c r="AG16"/>
  <c r="AF16"/>
  <c r="AE16"/>
  <c r="AC16"/>
  <c r="AB16"/>
  <c r="AA16"/>
  <c r="Z16"/>
  <c r="P16"/>
  <c r="O16"/>
  <c r="N16"/>
  <c r="K16"/>
  <c r="J16"/>
  <c r="G16"/>
  <c r="F16"/>
  <c r="W16"/>
  <c r="B13"/>
  <c r="D16"/>
  <c r="F30" i="18" l="1"/>
  <c r="H30" s="1"/>
  <c r="F31"/>
  <c r="H31" s="1"/>
  <c r="H40" i="19"/>
  <c r="E16" i="16"/>
  <c r="E18" i="18"/>
  <c r="E21" i="16"/>
  <c r="E23" i="18"/>
  <c r="E22" i="16"/>
  <c r="E24" i="18"/>
  <c r="E15" i="16"/>
  <c r="E17" i="18"/>
  <c r="E20" i="16"/>
  <c r="E22" i="18"/>
  <c r="E23" i="16"/>
  <c r="E25" i="18"/>
  <c r="AG74" i="13"/>
  <c r="AJ74"/>
  <c r="AL74"/>
  <c r="AL80" s="1"/>
  <c r="AL83" s="1"/>
  <c r="AL85" s="1"/>
  <c r="AL87" s="1"/>
  <c r="C67"/>
  <c r="W67"/>
  <c r="E35" i="16" s="1"/>
  <c r="AC67" i="13"/>
  <c r="E45" i="16" s="1"/>
  <c r="O29" i="13"/>
  <c r="AF74"/>
  <c r="AF80" s="1"/>
  <c r="AF83" s="1"/>
  <c r="AF85" s="1"/>
  <c r="AF87" s="1"/>
  <c r="B26"/>
  <c r="AI74"/>
  <c r="AI80" s="1"/>
  <c r="AI83" s="1"/>
  <c r="AI85" s="1"/>
  <c r="AI87" s="1"/>
  <c r="AH74"/>
  <c r="F67"/>
  <c r="AD74"/>
  <c r="N67"/>
  <c r="W29"/>
  <c r="AL67"/>
  <c r="E55" i="16" s="1"/>
  <c r="AQ67" i="13"/>
  <c r="O67"/>
  <c r="I74"/>
  <c r="I80" s="1"/>
  <c r="I83" s="1"/>
  <c r="I85" s="1"/>
  <c r="I87" s="1"/>
  <c r="E54"/>
  <c r="AU74"/>
  <c r="AU80" s="1"/>
  <c r="AU83" s="1"/>
  <c r="AU85" s="1"/>
  <c r="AU87" s="1"/>
  <c r="AI67"/>
  <c r="E16"/>
  <c r="K29"/>
  <c r="K74" s="1"/>
  <c r="K80" s="1"/>
  <c r="K83" s="1"/>
  <c r="K85" s="1"/>
  <c r="K87" s="1"/>
  <c r="AB65"/>
  <c r="AB67" s="1"/>
  <c r="E42" i="16" s="1"/>
  <c r="E43" s="1"/>
  <c r="J29" i="13"/>
  <c r="J74" s="1"/>
  <c r="J80" s="1"/>
  <c r="J83" s="1"/>
  <c r="J85" s="1"/>
  <c r="J87" s="1"/>
  <c r="B25"/>
  <c r="Q29"/>
  <c r="Q74" s="1"/>
  <c r="Q80" s="1"/>
  <c r="Q83" s="1"/>
  <c r="Q85" s="1"/>
  <c r="Q87" s="1"/>
  <c r="Q38" s="1"/>
  <c r="Q40" s="1"/>
  <c r="Z29"/>
  <c r="Z74" s="1"/>
  <c r="Z80" s="1"/>
  <c r="Z83" s="1"/>
  <c r="Z85" s="1"/>
  <c r="Z87" s="1"/>
  <c r="AA54"/>
  <c r="AE65"/>
  <c r="AE67" s="1"/>
  <c r="E47" i="16" s="1"/>
  <c r="B76" i="13"/>
  <c r="AV16"/>
  <c r="AV74" s="1"/>
  <c r="AV80" s="1"/>
  <c r="AV83" s="1"/>
  <c r="AV85" s="1"/>
  <c r="AV87" s="1"/>
  <c r="AV54"/>
  <c r="AN29"/>
  <c r="AN74" s="1"/>
  <c r="AN80" s="1"/>
  <c r="AN83" s="1"/>
  <c r="AN85" s="1"/>
  <c r="AN87" s="1"/>
  <c r="AN54"/>
  <c r="AN67" s="1"/>
  <c r="E57" i="16" s="1"/>
  <c r="AT54" i="13"/>
  <c r="E29"/>
  <c r="E65"/>
  <c r="AH67"/>
  <c r="E50" i="16" s="1"/>
  <c r="AJ65" i="13"/>
  <c r="AJ67" s="1"/>
  <c r="E51" i="16" s="1"/>
  <c r="B31" i="13"/>
  <c r="AS54"/>
  <c r="B61"/>
  <c r="B49"/>
  <c r="AT65"/>
  <c r="B35"/>
  <c r="Q54"/>
  <c r="AP54"/>
  <c r="AP67" s="1"/>
  <c r="E59" i="16" s="1"/>
  <c r="B48" i="13"/>
  <c r="AK67"/>
  <c r="E52" i="16" s="1"/>
  <c r="AU67" i="13"/>
  <c r="E62" i="16" s="1"/>
  <c r="AS74" i="13"/>
  <c r="AS80" s="1"/>
  <c r="AS83" s="1"/>
  <c r="AS85" s="1"/>
  <c r="AS87" s="1"/>
  <c r="B79"/>
  <c r="AR74"/>
  <c r="AR80" s="1"/>
  <c r="AR83" s="1"/>
  <c r="AR85" s="1"/>
  <c r="AR87" s="1"/>
  <c r="AV67"/>
  <c r="E63" i="16" s="1"/>
  <c r="P67" i="13"/>
  <c r="AF67"/>
  <c r="E48" i="16" s="1"/>
  <c r="AH80" i="13"/>
  <c r="AH83" s="1"/>
  <c r="AH85" s="1"/>
  <c r="AH87" s="1"/>
  <c r="AP74"/>
  <c r="AP80" s="1"/>
  <c r="AP83" s="1"/>
  <c r="AP85" s="1"/>
  <c r="AP87" s="1"/>
  <c r="X74"/>
  <c r="X80" s="1"/>
  <c r="X83" s="1"/>
  <c r="X85" s="1"/>
  <c r="X87" s="1"/>
  <c r="X67"/>
  <c r="E36" i="16" s="1"/>
  <c r="AD80" i="13"/>
  <c r="AD83" s="1"/>
  <c r="AD85" s="1"/>
  <c r="AD87" s="1"/>
  <c r="AD67"/>
  <c r="E46" i="16" s="1"/>
  <c r="AR38" i="13"/>
  <c r="AR40" s="1"/>
  <c r="E67"/>
  <c r="L29"/>
  <c r="L74" s="1"/>
  <c r="L80" s="1"/>
  <c r="L83" s="1"/>
  <c r="L85" s="1"/>
  <c r="L87" s="1"/>
  <c r="AS67"/>
  <c r="B59"/>
  <c r="B78"/>
  <c r="B28"/>
  <c r="Q67"/>
  <c r="AM54"/>
  <c r="AM67" s="1"/>
  <c r="E56" i="16" s="1"/>
  <c r="B50" i="13"/>
  <c r="M74"/>
  <c r="M80" s="1"/>
  <c r="M83" s="1"/>
  <c r="M85" s="1"/>
  <c r="M87" s="1"/>
  <c r="B24"/>
  <c r="B53"/>
  <c r="W74"/>
  <c r="W80" s="1"/>
  <c r="W83" s="1"/>
  <c r="W85" s="1"/>
  <c r="W87" s="1"/>
  <c r="C74"/>
  <c r="O74"/>
  <c r="O80" s="1"/>
  <c r="O83" s="1"/>
  <c r="O85" s="1"/>
  <c r="O87" s="1"/>
  <c r="D74"/>
  <c r="D80" s="1"/>
  <c r="D83" s="1"/>
  <c r="D85" s="1"/>
  <c r="D87" s="1"/>
  <c r="H16"/>
  <c r="B12"/>
  <c r="D67"/>
  <c r="F74"/>
  <c r="F80" s="1"/>
  <c r="F83" s="1"/>
  <c r="F85" s="1"/>
  <c r="F87" s="1"/>
  <c r="AB74"/>
  <c r="AB80" s="1"/>
  <c r="AB83" s="1"/>
  <c r="AB85" s="1"/>
  <c r="AB87" s="1"/>
  <c r="AP40"/>
  <c r="D59" i="16" s="1"/>
  <c r="Y65" i="13"/>
  <c r="Y67" s="1"/>
  <c r="E37" i="16" s="1"/>
  <c r="AA65" i="13"/>
  <c r="AO65"/>
  <c r="AO67" s="1"/>
  <c r="E58" i="16" s="1"/>
  <c r="G74" i="13"/>
  <c r="G80" s="1"/>
  <c r="G83" s="1"/>
  <c r="G85" s="1"/>
  <c r="G87" s="1"/>
  <c r="N74"/>
  <c r="N80" s="1"/>
  <c r="N83" s="1"/>
  <c r="N85" s="1"/>
  <c r="N87" s="1"/>
  <c r="P74"/>
  <c r="P80" s="1"/>
  <c r="P83" s="1"/>
  <c r="P85" s="1"/>
  <c r="P87" s="1"/>
  <c r="Y74"/>
  <c r="Y80" s="1"/>
  <c r="Y83" s="1"/>
  <c r="Y85" s="1"/>
  <c r="Y87" s="1"/>
  <c r="AA74"/>
  <c r="AA80" s="1"/>
  <c r="AA83" s="1"/>
  <c r="AA85" s="1"/>
  <c r="AA87" s="1"/>
  <c r="AC74"/>
  <c r="AE74"/>
  <c r="AE80" s="1"/>
  <c r="AE83" s="1"/>
  <c r="AE85" s="1"/>
  <c r="AG80"/>
  <c r="AG83" s="1"/>
  <c r="AG85" s="1"/>
  <c r="AJ80"/>
  <c r="AJ83" s="1"/>
  <c r="AJ85" s="1"/>
  <c r="AK74"/>
  <c r="AK80" s="1"/>
  <c r="AK83" s="1"/>
  <c r="AK85" s="1"/>
  <c r="AK87" s="1"/>
  <c r="AM74"/>
  <c r="AM80" s="1"/>
  <c r="AM83" s="1"/>
  <c r="AM85" s="1"/>
  <c r="AM87" s="1"/>
  <c r="AO74"/>
  <c r="AO80" s="1"/>
  <c r="AO83" s="1"/>
  <c r="AO85" s="1"/>
  <c r="AO87" s="1"/>
  <c r="AQ74"/>
  <c r="AQ80" s="1"/>
  <c r="AQ83" s="1"/>
  <c r="AQ85" s="1"/>
  <c r="AQ87" s="1"/>
  <c r="AT74"/>
  <c r="AT80" s="1"/>
  <c r="AT83" s="1"/>
  <c r="AT85" s="1"/>
  <c r="AT87" s="1"/>
  <c r="B62"/>
  <c r="H71" i="19" l="1"/>
  <c r="H70"/>
  <c r="E26" i="16"/>
  <c r="E28" i="18"/>
  <c r="E12" i="16"/>
  <c r="E14" i="18"/>
  <c r="E27" i="16"/>
  <c r="E29" i="18"/>
  <c r="E13" i="16"/>
  <c r="E15" i="18"/>
  <c r="D27" i="16"/>
  <c r="D29" i="18"/>
  <c r="E25" i="16"/>
  <c r="E27" i="18"/>
  <c r="E24" i="16"/>
  <c r="E26" i="18"/>
  <c r="E14" i="16"/>
  <c r="E16" i="18"/>
  <c r="E11" i="16"/>
  <c r="E13" i="18"/>
  <c r="E71" s="1"/>
  <c r="E73" s="1"/>
  <c r="E60" i="16"/>
  <c r="E18"/>
  <c r="AA67" i="13"/>
  <c r="E39" i="16" s="1"/>
  <c r="E40" s="1"/>
  <c r="E33"/>
  <c r="E53"/>
  <c r="E74" i="13"/>
  <c r="E80" s="1"/>
  <c r="E83" s="1"/>
  <c r="E85" s="1"/>
  <c r="E87" s="1"/>
  <c r="AT67"/>
  <c r="E61" i="16" s="1"/>
  <c r="E65" s="1"/>
  <c r="AV40" i="13"/>
  <c r="D63" i="16" s="1"/>
  <c r="F38" i="13"/>
  <c r="F40" s="1"/>
  <c r="AJ87"/>
  <c r="AE87"/>
  <c r="AG87"/>
  <c r="C80"/>
  <c r="H74"/>
  <c r="H80" s="1"/>
  <c r="H83" s="1"/>
  <c r="H85" s="1"/>
  <c r="H87" s="1"/>
  <c r="F29" i="18" l="1"/>
  <c r="H29" s="1"/>
  <c r="D14" i="16"/>
  <c r="D16" i="18"/>
  <c r="C83" i="13"/>
  <c r="F16" i="18" l="1"/>
  <c r="H16" s="1"/>
  <c r="C85" i="13"/>
  <c r="J68" i="12"/>
  <c r="K73" i="15" s="1"/>
  <c r="I68" i="12"/>
  <c r="J73" i="15" s="1"/>
  <c r="H68" i="12"/>
  <c r="I73" i="15" s="1"/>
  <c r="G68" i="12"/>
  <c r="H73" i="15" s="1"/>
  <c r="F68" i="12"/>
  <c r="G73" i="15" s="1"/>
  <c r="J75" i="12"/>
  <c r="I75"/>
  <c r="H75"/>
  <c r="G75"/>
  <c r="F75"/>
  <c r="E75"/>
  <c r="D75"/>
  <c r="J28"/>
  <c r="I28"/>
  <c r="H28"/>
  <c r="G28"/>
  <c r="F28"/>
  <c r="E28"/>
  <c r="C28"/>
  <c r="BB34" i="13" s="1"/>
  <c r="J72" i="11"/>
  <c r="J72" i="12" s="1"/>
  <c r="K77" i="15" s="1"/>
  <c r="J71" i="11"/>
  <c r="J71" i="12" s="1"/>
  <c r="K76" i="15" s="1"/>
  <c r="J70" i="11"/>
  <c r="J70" i="12" s="1"/>
  <c r="K75" i="15" s="1"/>
  <c r="J69" i="11"/>
  <c r="J69" i="12" s="1"/>
  <c r="K74" i="15" s="1"/>
  <c r="J56" i="11"/>
  <c r="J56" i="12" s="1"/>
  <c r="K61" i="15" s="1"/>
  <c r="J55" i="11"/>
  <c r="J55" i="12" s="1"/>
  <c r="K60" i="15" s="1"/>
  <c r="J54" i="11"/>
  <c r="J54" i="12" s="1"/>
  <c r="K59" i="15" s="1"/>
  <c r="J53" i="11"/>
  <c r="J53" i="12" s="1"/>
  <c r="K58" i="15" s="1"/>
  <c r="J52" i="11"/>
  <c r="J52" i="12" s="1"/>
  <c r="K57" i="15" s="1"/>
  <c r="J47" i="11"/>
  <c r="J47" i="12" s="1"/>
  <c r="K52" i="15" s="1"/>
  <c r="J46" i="11"/>
  <c r="J46" i="12" s="1"/>
  <c r="K51" i="15" s="1"/>
  <c r="J45" i="11"/>
  <c r="J45" i="12" s="1"/>
  <c r="K50" i="15" s="1"/>
  <c r="J44" i="11"/>
  <c r="J44" i="12" s="1"/>
  <c r="K49" i="15" s="1"/>
  <c r="J43" i="11"/>
  <c r="J43" i="12" s="1"/>
  <c r="K48" i="15" s="1"/>
  <c r="J42" i="11"/>
  <c r="J42" i="12" s="1"/>
  <c r="K47" i="15" s="1"/>
  <c r="J41" i="11"/>
  <c r="J41" i="12" s="1"/>
  <c r="K46" i="15" s="1"/>
  <c r="J40" i="11"/>
  <c r="J40" i="12" s="1"/>
  <c r="K45" i="15" s="1"/>
  <c r="J38" i="11"/>
  <c r="J38" i="12" s="1"/>
  <c r="K43" i="15" s="1"/>
  <c r="J30" i="11"/>
  <c r="J30" i="12" s="1"/>
  <c r="K35" i="15" s="1"/>
  <c r="J29" i="11"/>
  <c r="J29" i="12" s="1"/>
  <c r="K34" i="15" s="1"/>
  <c r="J26" i="11"/>
  <c r="J26" i="12" s="1"/>
  <c r="K31" i="15" s="1"/>
  <c r="J25" i="11"/>
  <c r="J25" i="12" s="1"/>
  <c r="K30" i="15" s="1"/>
  <c r="J22" i="11"/>
  <c r="J21"/>
  <c r="J20"/>
  <c r="J19"/>
  <c r="J18"/>
  <c r="J14"/>
  <c r="J7"/>
  <c r="J6"/>
  <c r="I70" i="12"/>
  <c r="J75" i="15" s="1"/>
  <c r="I52" i="12"/>
  <c r="J57" i="15" s="1"/>
  <c r="I47" i="12"/>
  <c r="J52" i="15" s="1"/>
  <c r="I41" i="12"/>
  <c r="J46" i="15" s="1"/>
  <c r="I38" i="12"/>
  <c r="J43" i="15" s="1"/>
  <c r="I26" i="12"/>
  <c r="J31" i="15" s="1"/>
  <c r="I20" i="12"/>
  <c r="J25" i="15" s="1"/>
  <c r="I18" i="12"/>
  <c r="J23" i="15" s="1"/>
  <c r="I16" i="12"/>
  <c r="J21" i="15" s="1"/>
  <c r="I14" i="12"/>
  <c r="J19" i="15" s="1"/>
  <c r="I8" i="12"/>
  <c r="J13" i="15" s="1"/>
  <c r="H72" i="11"/>
  <c r="H71"/>
  <c r="H69"/>
  <c r="H57"/>
  <c r="H56"/>
  <c r="H55"/>
  <c r="H54"/>
  <c r="H53"/>
  <c r="H52"/>
  <c r="H51"/>
  <c r="H47"/>
  <c r="H46"/>
  <c r="H45"/>
  <c r="H44"/>
  <c r="H43"/>
  <c r="H42"/>
  <c r="H41"/>
  <c r="H40"/>
  <c r="H39"/>
  <c r="H38"/>
  <c r="H37"/>
  <c r="H31"/>
  <c r="H30"/>
  <c r="H29"/>
  <c r="H25"/>
  <c r="H24"/>
  <c r="H22"/>
  <c r="H21"/>
  <c r="H20"/>
  <c r="H19"/>
  <c r="H18"/>
  <c r="H17"/>
  <c r="H16"/>
  <c r="H15"/>
  <c r="H14"/>
  <c r="H13"/>
  <c r="H9"/>
  <c r="H8"/>
  <c r="H7"/>
  <c r="H6"/>
  <c r="G79"/>
  <c r="G72"/>
  <c r="G71"/>
  <c r="G70"/>
  <c r="G69"/>
  <c r="G57"/>
  <c r="G56"/>
  <c r="G55"/>
  <c r="G54"/>
  <c r="G53"/>
  <c r="G52"/>
  <c r="G47"/>
  <c r="G46"/>
  <c r="G45"/>
  <c r="G44"/>
  <c r="G43"/>
  <c r="G42"/>
  <c r="G41"/>
  <c r="G40"/>
  <c r="G39"/>
  <c r="G38"/>
  <c r="G37"/>
  <c r="G31"/>
  <c r="G30"/>
  <c r="G29"/>
  <c r="G26"/>
  <c r="G25"/>
  <c r="G24"/>
  <c r="G22"/>
  <c r="G21"/>
  <c r="G20"/>
  <c r="G19"/>
  <c r="G18"/>
  <c r="G17"/>
  <c r="G16"/>
  <c r="G15"/>
  <c r="G14"/>
  <c r="G13"/>
  <c r="G9"/>
  <c r="G8"/>
  <c r="G7"/>
  <c r="G6"/>
  <c r="F79"/>
  <c r="F72"/>
  <c r="F71"/>
  <c r="F70"/>
  <c r="F69"/>
  <c r="F57"/>
  <c r="F56"/>
  <c r="F55"/>
  <c r="F54"/>
  <c r="F53"/>
  <c r="F52"/>
  <c r="F51"/>
  <c r="F47"/>
  <c r="F46"/>
  <c r="F45"/>
  <c r="F44"/>
  <c r="F43"/>
  <c r="F42"/>
  <c r="C42" s="1"/>
  <c r="F41"/>
  <c r="F40"/>
  <c r="F39"/>
  <c r="F38"/>
  <c r="F37"/>
  <c r="F31"/>
  <c r="F30"/>
  <c r="F29"/>
  <c r="F26"/>
  <c r="F25"/>
  <c r="F24"/>
  <c r="F22"/>
  <c r="F21"/>
  <c r="F20"/>
  <c r="F19"/>
  <c r="F18"/>
  <c r="F17"/>
  <c r="F16"/>
  <c r="F15"/>
  <c r="F14"/>
  <c r="F13"/>
  <c r="F8"/>
  <c r="F7"/>
  <c r="C7" s="1"/>
  <c r="F6"/>
  <c r="E69" i="12"/>
  <c r="F74" i="15" s="1"/>
  <c r="E54" i="12"/>
  <c r="F59" i="15" s="1"/>
  <c r="E46" i="12"/>
  <c r="F51" i="15" s="1"/>
  <c r="C52" i="11"/>
  <c r="C47"/>
  <c r="C44"/>
  <c r="C30"/>
  <c r="C21"/>
  <c r="J75"/>
  <c r="I75"/>
  <c r="H75"/>
  <c r="G75"/>
  <c r="F75"/>
  <c r="E75"/>
  <c r="D75"/>
  <c r="F59"/>
  <c r="H48"/>
  <c r="J28"/>
  <c r="H28"/>
  <c r="G28"/>
  <c r="F28"/>
  <c r="E10"/>
  <c r="I79" i="12"/>
  <c r="I54"/>
  <c r="J59" i="15" s="1"/>
  <c r="I46" i="12"/>
  <c r="J51" i="15" s="1"/>
  <c r="I40" i="12"/>
  <c r="J45" i="15" s="1"/>
  <c r="I30" i="12"/>
  <c r="J35" i="15" s="1"/>
  <c r="I21" i="12"/>
  <c r="J26" i="15" s="1"/>
  <c r="I19" i="12"/>
  <c r="J24" i="15" s="1"/>
  <c r="I17" i="12"/>
  <c r="J22" i="15" s="1"/>
  <c r="I15" i="12"/>
  <c r="J20" i="15" s="1"/>
  <c r="I13" i="12"/>
  <c r="J18" i="15" s="1"/>
  <c r="I6" i="12"/>
  <c r="J11" i="15" s="1"/>
  <c r="H72" i="12"/>
  <c r="I77" i="15" s="1"/>
  <c r="H56" i="12"/>
  <c r="I61" i="15" s="1"/>
  <c r="H54" i="12"/>
  <c r="I59" i="15" s="1"/>
  <c r="H51" i="12"/>
  <c r="I56" i="15" s="1"/>
  <c r="H46" i="12"/>
  <c r="I51" i="15" s="1"/>
  <c r="H44" i="12"/>
  <c r="I49" i="15" s="1"/>
  <c r="H42" i="12"/>
  <c r="I47" i="15" s="1"/>
  <c r="H40" i="12"/>
  <c r="I45" i="15" s="1"/>
  <c r="H38" i="12"/>
  <c r="I43" i="15" s="1"/>
  <c r="H31" i="12"/>
  <c r="I36" i="15" s="1"/>
  <c r="H24" i="12"/>
  <c r="I29" i="15" s="1"/>
  <c r="H21" i="12"/>
  <c r="I26" i="15" s="1"/>
  <c r="H19" i="12"/>
  <c r="I24" i="15" s="1"/>
  <c r="H17" i="12"/>
  <c r="I22" i="15" s="1"/>
  <c r="H15" i="12"/>
  <c r="I20" i="15" s="1"/>
  <c r="H13" i="12"/>
  <c r="I18" i="15" s="1"/>
  <c r="H8" i="12"/>
  <c r="I13" i="15" s="1"/>
  <c r="H6" i="12"/>
  <c r="I11" i="15" s="1"/>
  <c r="G79" i="10"/>
  <c r="G72"/>
  <c r="G71"/>
  <c r="G70"/>
  <c r="G69"/>
  <c r="G57"/>
  <c r="G56"/>
  <c r="G55"/>
  <c r="G54"/>
  <c r="G53"/>
  <c r="G52"/>
  <c r="G47"/>
  <c r="G46"/>
  <c r="G45"/>
  <c r="G44"/>
  <c r="G43"/>
  <c r="G42"/>
  <c r="G41"/>
  <c r="G40"/>
  <c r="G39"/>
  <c r="G38"/>
  <c r="G37"/>
  <c r="G31"/>
  <c r="G30"/>
  <c r="G29"/>
  <c r="G26"/>
  <c r="G25"/>
  <c r="G24"/>
  <c r="G22"/>
  <c r="G21"/>
  <c r="G20"/>
  <c r="G19"/>
  <c r="G18"/>
  <c r="G17"/>
  <c r="G16"/>
  <c r="G15"/>
  <c r="G14"/>
  <c r="G13"/>
  <c r="G9"/>
  <c r="G8"/>
  <c r="G7"/>
  <c r="G6"/>
  <c r="F79"/>
  <c r="F70"/>
  <c r="F69"/>
  <c r="F56"/>
  <c r="F56" i="12" s="1"/>
  <c r="G61" i="15" s="1"/>
  <c r="F55" i="10"/>
  <c r="F55" i="12" s="1"/>
  <c r="G60" i="15" s="1"/>
  <c r="F52" i="10"/>
  <c r="F52" i="12" s="1"/>
  <c r="G57" i="15" s="1"/>
  <c r="F47" i="10"/>
  <c r="F46"/>
  <c r="F45"/>
  <c r="F44"/>
  <c r="F43"/>
  <c r="F42"/>
  <c r="F41"/>
  <c r="F40"/>
  <c r="F39"/>
  <c r="F38"/>
  <c r="F31"/>
  <c r="F31" i="12" s="1"/>
  <c r="G36" i="15" s="1"/>
  <c r="F30" i="10"/>
  <c r="F30" i="12" s="1"/>
  <c r="G35" i="15" s="1"/>
  <c r="F25" i="10"/>
  <c r="F25" i="12" s="1"/>
  <c r="G30" i="15" s="1"/>
  <c r="F22" i="10"/>
  <c r="F21"/>
  <c r="F20"/>
  <c r="F19"/>
  <c r="F18"/>
  <c r="F15"/>
  <c r="F14"/>
  <c r="F9"/>
  <c r="F7"/>
  <c r="F7" i="12" s="1"/>
  <c r="G12" i="15" s="1"/>
  <c r="F6" i="10"/>
  <c r="F6" i="12" s="1"/>
  <c r="G11" i="15" s="1"/>
  <c r="E56" i="12"/>
  <c r="F61" i="15" s="1"/>
  <c r="E51" i="12"/>
  <c r="F56" i="15" s="1"/>
  <c r="E44" i="12"/>
  <c r="F49" i="15" s="1"/>
  <c r="E40" i="12"/>
  <c r="F45" i="15" s="1"/>
  <c r="E38" i="12"/>
  <c r="F43" i="15" s="1"/>
  <c r="E37" i="12"/>
  <c r="F42" i="15" s="1"/>
  <c r="E31" i="12"/>
  <c r="F36" i="15" s="1"/>
  <c r="E30" i="12"/>
  <c r="F35" i="15" s="1"/>
  <c r="E26" i="12"/>
  <c r="F31" i="15" s="1"/>
  <c r="E25" i="12"/>
  <c r="F30" i="15" s="1"/>
  <c r="E24" i="12"/>
  <c r="F29" i="15" s="1"/>
  <c r="E21" i="12"/>
  <c r="F26" i="15" s="1"/>
  <c r="E14" i="12"/>
  <c r="F19" i="15" s="1"/>
  <c r="E9" i="12"/>
  <c r="F14" i="15" s="1"/>
  <c r="E8" i="12"/>
  <c r="F13" i="15" s="1"/>
  <c r="E7" i="12"/>
  <c r="F12" i="15" s="1"/>
  <c r="E6" i="12"/>
  <c r="F11" i="15" s="1"/>
  <c r="D75" i="10"/>
  <c r="D79"/>
  <c r="D70"/>
  <c r="D69"/>
  <c r="D57"/>
  <c r="D56"/>
  <c r="D55"/>
  <c r="D54"/>
  <c r="D52"/>
  <c r="D52" i="12" s="1"/>
  <c r="E57" i="15" s="1"/>
  <c r="D51" i="10"/>
  <c r="D51" i="12" s="1"/>
  <c r="E56" i="15" s="1"/>
  <c r="D47" i="10"/>
  <c r="D47" i="12" s="1"/>
  <c r="E52" i="15" s="1"/>
  <c r="D46" i="10"/>
  <c r="D46" i="12" s="1"/>
  <c r="E51" i="15" s="1"/>
  <c r="D45" i="10"/>
  <c r="D45" i="12" s="1"/>
  <c r="E50" i="15" s="1"/>
  <c r="D44" i="10"/>
  <c r="D44" i="12" s="1"/>
  <c r="E49" i="15" s="1"/>
  <c r="D43" i="10"/>
  <c r="D43" i="12" s="1"/>
  <c r="E48" i="15" s="1"/>
  <c r="D42" i="10"/>
  <c r="D42" i="12" s="1"/>
  <c r="E47" i="15" s="1"/>
  <c r="D41" i="10"/>
  <c r="D41" i="12" s="1"/>
  <c r="E46" i="15" s="1"/>
  <c r="D40" i="10"/>
  <c r="D40" i="12" s="1"/>
  <c r="E45" i="15" s="1"/>
  <c r="D39" i="10"/>
  <c r="D39" i="12" s="1"/>
  <c r="E44" i="15" s="1"/>
  <c r="D38" i="10"/>
  <c r="D38" i="12" s="1"/>
  <c r="E43" i="15" s="1"/>
  <c r="D37" i="10"/>
  <c r="D37" i="12" s="1"/>
  <c r="E42" i="15" s="1"/>
  <c r="D31" i="10"/>
  <c r="D31" i="12" s="1"/>
  <c r="E36" i="15" s="1"/>
  <c r="D30" i="10"/>
  <c r="D30" i="12" s="1"/>
  <c r="E35" i="15" s="1"/>
  <c r="D26" i="10"/>
  <c r="D25"/>
  <c r="D24"/>
  <c r="D22"/>
  <c r="D21"/>
  <c r="D20"/>
  <c r="D19"/>
  <c r="D18"/>
  <c r="D16"/>
  <c r="D16" i="12" s="1"/>
  <c r="E21" i="15" s="1"/>
  <c r="D15" i="10"/>
  <c r="D15" i="12" s="1"/>
  <c r="E20" i="15" s="1"/>
  <c r="D14" i="10"/>
  <c r="D14" i="12" s="1"/>
  <c r="E19" i="15" s="1"/>
  <c r="D13" i="10"/>
  <c r="D8"/>
  <c r="D8" i="12" s="1"/>
  <c r="E13" i="15" s="1"/>
  <c r="D7" i="10"/>
  <c r="D7" i="12" s="1"/>
  <c r="E12" i="15" s="1"/>
  <c r="J75" i="10"/>
  <c r="I75"/>
  <c r="H75"/>
  <c r="G75"/>
  <c r="F75"/>
  <c r="E75"/>
  <c r="J48"/>
  <c r="H48"/>
  <c r="J28"/>
  <c r="I28"/>
  <c r="G28"/>
  <c r="F28"/>
  <c r="E28"/>
  <c r="J22"/>
  <c r="J21"/>
  <c r="J21" i="12" s="1"/>
  <c r="K26" i="15" s="1"/>
  <c r="J20" i="10"/>
  <c r="J19"/>
  <c r="J19" i="12" s="1"/>
  <c r="K24" i="15" s="1"/>
  <c r="J18" i="10"/>
  <c r="J17"/>
  <c r="J16"/>
  <c r="J15"/>
  <c r="J14"/>
  <c r="J13"/>
  <c r="J9"/>
  <c r="J8"/>
  <c r="J7"/>
  <c r="J6"/>
  <c r="I56" i="12"/>
  <c r="J61" i="15" s="1"/>
  <c r="I57" i="12"/>
  <c r="J62" i="15" s="1"/>
  <c r="C25" i="11"/>
  <c r="I72" i="12"/>
  <c r="J77" i="15" s="1"/>
  <c r="I45" i="12"/>
  <c r="J50" i="15" s="1"/>
  <c r="I22" i="12"/>
  <c r="J27" i="15" s="1"/>
  <c r="I51" i="12"/>
  <c r="J56" i="15" s="1"/>
  <c r="I43" i="12"/>
  <c r="J48" i="15" s="1"/>
  <c r="I37" i="12"/>
  <c r="J42" i="15" s="1"/>
  <c r="H79" i="11"/>
  <c r="G51"/>
  <c r="G51" i="10"/>
  <c r="F72"/>
  <c r="F72" i="12" s="1"/>
  <c r="G77" i="15" s="1"/>
  <c r="F71" i="10"/>
  <c r="F71" i="12" s="1"/>
  <c r="G76" i="15" s="1"/>
  <c r="F54" i="10"/>
  <c r="F53"/>
  <c r="F51"/>
  <c r="F51" i="12" s="1"/>
  <c r="G56" i="15" s="1"/>
  <c r="F37" i="10"/>
  <c r="F29"/>
  <c r="F29" i="12" s="1"/>
  <c r="G34" i="15" s="1"/>
  <c r="F26" i="10"/>
  <c r="F26" i="12" s="1"/>
  <c r="G31" i="15" s="1"/>
  <c r="F24" i="10"/>
  <c r="F9" i="11"/>
  <c r="F57" i="10"/>
  <c r="F57" i="12" s="1"/>
  <c r="G62" i="15" s="1"/>
  <c r="D17" i="10"/>
  <c r="D9"/>
  <c r="D72"/>
  <c r="D71"/>
  <c r="D53"/>
  <c r="D53" i="12" s="1"/>
  <c r="E58" i="15" s="1"/>
  <c r="D29" i="10"/>
  <c r="D6"/>
  <c r="F8"/>
  <c r="F17"/>
  <c r="F16"/>
  <c r="F13"/>
  <c r="B82" i="2"/>
  <c r="B76"/>
  <c r="B75"/>
  <c r="B64"/>
  <c r="B62"/>
  <c r="B61"/>
  <c r="B60"/>
  <c r="B58"/>
  <c r="B53"/>
  <c r="B52"/>
  <c r="B50"/>
  <c r="B49"/>
  <c r="B48"/>
  <c r="B47"/>
  <c r="B46"/>
  <c r="B44"/>
  <c r="B36"/>
  <c r="B34"/>
  <c r="B27"/>
  <c r="B20"/>
  <c r="B13"/>
  <c r="B12"/>
  <c r="F8" i="12" l="1"/>
  <c r="G13" i="15" s="1"/>
  <c r="F23" i="11"/>
  <c r="F15" i="15"/>
  <c r="J28"/>
  <c r="E53"/>
  <c r="F48" i="11"/>
  <c r="H10"/>
  <c r="H23"/>
  <c r="C55"/>
  <c r="C75" i="12"/>
  <c r="BB82" i="13" s="1"/>
  <c r="F17" i="12"/>
  <c r="G22" i="15" s="1"/>
  <c r="C19" i="11"/>
  <c r="C22"/>
  <c r="C72"/>
  <c r="F24" i="12"/>
  <c r="G29" i="15" s="1"/>
  <c r="H69" i="12"/>
  <c r="I74" i="15" s="1"/>
  <c r="I55" i="12"/>
  <c r="J60" i="15" s="1"/>
  <c r="J7" i="12"/>
  <c r="K12" i="15" s="1"/>
  <c r="J14" i="12"/>
  <c r="K19" i="15" s="1"/>
  <c r="J18" i="12"/>
  <c r="K23" i="15" s="1"/>
  <c r="J20" i="12"/>
  <c r="K25" i="15" s="1"/>
  <c r="J22" i="12"/>
  <c r="K27" i="15" s="1"/>
  <c r="D19" i="12"/>
  <c r="E24" i="15" s="1"/>
  <c r="D21" i="12"/>
  <c r="E26" i="15" s="1"/>
  <c r="D24" i="12"/>
  <c r="E29" i="15" s="1"/>
  <c r="D26" i="12"/>
  <c r="E31" i="15" s="1"/>
  <c r="D54" i="12"/>
  <c r="E59" i="15" s="1"/>
  <c r="D56" i="12"/>
  <c r="E61" i="15" s="1"/>
  <c r="D69" i="12"/>
  <c r="E74" i="15" s="1"/>
  <c r="D79" i="12"/>
  <c r="E42"/>
  <c r="F47" i="15" s="1"/>
  <c r="F15" i="12"/>
  <c r="G20" i="15" s="1"/>
  <c r="F19" i="12"/>
  <c r="G24" i="15" s="1"/>
  <c r="F21" i="12"/>
  <c r="G26" i="15" s="1"/>
  <c r="F39" i="12"/>
  <c r="G44" i="15" s="1"/>
  <c r="F41" i="12"/>
  <c r="G46" i="15" s="1"/>
  <c r="F43" i="12"/>
  <c r="G48" i="15" s="1"/>
  <c r="F45" i="12"/>
  <c r="G50" i="15" s="1"/>
  <c r="F47" i="12"/>
  <c r="G52" i="15" s="1"/>
  <c r="F69" i="12"/>
  <c r="G74" i="15" s="1"/>
  <c r="F79" i="12"/>
  <c r="G7"/>
  <c r="H12" i="15" s="1"/>
  <c r="G9" i="12"/>
  <c r="H14" i="15" s="1"/>
  <c r="G14" i="12"/>
  <c r="H19" i="15" s="1"/>
  <c r="G16" i="12"/>
  <c r="H21" i="15" s="1"/>
  <c r="G18" i="12"/>
  <c r="H23" i="15" s="1"/>
  <c r="G20" i="12"/>
  <c r="H25" i="15" s="1"/>
  <c r="G22" i="12"/>
  <c r="H27" i="15" s="1"/>
  <c r="G25" i="12"/>
  <c r="H30" i="15" s="1"/>
  <c r="G29" i="12"/>
  <c r="H34" i="15" s="1"/>
  <c r="G31" i="12"/>
  <c r="H36" i="15" s="1"/>
  <c r="G38" i="12"/>
  <c r="H43" i="15" s="1"/>
  <c r="G40" i="12"/>
  <c r="H45" i="15" s="1"/>
  <c r="G42" i="12"/>
  <c r="H47" i="15" s="1"/>
  <c r="G44" i="12"/>
  <c r="H49" i="15" s="1"/>
  <c r="G46" i="12"/>
  <c r="H51" i="15" s="1"/>
  <c r="G52" i="12"/>
  <c r="H57" i="15" s="1"/>
  <c r="G54" i="12"/>
  <c r="H59" i="15" s="1"/>
  <c r="G56" i="12"/>
  <c r="H61" i="15" s="1"/>
  <c r="G69" i="12"/>
  <c r="H74" i="15" s="1"/>
  <c r="G71" i="12"/>
  <c r="H76" i="15" s="1"/>
  <c r="G79" i="12"/>
  <c r="H7"/>
  <c r="I12" i="15" s="1"/>
  <c r="H9" i="12"/>
  <c r="I14" i="15" s="1"/>
  <c r="H14" i="12"/>
  <c r="I19" i="15" s="1"/>
  <c r="H16" i="12"/>
  <c r="I21" i="15" s="1"/>
  <c r="H18" i="12"/>
  <c r="I23" i="15" s="1"/>
  <c r="H20" i="12"/>
  <c r="I25" i="15" s="1"/>
  <c r="H22" i="12"/>
  <c r="I27" i="15" s="1"/>
  <c r="H25" i="12"/>
  <c r="I30" i="15" s="1"/>
  <c r="H30" i="12"/>
  <c r="I35" i="15" s="1"/>
  <c r="H37" i="12"/>
  <c r="I42" i="15" s="1"/>
  <c r="H39" i="12"/>
  <c r="I44" i="15" s="1"/>
  <c r="H41" i="12"/>
  <c r="I46" i="15" s="1"/>
  <c r="H43" i="12"/>
  <c r="I48" i="15" s="1"/>
  <c r="H45" i="12"/>
  <c r="I50" i="15" s="1"/>
  <c r="H47" i="12"/>
  <c r="I52" i="15" s="1"/>
  <c r="H52" i="12"/>
  <c r="I57" i="15" s="1"/>
  <c r="C28" i="11"/>
  <c r="C75"/>
  <c r="C14"/>
  <c r="C38"/>
  <c r="J23" i="10"/>
  <c r="E10" i="12"/>
  <c r="C40" i="11"/>
  <c r="C46"/>
  <c r="G10"/>
  <c r="G23"/>
  <c r="G48"/>
  <c r="H59"/>
  <c r="H61" s="1"/>
  <c r="I23"/>
  <c r="C41"/>
  <c r="C38" i="10"/>
  <c r="F61" i="11"/>
  <c r="C54"/>
  <c r="C56"/>
  <c r="C69"/>
  <c r="F16" i="12"/>
  <c r="G21" i="15" s="1"/>
  <c r="C43" i="11"/>
  <c r="D29" i="12"/>
  <c r="E34" i="15" s="1"/>
  <c r="C18" i="11"/>
  <c r="C20"/>
  <c r="F10"/>
  <c r="F53" i="12"/>
  <c r="G58" i="15" s="1"/>
  <c r="I10" i="11"/>
  <c r="I44" i="12"/>
  <c r="J49" i="15" s="1"/>
  <c r="I42" i="12"/>
  <c r="J47" i="15" s="1"/>
  <c r="I24" i="12"/>
  <c r="J29" i="15" s="1"/>
  <c r="J6" i="12"/>
  <c r="K11" i="15" s="1"/>
  <c r="H23" i="10"/>
  <c r="D48"/>
  <c r="C40"/>
  <c r="D18" i="12"/>
  <c r="E23" i="15" s="1"/>
  <c r="D20" i="12"/>
  <c r="E25" i="15" s="1"/>
  <c r="D22" i="12"/>
  <c r="E27" i="15" s="1"/>
  <c r="D25" i="12"/>
  <c r="E30" i="15" s="1"/>
  <c r="D55" i="12"/>
  <c r="E60" i="15" s="1"/>
  <c r="D57" i="12"/>
  <c r="E62" i="15" s="1"/>
  <c r="D70" i="12"/>
  <c r="E75" i="15" s="1"/>
  <c r="E41" i="12"/>
  <c r="F46" i="15" s="1"/>
  <c r="E43" i="12"/>
  <c r="F48" i="15" s="1"/>
  <c r="E45" i="12"/>
  <c r="F50" i="15" s="1"/>
  <c r="E47" i="12"/>
  <c r="F52" i="15" s="1"/>
  <c r="E52" i="12"/>
  <c r="E55"/>
  <c r="F60" i="15" s="1"/>
  <c r="E57" i="12"/>
  <c r="F62" i="15" s="1"/>
  <c r="E70" i="12"/>
  <c r="F75" i="15" s="1"/>
  <c r="F14" i="12"/>
  <c r="G19" i="15" s="1"/>
  <c r="M19" s="1"/>
  <c r="O19" s="1"/>
  <c r="Q19" s="1"/>
  <c r="F18" i="12"/>
  <c r="G23" i="15" s="1"/>
  <c r="F20" i="12"/>
  <c r="G25" i="15" s="1"/>
  <c r="F22" i="12"/>
  <c r="G27" i="15" s="1"/>
  <c r="F38" i="12"/>
  <c r="F40"/>
  <c r="G45" i="15" s="1"/>
  <c r="M45" s="1"/>
  <c r="O45" s="1"/>
  <c r="Q45" s="1"/>
  <c r="F42" i="12"/>
  <c r="G47" i="15" s="1"/>
  <c r="F44" i="12"/>
  <c r="G49" i="15" s="1"/>
  <c r="F46" i="12"/>
  <c r="F70"/>
  <c r="G75" i="15" s="1"/>
  <c r="G6" i="12"/>
  <c r="H11" i="15" s="1"/>
  <c r="G8" i="12"/>
  <c r="H13" i="15" s="1"/>
  <c r="G13" i="12"/>
  <c r="H18" i="15" s="1"/>
  <c r="G15" i="12"/>
  <c r="H20" i="15" s="1"/>
  <c r="G17" i="12"/>
  <c r="H22" i="15" s="1"/>
  <c r="G19" i="12"/>
  <c r="H24" i="15" s="1"/>
  <c r="G21" i="12"/>
  <c r="G24"/>
  <c r="H29" i="15" s="1"/>
  <c r="G26" i="12"/>
  <c r="H31" i="15" s="1"/>
  <c r="G30" i="12"/>
  <c r="H35" i="15" s="1"/>
  <c r="M35" s="1"/>
  <c r="O35" s="1"/>
  <c r="Q35" s="1"/>
  <c r="G37" i="12"/>
  <c r="H42" i="15" s="1"/>
  <c r="G39" i="12"/>
  <c r="H44" i="15" s="1"/>
  <c r="G41" i="12"/>
  <c r="H46" i="15" s="1"/>
  <c r="G43" i="12"/>
  <c r="H48" i="15" s="1"/>
  <c r="G45" i="12"/>
  <c r="H50" i="15" s="1"/>
  <c r="G47" i="12"/>
  <c r="H52" i="15" s="1"/>
  <c r="G53" i="12"/>
  <c r="H58" i="15" s="1"/>
  <c r="G55" i="12"/>
  <c r="H60" i="15" s="1"/>
  <c r="G57" i="12"/>
  <c r="H62" i="15" s="1"/>
  <c r="G70" i="12"/>
  <c r="H75" i="15" s="1"/>
  <c r="G72" i="12"/>
  <c r="H77" i="15" s="1"/>
  <c r="H55" i="12"/>
  <c r="I60" i="15" s="1"/>
  <c r="H57" i="12"/>
  <c r="I62" i="15" s="1"/>
  <c r="I7" i="12"/>
  <c r="J12" i="15" s="1"/>
  <c r="M12" s="1"/>
  <c r="O12" s="1"/>
  <c r="Q12" s="1"/>
  <c r="I69" i="12"/>
  <c r="J74" i="15" s="1"/>
  <c r="D23" i="11"/>
  <c r="D48"/>
  <c r="C87" i="13"/>
  <c r="H26" i="11"/>
  <c r="C26" s="1"/>
  <c r="I48"/>
  <c r="I71" i="12"/>
  <c r="J76" i="15" s="1"/>
  <c r="C29" i="11"/>
  <c r="I59"/>
  <c r="E59"/>
  <c r="G59"/>
  <c r="G61" s="1"/>
  <c r="C6"/>
  <c r="D10"/>
  <c r="E23"/>
  <c r="E67" s="1"/>
  <c r="E48"/>
  <c r="D6" i="12"/>
  <c r="E11" i="15" s="1"/>
  <c r="E22" i="12"/>
  <c r="E17"/>
  <c r="F22" i="15" s="1"/>
  <c r="E19" i="12"/>
  <c r="E53"/>
  <c r="F58" i="15" s="1"/>
  <c r="G51" i="12"/>
  <c r="H56" i="15" s="1"/>
  <c r="I25" i="12"/>
  <c r="J30" i="15" s="1"/>
  <c r="E39" i="12"/>
  <c r="H79"/>
  <c r="I9"/>
  <c r="J14" i="15" s="1"/>
  <c r="C43" i="12"/>
  <c r="BB49" i="13" s="1"/>
  <c r="E20" i="12"/>
  <c r="E13"/>
  <c r="F18" i="15" s="1"/>
  <c r="E18" i="12"/>
  <c r="E29"/>
  <c r="F34" i="15" s="1"/>
  <c r="E72" i="12"/>
  <c r="F77" i="15" s="1"/>
  <c r="E71" i="12"/>
  <c r="F76" i="15" s="1"/>
  <c r="F9" i="12"/>
  <c r="H53"/>
  <c r="I58" i="15" s="1"/>
  <c r="I64" s="1"/>
  <c r="H29" i="12"/>
  <c r="I34" i="15" s="1"/>
  <c r="D71" i="12"/>
  <c r="E76" i="15" s="1"/>
  <c r="D17" i="12"/>
  <c r="E22" i="15" s="1"/>
  <c r="C17" i="10"/>
  <c r="E16" i="12"/>
  <c r="F21" i="15" s="1"/>
  <c r="C16" i="10"/>
  <c r="E15" i="12"/>
  <c r="F20" i="15" s="1"/>
  <c r="C15" i="10"/>
  <c r="F37" i="12"/>
  <c r="G42" i="15" s="1"/>
  <c r="F48" i="10"/>
  <c r="C39"/>
  <c r="I31" i="12"/>
  <c r="J36" i="15" s="1"/>
  <c r="C31" i="10"/>
  <c r="F13" i="12"/>
  <c r="G18" i="15" s="1"/>
  <c r="F23" i="10"/>
  <c r="D72" i="12"/>
  <c r="E77" i="15" s="1"/>
  <c r="C72" i="10"/>
  <c r="D9" i="12"/>
  <c r="E14" i="15" s="1"/>
  <c r="C9" i="10"/>
  <c r="F54" i="12"/>
  <c r="C54" i="10"/>
  <c r="F59" i="12"/>
  <c r="C56"/>
  <c r="BB62" i="13" s="1"/>
  <c r="C75" i="10"/>
  <c r="C14" i="12"/>
  <c r="BB20" i="13" s="1"/>
  <c r="I23" i="12"/>
  <c r="D48"/>
  <c r="D23" i="10"/>
  <c r="C79"/>
  <c r="D13" i="12"/>
  <c r="E18" i="15" s="1"/>
  <c r="G67" i="11"/>
  <c r="G73" s="1"/>
  <c r="G76" s="1"/>
  <c r="D59"/>
  <c r="D61" s="1"/>
  <c r="F10" i="10"/>
  <c r="H10"/>
  <c r="H67" s="1"/>
  <c r="J10"/>
  <c r="J67" s="1"/>
  <c r="J73" s="1"/>
  <c r="J76" s="1"/>
  <c r="J78" s="1"/>
  <c r="C7"/>
  <c r="C8"/>
  <c r="C21"/>
  <c r="C25"/>
  <c r="C26"/>
  <c r="C44"/>
  <c r="C46"/>
  <c r="C47"/>
  <c r="D59"/>
  <c r="D61" s="1"/>
  <c r="F59"/>
  <c r="J59"/>
  <c r="J61" s="1"/>
  <c r="C52"/>
  <c r="E10"/>
  <c r="G10"/>
  <c r="I10"/>
  <c r="C13"/>
  <c r="E23"/>
  <c r="G23"/>
  <c r="I23"/>
  <c r="C19"/>
  <c r="C20"/>
  <c r="C30"/>
  <c r="E48"/>
  <c r="G48"/>
  <c r="I48"/>
  <c r="C42"/>
  <c r="C43"/>
  <c r="E59"/>
  <c r="G59"/>
  <c r="I59"/>
  <c r="C56"/>
  <c r="C57"/>
  <c r="C14"/>
  <c r="C18"/>
  <c r="C22"/>
  <c r="C24"/>
  <c r="C28"/>
  <c r="C41"/>
  <c r="C6"/>
  <c r="C55"/>
  <c r="C69"/>
  <c r="D10"/>
  <c r="C37"/>
  <c r="C51"/>
  <c r="G28" i="15" l="1"/>
  <c r="F67" i="11"/>
  <c r="F73" s="1"/>
  <c r="F76" s="1"/>
  <c r="F78" s="1"/>
  <c r="F80" s="1"/>
  <c r="F27" s="1"/>
  <c r="F32" s="1"/>
  <c r="F34" s="1"/>
  <c r="J80" i="10"/>
  <c r="J27" s="1"/>
  <c r="J32" s="1"/>
  <c r="J34" s="1"/>
  <c r="M50" i="15"/>
  <c r="O50" s="1"/>
  <c r="Q50" s="1"/>
  <c r="M46"/>
  <c r="O46" s="1"/>
  <c r="Q46" s="1"/>
  <c r="M52"/>
  <c r="O52" s="1"/>
  <c r="Q52" s="1"/>
  <c r="M48"/>
  <c r="O48" s="1"/>
  <c r="Q48" s="1"/>
  <c r="C69" i="12"/>
  <c r="BB76" i="13" s="1"/>
  <c r="I28" i="15"/>
  <c r="I15"/>
  <c r="C21" i="12"/>
  <c r="BB27" i="13" s="1"/>
  <c r="H26" i="15"/>
  <c r="H28" s="1"/>
  <c r="C46" i="12"/>
  <c r="BB52" i="13" s="1"/>
  <c r="G51" i="15"/>
  <c r="M51" s="1"/>
  <c r="O51" s="1"/>
  <c r="Q51" s="1"/>
  <c r="C38" i="12"/>
  <c r="BB44" i="13" s="1"/>
  <c r="G43" i="15"/>
  <c r="M43" s="1"/>
  <c r="O43" s="1"/>
  <c r="Q43" s="1"/>
  <c r="C52" i="12"/>
  <c r="BB58" i="13" s="1"/>
  <c r="F57" i="15"/>
  <c r="M57" s="1"/>
  <c r="O57" s="1"/>
  <c r="Q57" s="1"/>
  <c r="H53"/>
  <c r="H15"/>
  <c r="M47"/>
  <c r="O47" s="1"/>
  <c r="Q47" s="1"/>
  <c r="I53"/>
  <c r="I66" s="1"/>
  <c r="M61"/>
  <c r="O61" s="1"/>
  <c r="Q61" s="1"/>
  <c r="M26"/>
  <c r="O26" s="1"/>
  <c r="Q26" s="1"/>
  <c r="M60"/>
  <c r="O60" s="1"/>
  <c r="Q60" s="1"/>
  <c r="M49"/>
  <c r="O49" s="1"/>
  <c r="Q49" s="1"/>
  <c r="C54" i="12"/>
  <c r="BB60" i="13" s="1"/>
  <c r="G59" i="15"/>
  <c r="G64" s="1"/>
  <c r="F10" i="12"/>
  <c r="G14" i="15"/>
  <c r="G15" s="1"/>
  <c r="C18" i="12"/>
  <c r="BB24" i="13" s="1"/>
  <c r="F23" i="15"/>
  <c r="M23" s="1"/>
  <c r="O23" s="1"/>
  <c r="Q23" s="1"/>
  <c r="C20" i="12"/>
  <c r="BB26" i="13" s="1"/>
  <c r="F25" i="15"/>
  <c r="M25" s="1"/>
  <c r="O25" s="1"/>
  <c r="Q25" s="1"/>
  <c r="E48" i="12"/>
  <c r="F44" i="15"/>
  <c r="F53" s="1"/>
  <c r="C19" i="12"/>
  <c r="BB25" i="13" s="1"/>
  <c r="F24" i="15"/>
  <c r="M24" s="1"/>
  <c r="O24" s="1"/>
  <c r="Q24" s="1"/>
  <c r="C22" i="12"/>
  <c r="BB28" i="13" s="1"/>
  <c r="F27" i="15"/>
  <c r="M27" s="1"/>
  <c r="O27" s="1"/>
  <c r="Q27" s="1"/>
  <c r="M77"/>
  <c r="O77" s="1"/>
  <c r="Q77" s="1"/>
  <c r="H64"/>
  <c r="H66" s="1"/>
  <c r="M74"/>
  <c r="O74" s="1"/>
  <c r="Q74" s="1"/>
  <c r="J15"/>
  <c r="M30"/>
  <c r="O30" s="1"/>
  <c r="Q30" s="1"/>
  <c r="E64"/>
  <c r="E66" s="1"/>
  <c r="E28"/>
  <c r="E15"/>
  <c r="M11"/>
  <c r="C29" i="10"/>
  <c r="C71" i="11"/>
  <c r="C53"/>
  <c r="H67"/>
  <c r="H10" i="12"/>
  <c r="D59"/>
  <c r="H23"/>
  <c r="G59"/>
  <c r="E73" i="11"/>
  <c r="E76" s="1"/>
  <c r="E78" s="1"/>
  <c r="E80" s="1"/>
  <c r="H48" i="12"/>
  <c r="F48"/>
  <c r="F61" s="1"/>
  <c r="C25"/>
  <c r="BB31" i="13" s="1"/>
  <c r="C30" i="12"/>
  <c r="BB36" i="13" s="1"/>
  <c r="C40" i="12"/>
  <c r="BB46" i="13" s="1"/>
  <c r="C7" i="12"/>
  <c r="BB13" i="13" s="1"/>
  <c r="C42" i="12"/>
  <c r="BB48" i="13" s="1"/>
  <c r="I67" i="11"/>
  <c r="I10" i="12"/>
  <c r="I67" s="1"/>
  <c r="C55"/>
  <c r="BB61" i="13" s="1"/>
  <c r="C47" i="12"/>
  <c r="BB53" i="13" s="1"/>
  <c r="C44" i="12"/>
  <c r="BB50" i="13" s="1"/>
  <c r="C53" i="10"/>
  <c r="I73" i="11"/>
  <c r="I76" s="1"/>
  <c r="I78" s="1"/>
  <c r="I29" i="12"/>
  <c r="G48"/>
  <c r="G23"/>
  <c r="G61" i="10"/>
  <c r="H59" i="12"/>
  <c r="H61" s="1"/>
  <c r="E59"/>
  <c r="E61" s="1"/>
  <c r="G10"/>
  <c r="C6"/>
  <c r="BB12" i="13" s="1"/>
  <c r="D67" i="11"/>
  <c r="D73" s="1"/>
  <c r="C41" i="12"/>
  <c r="BB47" i="13" s="1"/>
  <c r="F61" i="10"/>
  <c r="D10" i="12"/>
  <c r="I39"/>
  <c r="F67" i="10"/>
  <c r="F73" s="1"/>
  <c r="F76" s="1"/>
  <c r="F78" s="1"/>
  <c r="F23" i="12"/>
  <c r="D67" i="10"/>
  <c r="D73" s="1"/>
  <c r="D76" s="1"/>
  <c r="D78" s="1"/>
  <c r="H59"/>
  <c r="H61" s="1"/>
  <c r="E61" i="11"/>
  <c r="I61" i="10"/>
  <c r="E23" i="12"/>
  <c r="E67" s="1"/>
  <c r="H26"/>
  <c r="I31" i="15" s="1"/>
  <c r="M31" s="1"/>
  <c r="O31" s="1"/>
  <c r="Q31" s="1"/>
  <c r="I53" i="12"/>
  <c r="I61" i="11"/>
  <c r="C72" i="12"/>
  <c r="BB79" i="13" s="1"/>
  <c r="I67" i="10"/>
  <c r="I73" s="1"/>
  <c r="I76" s="1"/>
  <c r="I78" s="1"/>
  <c r="E61"/>
  <c r="G67"/>
  <c r="G73" s="1"/>
  <c r="G76" s="1"/>
  <c r="D61" i="12"/>
  <c r="D23"/>
  <c r="C10" i="10"/>
  <c r="E67"/>
  <c r="E73" s="1"/>
  <c r="E76" s="1"/>
  <c r="E78" s="1"/>
  <c r="C23"/>
  <c r="C59"/>
  <c r="F67" i="12" l="1"/>
  <c r="G72" i="15" s="1"/>
  <c r="F28"/>
  <c r="G67" i="12"/>
  <c r="G61"/>
  <c r="M59" i="15"/>
  <c r="O59" s="1"/>
  <c r="Q59" s="1"/>
  <c r="F64"/>
  <c r="G53"/>
  <c r="G66" s="1"/>
  <c r="F66"/>
  <c r="E80" i="10"/>
  <c r="E27" s="1"/>
  <c r="E32" s="1"/>
  <c r="E34" s="1"/>
  <c r="I80"/>
  <c r="I27" s="1"/>
  <c r="I32" s="1"/>
  <c r="I34" s="1"/>
  <c r="F73" i="12"/>
  <c r="E73"/>
  <c r="F72" i="15"/>
  <c r="D80" i="10"/>
  <c r="D27" s="1"/>
  <c r="D32" s="1"/>
  <c r="D34" s="1"/>
  <c r="F80"/>
  <c r="F27" s="1"/>
  <c r="F32" s="1"/>
  <c r="F34" s="1"/>
  <c r="I59" i="12"/>
  <c r="J58" i="15"/>
  <c r="J44"/>
  <c r="C29" i="12"/>
  <c r="BB35" i="13" s="1"/>
  <c r="J34" i="15"/>
  <c r="M34" s="1"/>
  <c r="O34" s="1"/>
  <c r="Q34" s="1"/>
  <c r="I80" i="11"/>
  <c r="I27" s="1"/>
  <c r="I32" s="1"/>
  <c r="I34" s="1"/>
  <c r="I73" i="12"/>
  <c r="J72" i="15"/>
  <c r="O11"/>
  <c r="D67" i="12"/>
  <c r="I48"/>
  <c r="C53"/>
  <c r="C26"/>
  <c r="BB32" i="13" s="1"/>
  <c r="H67" i="12"/>
  <c r="I72" i="15" s="1"/>
  <c r="D76" i="11"/>
  <c r="C67" i="10"/>
  <c r="M29" i="2"/>
  <c r="I61" i="12" l="1"/>
  <c r="G73"/>
  <c r="H72" i="15"/>
  <c r="E76" i="12"/>
  <c r="F78" i="15"/>
  <c r="F76" i="12"/>
  <c r="G78" i="15"/>
  <c r="J53"/>
  <c r="M58"/>
  <c r="J64"/>
  <c r="I76" i="12"/>
  <c r="J78" i="15"/>
  <c r="Q11"/>
  <c r="D73" i="12"/>
  <c r="E78" i="15" s="1"/>
  <c r="E72"/>
  <c r="BB59" i="13"/>
  <c r="D78" i="11"/>
  <c r="D80" s="1"/>
  <c r="D76" i="12" l="1"/>
  <c r="E81" i="15" s="1"/>
  <c r="H78"/>
  <c r="G76" i="12"/>
  <c r="H81" i="15" s="1"/>
  <c r="F78" i="12"/>
  <c r="G81" i="15"/>
  <c r="E78" i="12"/>
  <c r="F81" i="15"/>
  <c r="I78" i="12"/>
  <c r="J81" i="15"/>
  <c r="O58"/>
  <c r="J66"/>
  <c r="D78" i="12" l="1"/>
  <c r="D80" s="1"/>
  <c r="E83" i="15" s="1"/>
  <c r="F80" i="12"/>
  <c r="G83" i="15" s="1"/>
  <c r="Q58"/>
  <c r="I80" i="12"/>
  <c r="J83" i="15" s="1"/>
  <c r="D27" i="11"/>
  <c r="D32" s="1"/>
  <c r="D34" s="1"/>
  <c r="B31" i="2"/>
  <c r="B78"/>
  <c r="H75" i="17" s="1"/>
  <c r="J75" s="1"/>
  <c r="N75" s="1"/>
  <c r="B59" i="2"/>
  <c r="B79"/>
  <c r="H76" i="17" s="1"/>
  <c r="J76" s="1"/>
  <c r="N76" s="1"/>
  <c r="B35" i="2"/>
  <c r="B28"/>
  <c r="H25" i="17" s="1"/>
  <c r="J25" s="1"/>
  <c r="N25" s="1"/>
  <c r="B26" i="2"/>
  <c r="H23" i="17" s="1"/>
  <c r="J23" s="1"/>
  <c r="N23" s="1"/>
  <c r="B25" i="2"/>
  <c r="H22" i="17" s="1"/>
  <c r="J22" s="1"/>
  <c r="B24" i="2"/>
  <c r="H21" i="17" s="1"/>
  <c r="J21" s="1"/>
  <c r="N21" s="1"/>
  <c r="F27" i="12" l="1"/>
  <c r="I27"/>
  <c r="J32" i="15" s="1"/>
  <c r="J37" s="1"/>
  <c r="J39" s="1"/>
  <c r="D27" i="12"/>
  <c r="B32" i="2"/>
  <c r="I32" i="12" l="1"/>
  <c r="I34" s="1"/>
  <c r="F32"/>
  <c r="F34" s="1"/>
  <c r="G32" i="15"/>
  <c r="G37" s="1"/>
  <c r="G39" s="1"/>
  <c r="D32" i="12"/>
  <c r="D34" s="1"/>
  <c r="E32" i="15"/>
  <c r="V82" i="5"/>
  <c r="V78"/>
  <c r="V75"/>
  <c r="V74"/>
  <c r="V73"/>
  <c r="V72"/>
  <c r="V71"/>
  <c r="V61"/>
  <c r="V60"/>
  <c r="V59"/>
  <c r="V58"/>
  <c r="V57"/>
  <c r="V56"/>
  <c r="V55"/>
  <c r="V54"/>
  <c r="V50"/>
  <c r="V49"/>
  <c r="V48"/>
  <c r="V47"/>
  <c r="V46"/>
  <c r="V45"/>
  <c r="V44"/>
  <c r="V43"/>
  <c r="V42"/>
  <c r="V41"/>
  <c r="V40"/>
  <c r="V34"/>
  <c r="V33"/>
  <c r="V32"/>
  <c r="V28"/>
  <c r="V27"/>
  <c r="V25"/>
  <c r="V24"/>
  <c r="V23"/>
  <c r="V21"/>
  <c r="V20"/>
  <c r="V19"/>
  <c r="V18"/>
  <c r="V17"/>
  <c r="V16"/>
  <c r="V12"/>
  <c r="V11"/>
  <c r="V10"/>
  <c r="X78"/>
  <c r="X75"/>
  <c r="X74"/>
  <c r="X73"/>
  <c r="X72"/>
  <c r="X71"/>
  <c r="X61"/>
  <c r="X60"/>
  <c r="X59"/>
  <c r="X58"/>
  <c r="X57"/>
  <c r="X56"/>
  <c r="X55"/>
  <c r="X54"/>
  <c r="X50"/>
  <c r="X49"/>
  <c r="X48"/>
  <c r="X47"/>
  <c r="X46"/>
  <c r="X45"/>
  <c r="X44"/>
  <c r="X43"/>
  <c r="X42"/>
  <c r="X41"/>
  <c r="X40"/>
  <c r="X34"/>
  <c r="X33"/>
  <c r="X32"/>
  <c r="X28"/>
  <c r="X27"/>
  <c r="X25"/>
  <c r="X24"/>
  <c r="X23"/>
  <c r="X21"/>
  <c r="X20"/>
  <c r="X19"/>
  <c r="X18"/>
  <c r="X17"/>
  <c r="X16"/>
  <c r="X12"/>
  <c r="X11"/>
  <c r="X10"/>
  <c r="R78"/>
  <c r="R71"/>
  <c r="T71" s="1"/>
  <c r="R61"/>
  <c r="T61" s="1"/>
  <c r="N78"/>
  <c r="N71"/>
  <c r="P71" s="1"/>
  <c r="N61"/>
  <c r="P61" s="1"/>
  <c r="J78"/>
  <c r="J61"/>
  <c r="L61" s="1"/>
  <c r="F78"/>
  <c r="F71"/>
  <c r="H71" s="1"/>
  <c r="F61"/>
  <c r="H61" s="1"/>
  <c r="B78"/>
  <c r="B61"/>
  <c r="E37" i="15" l="1"/>
  <c r="E39" s="1"/>
  <c r="D61" i="5"/>
  <c r="N31" i="4"/>
  <c r="L62"/>
  <c r="V62" i="5" s="1"/>
  <c r="X62" s="1"/>
  <c r="L51" i="4"/>
  <c r="N61"/>
  <c r="L31"/>
  <c r="V31" i="5" s="1"/>
  <c r="X31" s="1"/>
  <c r="D83" i="4"/>
  <c r="L64" l="1"/>
  <c r="V64" i="5" s="1"/>
  <c r="X64" s="1"/>
  <c r="V51"/>
  <c r="X51" s="1"/>
  <c r="F82"/>
  <c r="J31" i="4" l="1"/>
  <c r="R31" i="5" s="1"/>
  <c r="H31" i="4"/>
  <c r="N31" i="5" s="1"/>
  <c r="F31" i="4"/>
  <c r="J31" i="5" s="1"/>
  <c r="D31" i="4"/>
  <c r="B31"/>
  <c r="C33" i="15" s="1"/>
  <c r="O33" s="1"/>
  <c r="Q33" s="1"/>
  <c r="B71" i="5"/>
  <c r="F31" l="1"/>
  <c r="B31"/>
  <c r="F72" i="4"/>
  <c r="J71" i="5" s="1"/>
  <c r="L71" s="1"/>
  <c r="D71"/>
  <c r="D32" i="4" l="1"/>
  <c r="F32" i="5" l="1"/>
  <c r="H73" i="4" l="1"/>
  <c r="N72" i="5" s="1"/>
  <c r="H59" i="4" l="1"/>
  <c r="N59" i="5" s="1"/>
  <c r="H58" i="4"/>
  <c r="N58" i="5" s="1"/>
  <c r="H57" i="4"/>
  <c r="N57" i="5" s="1"/>
  <c r="H55" i="4"/>
  <c r="N55" i="5" s="1"/>
  <c r="H50" i="4"/>
  <c r="N50" i="5" s="1"/>
  <c r="H49" i="4"/>
  <c r="N49" i="5" s="1"/>
  <c r="H47" i="4"/>
  <c r="N47" i="5" s="1"/>
  <c r="H46" i="4"/>
  <c r="N46" i="5" s="1"/>
  <c r="H45" i="4"/>
  <c r="N45" i="5" s="1"/>
  <c r="H44" i="4"/>
  <c r="N44" i="5" s="1"/>
  <c r="H43" i="4"/>
  <c r="N43" i="5" s="1"/>
  <c r="H41" i="4"/>
  <c r="N41" i="5" s="1"/>
  <c r="H33" i="4"/>
  <c r="N33" i="5" s="1"/>
  <c r="H24" i="4"/>
  <c r="N24" i="5" s="1"/>
  <c r="H17" i="4"/>
  <c r="N17" i="5" s="1"/>
  <c r="H10" i="4"/>
  <c r="N10" i="5" s="1"/>
  <c r="H75" i="4"/>
  <c r="N74" i="5" s="1"/>
  <c r="H32" i="4"/>
  <c r="N32" i="5" l="1"/>
  <c r="D76" i="4"/>
  <c r="D75"/>
  <c r="D73"/>
  <c r="H21"/>
  <c r="N21" i="5" s="1"/>
  <c r="H25" i="4"/>
  <c r="N25" i="5" s="1"/>
  <c r="H76" i="4"/>
  <c r="N75" i="5" s="1"/>
  <c r="H29" i="4"/>
  <c r="N29" i="5" s="1"/>
  <c r="H56" i="4"/>
  <c r="N56" i="5" s="1"/>
  <c r="H9" i="4"/>
  <c r="N9" i="5" s="1"/>
  <c r="H23" i="4"/>
  <c r="N23" i="5" s="1"/>
  <c r="H22" i="4"/>
  <c r="N22" i="5" s="1"/>
  <c r="H28" i="4"/>
  <c r="N28" i="5" s="1"/>
  <c r="F72" l="1"/>
  <c r="F75"/>
  <c r="F74"/>
  <c r="AG54" i="1"/>
  <c r="AG29"/>
  <c r="AG16"/>
  <c r="AA54"/>
  <c r="AA29"/>
  <c r="AA16"/>
  <c r="AG74" l="1"/>
  <c r="AA74"/>
  <c r="AA80" s="1"/>
  <c r="AA65"/>
  <c r="AA67" s="1"/>
  <c r="S65"/>
  <c r="S54"/>
  <c r="S29"/>
  <c r="S16"/>
  <c r="R16"/>
  <c r="R74" s="1"/>
  <c r="R80" s="1"/>
  <c r="R83" s="1"/>
  <c r="R85" s="1"/>
  <c r="R87" s="1"/>
  <c r="R33" s="1"/>
  <c r="R38" s="1"/>
  <c r="R40" s="1"/>
  <c r="T65"/>
  <c r="T54"/>
  <c r="T29"/>
  <c r="T16"/>
  <c r="W33" i="13" l="1"/>
  <c r="W38" s="1"/>
  <c r="W40" s="1"/>
  <c r="AA83" i="1"/>
  <c r="AA85" s="1"/>
  <c r="AA87" s="1"/>
  <c r="AA33" s="1"/>
  <c r="AG65"/>
  <c r="AG67" s="1"/>
  <c r="AG80"/>
  <c r="S74"/>
  <c r="S80" s="1"/>
  <c r="S67"/>
  <c r="T74"/>
  <c r="T80" s="1"/>
  <c r="R67"/>
  <c r="T67"/>
  <c r="L65"/>
  <c r="L54"/>
  <c r="L16"/>
  <c r="D35" i="16" l="1"/>
  <c r="D37" i="18"/>
  <c r="F37" s="1"/>
  <c r="H37" s="1"/>
  <c r="AA38" i="1"/>
  <c r="AA40" s="1"/>
  <c r="AJ33" i="13"/>
  <c r="AJ38" s="1"/>
  <c r="AJ40" s="1"/>
  <c r="D51" i="16" s="1"/>
  <c r="AD38" i="13"/>
  <c r="AD40" s="1"/>
  <c r="D46" i="16" s="1"/>
  <c r="T83" i="1"/>
  <c r="T85" s="1"/>
  <c r="T87" s="1"/>
  <c r="T33" s="1"/>
  <c r="S83"/>
  <c r="S85" s="1"/>
  <c r="S87" s="1"/>
  <c r="S33" s="1"/>
  <c r="AG83"/>
  <c r="AG85" s="1"/>
  <c r="AG87" s="1"/>
  <c r="AG38"/>
  <c r="AG40" s="1"/>
  <c r="L67"/>
  <c r="L29"/>
  <c r="L74" s="1"/>
  <c r="L80" s="1"/>
  <c r="D16"/>
  <c r="T54" i="2"/>
  <c r="AK65" i="1"/>
  <c r="AK54"/>
  <c r="AD54"/>
  <c r="AI29"/>
  <c r="U65"/>
  <c r="M16" i="2"/>
  <c r="D34" i="4"/>
  <c r="I29" i="1"/>
  <c r="F16" i="2"/>
  <c r="Y65" i="1"/>
  <c r="T16" i="2"/>
  <c r="T29"/>
  <c r="T65"/>
  <c r="S16"/>
  <c r="S29"/>
  <c r="R29"/>
  <c r="R16"/>
  <c r="R54"/>
  <c r="R65"/>
  <c r="P16"/>
  <c r="P29"/>
  <c r="P54"/>
  <c r="P65"/>
  <c r="O16"/>
  <c r="O29"/>
  <c r="O65"/>
  <c r="O54"/>
  <c r="N16"/>
  <c r="N29"/>
  <c r="N54"/>
  <c r="N65"/>
  <c r="M54"/>
  <c r="M65"/>
  <c r="J29"/>
  <c r="J16"/>
  <c r="J54"/>
  <c r="J65"/>
  <c r="I16"/>
  <c r="I29"/>
  <c r="I54"/>
  <c r="I65"/>
  <c r="H16"/>
  <c r="H54"/>
  <c r="H65"/>
  <c r="F29"/>
  <c r="F54"/>
  <c r="F65"/>
  <c r="C29"/>
  <c r="C54"/>
  <c r="C65"/>
  <c r="AK16" i="1"/>
  <c r="AK29"/>
  <c r="AJ16"/>
  <c r="AJ29"/>
  <c r="AJ54"/>
  <c r="AJ65"/>
  <c r="AI16"/>
  <c r="AI54"/>
  <c r="AI65"/>
  <c r="AH65"/>
  <c r="AH16"/>
  <c r="AH29"/>
  <c r="AF54"/>
  <c r="AF16"/>
  <c r="AF29"/>
  <c r="AE29"/>
  <c r="AE16"/>
  <c r="AE54"/>
  <c r="AE65"/>
  <c r="AD65"/>
  <c r="AD16"/>
  <c r="AD29"/>
  <c r="AC65"/>
  <c r="AC16"/>
  <c r="AC29"/>
  <c r="Z16"/>
  <c r="Z29"/>
  <c r="Z54"/>
  <c r="Z65"/>
  <c r="Y16"/>
  <c r="Y29"/>
  <c r="Y54"/>
  <c r="X29"/>
  <c r="X16"/>
  <c r="X54"/>
  <c r="W29"/>
  <c r="W16"/>
  <c r="W65"/>
  <c r="W54"/>
  <c r="V16"/>
  <c r="V29"/>
  <c r="V54"/>
  <c r="V65"/>
  <c r="U16"/>
  <c r="U29"/>
  <c r="U54"/>
  <c r="K16"/>
  <c r="K54"/>
  <c r="K65"/>
  <c r="J16"/>
  <c r="J54"/>
  <c r="J65"/>
  <c r="I16"/>
  <c r="I54"/>
  <c r="I65"/>
  <c r="H29"/>
  <c r="H16"/>
  <c r="H54"/>
  <c r="H65"/>
  <c r="G16"/>
  <c r="G29"/>
  <c r="G54"/>
  <c r="G65"/>
  <c r="F16"/>
  <c r="F29"/>
  <c r="F54"/>
  <c r="F65"/>
  <c r="D29"/>
  <c r="D54"/>
  <c r="D65"/>
  <c r="C16"/>
  <c r="C29"/>
  <c r="C54"/>
  <c r="C65"/>
  <c r="D16" i="4"/>
  <c r="D11"/>
  <c r="D59"/>
  <c r="D55"/>
  <c r="D50"/>
  <c r="D49"/>
  <c r="D47"/>
  <c r="D46"/>
  <c r="D44"/>
  <c r="D43"/>
  <c r="D41"/>
  <c r="D33"/>
  <c r="D24"/>
  <c r="D20"/>
  <c r="D18"/>
  <c r="D17"/>
  <c r="D12"/>
  <c r="D10"/>
  <c r="S74" i="2" l="1"/>
  <c r="S80" s="1"/>
  <c r="T74"/>
  <c r="T80" s="1"/>
  <c r="T38" i="1"/>
  <c r="T40" s="1"/>
  <c r="AA33" i="13"/>
  <c r="AA38" s="1"/>
  <c r="AA40" s="1"/>
  <c r="D39" i="16" s="1"/>
  <c r="AI74" i="1"/>
  <c r="AI80" s="1"/>
  <c r="AI83" s="1"/>
  <c r="AI85" s="1"/>
  <c r="AI87" s="1"/>
  <c r="S38"/>
  <c r="S40" s="1"/>
  <c r="Z33" i="13"/>
  <c r="Z38" s="1"/>
  <c r="Z40" s="1"/>
  <c r="D38" i="16" s="1"/>
  <c r="B16" i="1"/>
  <c r="F11" i="5"/>
  <c r="F16"/>
  <c r="H74" i="1"/>
  <c r="H80" s="1"/>
  <c r="F10" i="5"/>
  <c r="F33"/>
  <c r="F44"/>
  <c r="F24"/>
  <c r="F43"/>
  <c r="F46"/>
  <c r="F49"/>
  <c r="F55"/>
  <c r="F17"/>
  <c r="F41"/>
  <c r="F20"/>
  <c r="F47"/>
  <c r="F59"/>
  <c r="F12"/>
  <c r="F18"/>
  <c r="F34"/>
  <c r="F50"/>
  <c r="O74" i="2"/>
  <c r="O80" s="1"/>
  <c r="AC74" i="1"/>
  <c r="AC80" s="1"/>
  <c r="AC83" s="1"/>
  <c r="AC85" s="1"/>
  <c r="AC87" s="1"/>
  <c r="S83" i="2"/>
  <c r="S85" s="1"/>
  <c r="S87" s="1"/>
  <c r="S33" s="1"/>
  <c r="AT33" i="13" s="1"/>
  <c r="AT38" s="1"/>
  <c r="AT40" s="1"/>
  <c r="D61" i="16" s="1"/>
  <c r="L83" i="1"/>
  <c r="L85" s="1"/>
  <c r="L87" s="1"/>
  <c r="L33" s="1"/>
  <c r="I67" i="2"/>
  <c r="N67"/>
  <c r="R67"/>
  <c r="E10" i="3"/>
  <c r="D9" i="4"/>
  <c r="D22"/>
  <c r="H67" i="1"/>
  <c r="J67"/>
  <c r="AH74"/>
  <c r="AH80" s="1"/>
  <c r="V67"/>
  <c r="W67"/>
  <c r="AE67"/>
  <c r="P67" i="2"/>
  <c r="T67"/>
  <c r="D54" i="4"/>
  <c r="D57"/>
  <c r="D60"/>
  <c r="Y67" i="1"/>
  <c r="AJ67"/>
  <c r="J74" i="2"/>
  <c r="J80" s="1"/>
  <c r="E9" i="3"/>
  <c r="D40" i="4"/>
  <c r="S65" i="2"/>
  <c r="H29"/>
  <c r="D74" i="1"/>
  <c r="D80" s="1"/>
  <c r="F67"/>
  <c r="F74"/>
  <c r="F80" s="1"/>
  <c r="G67"/>
  <c r="K67"/>
  <c r="U67"/>
  <c r="X74"/>
  <c r="X80" s="1"/>
  <c r="F74" i="2"/>
  <c r="F80" s="1"/>
  <c r="V16"/>
  <c r="G74" i="1"/>
  <c r="G80" s="1"/>
  <c r="AK67"/>
  <c r="C67"/>
  <c r="D67"/>
  <c r="I67"/>
  <c r="Z74"/>
  <c r="AK74"/>
  <c r="AK80" s="1"/>
  <c r="E8" i="3"/>
  <c r="J29" i="1"/>
  <c r="J74" s="1"/>
  <c r="J80" s="1"/>
  <c r="K29"/>
  <c r="C74"/>
  <c r="C80" s="1"/>
  <c r="AD67"/>
  <c r="D19" i="4"/>
  <c r="D21"/>
  <c r="D23"/>
  <c r="D25"/>
  <c r="R74" i="2"/>
  <c r="R80" s="1"/>
  <c r="R83" s="1"/>
  <c r="R85" s="1"/>
  <c r="R87" s="1"/>
  <c r="V74" i="1"/>
  <c r="W74"/>
  <c r="W80" s="1"/>
  <c r="Y74"/>
  <c r="Z67"/>
  <c r="AD74"/>
  <c r="AD80" s="1"/>
  <c r="AE74"/>
  <c r="AE80" s="1"/>
  <c r="AF74"/>
  <c r="AF80" s="1"/>
  <c r="AI67"/>
  <c r="AJ74"/>
  <c r="AJ80" s="1"/>
  <c r="C67" i="2"/>
  <c r="F67"/>
  <c r="H67"/>
  <c r="I74"/>
  <c r="J67"/>
  <c r="M67"/>
  <c r="N74"/>
  <c r="N80" s="1"/>
  <c r="O67"/>
  <c r="P74"/>
  <c r="AI38" i="1"/>
  <c r="AI40" s="1"/>
  <c r="I74"/>
  <c r="I80" s="1"/>
  <c r="I80" i="2" l="1"/>
  <c r="L38" i="1"/>
  <c r="L40" s="1"/>
  <c r="P33" i="13"/>
  <c r="P38" s="1"/>
  <c r="P40" s="1"/>
  <c r="H74" i="2"/>
  <c r="H80" s="1"/>
  <c r="H83" s="1"/>
  <c r="H85" s="1"/>
  <c r="H87" s="1"/>
  <c r="H33" s="1"/>
  <c r="B29" i="1"/>
  <c r="F40" i="5"/>
  <c r="F60"/>
  <c r="F54"/>
  <c r="F22"/>
  <c r="F21"/>
  <c r="F57"/>
  <c r="F9"/>
  <c r="F23"/>
  <c r="F19"/>
  <c r="F25"/>
  <c r="E11" i="3"/>
  <c r="C21" i="7"/>
  <c r="C11"/>
  <c r="D13" i="4"/>
  <c r="D26"/>
  <c r="AC33" i="1"/>
  <c r="I83" i="2"/>
  <c r="I85" s="1"/>
  <c r="F83"/>
  <c r="F85" s="1"/>
  <c r="F87" s="1"/>
  <c r="F33" s="1"/>
  <c r="F38" s="1"/>
  <c r="F40" s="1"/>
  <c r="T83"/>
  <c r="T85" s="1"/>
  <c r="T87" s="1"/>
  <c r="T33" s="1"/>
  <c r="T38" s="1"/>
  <c r="T40" s="1"/>
  <c r="O83"/>
  <c r="O85" s="1"/>
  <c r="O87" s="1"/>
  <c r="O33" s="1"/>
  <c r="O38" s="1"/>
  <c r="O40" s="1"/>
  <c r="N83"/>
  <c r="N85" s="1"/>
  <c r="N87" s="1"/>
  <c r="N33" s="1"/>
  <c r="J83"/>
  <c r="J85" s="1"/>
  <c r="J87" s="1"/>
  <c r="J33" s="1"/>
  <c r="J38" s="1"/>
  <c r="J40" s="1"/>
  <c r="AE83" i="1"/>
  <c r="AE85" s="1"/>
  <c r="AE87" s="1"/>
  <c r="AE33" s="1"/>
  <c r="I83"/>
  <c r="I85" s="1"/>
  <c r="I87" s="1"/>
  <c r="I33" s="1"/>
  <c r="K33" i="13" s="1"/>
  <c r="C83" i="1"/>
  <c r="C85" s="1"/>
  <c r="C87" s="1"/>
  <c r="AJ83"/>
  <c r="AJ85" s="1"/>
  <c r="AJ87" s="1"/>
  <c r="AJ33" s="1"/>
  <c r="AF83"/>
  <c r="AF85" s="1"/>
  <c r="AF87" s="1"/>
  <c r="AF33" s="1"/>
  <c r="AD83"/>
  <c r="AD85" s="1"/>
  <c r="AD87" s="1"/>
  <c r="AD33" s="1"/>
  <c r="W83"/>
  <c r="W85" s="1"/>
  <c r="W87" s="1"/>
  <c r="W33" s="1"/>
  <c r="J83"/>
  <c r="J85" s="1"/>
  <c r="J87" s="1"/>
  <c r="J33" s="1"/>
  <c r="N33" i="13" s="1"/>
  <c r="AK83" i="1"/>
  <c r="AK85" s="1"/>
  <c r="AK87" s="1"/>
  <c r="AK33" s="1"/>
  <c r="G83"/>
  <c r="G85" s="1"/>
  <c r="G87" s="1"/>
  <c r="G33" s="1"/>
  <c r="X83"/>
  <c r="X85" s="1"/>
  <c r="X87" s="1"/>
  <c r="X33" s="1"/>
  <c r="F83"/>
  <c r="F85" s="1"/>
  <c r="F87" s="1"/>
  <c r="F33" s="1"/>
  <c r="D83"/>
  <c r="D85" s="1"/>
  <c r="D87" s="1"/>
  <c r="D33" s="1"/>
  <c r="AH83"/>
  <c r="AH85" s="1"/>
  <c r="AH87" s="1"/>
  <c r="AH33" s="1"/>
  <c r="H83"/>
  <c r="D27" i="4"/>
  <c r="Y80" i="1"/>
  <c r="D28" i="4"/>
  <c r="U74" i="1"/>
  <c r="U80" s="1"/>
  <c r="D29" i="4"/>
  <c r="K74" i="1"/>
  <c r="K80" s="1"/>
  <c r="D45" i="4"/>
  <c r="M74" i="2"/>
  <c r="M80" s="1"/>
  <c r="Z80" i="1"/>
  <c r="S54" i="2"/>
  <c r="S67" s="1"/>
  <c r="AF65" i="1"/>
  <c r="AF67" s="1"/>
  <c r="D58" i="4"/>
  <c r="C16" i="2"/>
  <c r="S38"/>
  <c r="S40" s="1"/>
  <c r="D26" i="16" l="1"/>
  <c r="D28" i="18"/>
  <c r="E68" i="11"/>
  <c r="E68" i="12" s="1"/>
  <c r="F73" i="15" s="1"/>
  <c r="I87" i="2"/>
  <c r="I33" s="1"/>
  <c r="M33" i="13" s="1"/>
  <c r="M38" s="1"/>
  <c r="M40" s="1"/>
  <c r="AH38" i="1"/>
  <c r="AH40" s="1"/>
  <c r="AQ33" i="13"/>
  <c r="AQ38" s="1"/>
  <c r="AQ40" s="1"/>
  <c r="F38" i="1"/>
  <c r="F40" s="1"/>
  <c r="G33" i="13"/>
  <c r="G38" s="1"/>
  <c r="G40" s="1"/>
  <c r="G38" i="1"/>
  <c r="G40" s="1"/>
  <c r="H33" i="13"/>
  <c r="H38" s="1"/>
  <c r="H40" s="1"/>
  <c r="AD38" i="1"/>
  <c r="AD40" s="1"/>
  <c r="AM33" i="13"/>
  <c r="AM38" s="1"/>
  <c r="AM40" s="1"/>
  <c r="D56" i="16" s="1"/>
  <c r="AJ38" i="1"/>
  <c r="AJ40" s="1"/>
  <c r="AS33" i="13"/>
  <c r="AS38" s="1"/>
  <c r="AS40" s="1"/>
  <c r="D60" i="16" s="1"/>
  <c r="I38" i="1"/>
  <c r="I40" s="1"/>
  <c r="K38" i="13"/>
  <c r="K40" s="1"/>
  <c r="AE38" i="1"/>
  <c r="AE40" s="1"/>
  <c r="AN33" i="13"/>
  <c r="AN38" s="1"/>
  <c r="AN40" s="1"/>
  <c r="D57" i="16" s="1"/>
  <c r="AC38" i="1"/>
  <c r="AC40" s="1"/>
  <c r="AL33" i="13"/>
  <c r="AL38" s="1"/>
  <c r="AL40" s="1"/>
  <c r="D55" i="16" s="1"/>
  <c r="D38" i="1"/>
  <c r="D40" s="1"/>
  <c r="D33" i="13"/>
  <c r="D38" s="1"/>
  <c r="D40" s="1"/>
  <c r="X38" i="1"/>
  <c r="X40" s="1"/>
  <c r="AG33" i="13"/>
  <c r="AG38" s="1"/>
  <c r="AG40" s="1"/>
  <c r="D49" i="16" s="1"/>
  <c r="AK38" i="1"/>
  <c r="AK40" s="1"/>
  <c r="AU33" i="13"/>
  <c r="AU38" s="1"/>
  <c r="AU40" s="1"/>
  <c r="D62" i="16" s="1"/>
  <c r="W38" i="1"/>
  <c r="W40" s="1"/>
  <c r="AE33" i="13"/>
  <c r="AE38" s="1"/>
  <c r="AE40" s="1"/>
  <c r="D47" i="16" s="1"/>
  <c r="AF38" i="1"/>
  <c r="AF40" s="1"/>
  <c r="AO33" i="13"/>
  <c r="AO38" s="1"/>
  <c r="AO40" s="1"/>
  <c r="D58" i="16" s="1"/>
  <c r="I38" i="13"/>
  <c r="I40" s="1"/>
  <c r="AK38"/>
  <c r="AK40" s="1"/>
  <c r="D52" i="16" s="1"/>
  <c r="N38" i="2"/>
  <c r="N40" s="1"/>
  <c r="Y33" i="13"/>
  <c r="Y38" s="1"/>
  <c r="Y40" s="1"/>
  <c r="D37" i="16" s="1"/>
  <c r="H38" i="2"/>
  <c r="H40" s="1"/>
  <c r="L33" i="13"/>
  <c r="L38" s="1"/>
  <c r="L40" s="1"/>
  <c r="J38" i="1"/>
  <c r="J40" s="1"/>
  <c r="N38" i="13"/>
  <c r="N40" s="1"/>
  <c r="F26" i="5"/>
  <c r="F13"/>
  <c r="B74" i="1"/>
  <c r="H85"/>
  <c r="F45" i="5"/>
  <c r="F29"/>
  <c r="F27"/>
  <c r="F58"/>
  <c r="F28"/>
  <c r="D71" i="4"/>
  <c r="R33" i="2"/>
  <c r="AF33" i="13" s="1"/>
  <c r="AF38" s="1"/>
  <c r="AF40" s="1"/>
  <c r="D48" i="16" s="1"/>
  <c r="C33" i="1"/>
  <c r="C33" i="13" s="1"/>
  <c r="C38" s="1"/>
  <c r="C40" s="1"/>
  <c r="M83" i="2"/>
  <c r="M85" s="1"/>
  <c r="M87" s="1"/>
  <c r="M33" s="1"/>
  <c r="I33" i="19" s="1"/>
  <c r="Y83" i="1"/>
  <c r="Y85" s="1"/>
  <c r="Y87" s="1"/>
  <c r="Y33" s="1"/>
  <c r="Z83"/>
  <c r="Z85" s="1"/>
  <c r="Z87" s="1"/>
  <c r="Z33" s="1"/>
  <c r="K83"/>
  <c r="K85" s="1"/>
  <c r="K87" s="1"/>
  <c r="K33" s="1"/>
  <c r="U83"/>
  <c r="C74" i="2"/>
  <c r="D42" i="4"/>
  <c r="X65" i="1"/>
  <c r="B65" s="1"/>
  <c r="D56" i="4"/>
  <c r="AH54" i="1"/>
  <c r="AH67" s="1"/>
  <c r="F28" i="18" l="1"/>
  <c r="H28" s="1"/>
  <c r="I38" i="19"/>
  <c r="B33"/>
  <c r="D11" i="16"/>
  <c r="F11" s="1"/>
  <c r="D13" i="18"/>
  <c r="F13" s="1"/>
  <c r="D22" i="16"/>
  <c r="D24" i="18"/>
  <c r="D17" i="16"/>
  <c r="D19" i="18"/>
  <c r="D24" i="16"/>
  <c r="D26" i="18"/>
  <c r="D12" i="16"/>
  <c r="D14" i="18"/>
  <c r="D21" i="16"/>
  <c r="D23" i="18"/>
  <c r="D16" i="16"/>
  <c r="D18" i="18"/>
  <c r="D15" i="16"/>
  <c r="D17" i="18"/>
  <c r="D23" i="16"/>
  <c r="D25" i="18"/>
  <c r="I38" i="2"/>
  <c r="I40" s="1"/>
  <c r="D65" i="16"/>
  <c r="D68" i="11"/>
  <c r="D68" i="12" s="1"/>
  <c r="E73" i="15" s="1"/>
  <c r="E79" i="12"/>
  <c r="E80" s="1"/>
  <c r="F83" i="15" s="1"/>
  <c r="E27" i="11"/>
  <c r="E32" s="1"/>
  <c r="E34" s="1"/>
  <c r="K38" i="1"/>
  <c r="K40" s="1"/>
  <c r="O33" i="13"/>
  <c r="O38" s="1"/>
  <c r="O40" s="1"/>
  <c r="Z38" i="1"/>
  <c r="Z40" s="1"/>
  <c r="AI33" i="13"/>
  <c r="AI38" s="1"/>
  <c r="AI40" s="1"/>
  <c r="Y38" i="1"/>
  <c r="Y40" s="1"/>
  <c r="AH33" i="13"/>
  <c r="AH38" s="1"/>
  <c r="AH40" s="1"/>
  <c r="M38" i="2"/>
  <c r="M40" s="1"/>
  <c r="X33" i="13"/>
  <c r="X38" s="1"/>
  <c r="X40" s="1"/>
  <c r="U85" i="1"/>
  <c r="U87" s="1"/>
  <c r="U33" s="1"/>
  <c r="G78" i="12"/>
  <c r="G78" i="11"/>
  <c r="G78" i="10"/>
  <c r="F70" i="5"/>
  <c r="F56"/>
  <c r="H87" i="1"/>
  <c r="F42" i="5"/>
  <c r="D62" i="4"/>
  <c r="R38" i="2"/>
  <c r="X67" i="1"/>
  <c r="C80" i="2"/>
  <c r="F17" i="18" l="1"/>
  <c r="H17" s="1"/>
  <c r="F14"/>
  <c r="H14" s="1"/>
  <c r="F24"/>
  <c r="H24" s="1"/>
  <c r="F25"/>
  <c r="H25" s="1"/>
  <c r="F18"/>
  <c r="H18" s="1"/>
  <c r="F23"/>
  <c r="H23" s="1"/>
  <c r="F26"/>
  <c r="H26" s="1"/>
  <c r="F19"/>
  <c r="H19" s="1"/>
  <c r="I40" i="19"/>
  <c r="B38"/>
  <c r="D36" i="16"/>
  <c r="D40" s="1"/>
  <c r="D38" i="18"/>
  <c r="F38" s="1"/>
  <c r="H38" s="1"/>
  <c r="D25" i="16"/>
  <c r="D27" i="18"/>
  <c r="D50" i="16"/>
  <c r="G80" i="10"/>
  <c r="G27" s="1"/>
  <c r="G32" s="1"/>
  <c r="G34" s="1"/>
  <c r="G80" i="12"/>
  <c r="H83" i="15" s="1"/>
  <c r="G80" i="11"/>
  <c r="G27" s="1"/>
  <c r="G32" s="1"/>
  <c r="G34" s="1"/>
  <c r="E27" i="12"/>
  <c r="U38" i="1"/>
  <c r="U40" s="1"/>
  <c r="AB33" i="13"/>
  <c r="AB38" s="1"/>
  <c r="AB40" s="1"/>
  <c r="D42" i="16" s="1"/>
  <c r="D43" s="1"/>
  <c r="C45" i="10"/>
  <c r="C48" s="1"/>
  <c r="C61" s="1"/>
  <c r="F62" i="5"/>
  <c r="H33" i="1"/>
  <c r="J33" i="13" s="1"/>
  <c r="J38" s="1"/>
  <c r="J40" s="1"/>
  <c r="R40" i="2"/>
  <c r="C83"/>
  <c r="C85" s="1"/>
  <c r="C87" s="1"/>
  <c r="C38" i="1"/>
  <c r="F27" i="18" l="1"/>
  <c r="H27" s="1"/>
  <c r="I70" i="19"/>
  <c r="I71"/>
  <c r="B71" s="1"/>
  <c r="B40"/>
  <c r="B70" s="1"/>
  <c r="D20" i="16"/>
  <c r="D33" s="1"/>
  <c r="D22" i="18"/>
  <c r="H13"/>
  <c r="G27" i="12"/>
  <c r="E32"/>
  <c r="E34" s="1"/>
  <c r="F32" i="15"/>
  <c r="B51" i="2"/>
  <c r="H48" i="4" s="1"/>
  <c r="N48" i="5" s="1"/>
  <c r="B51" i="13"/>
  <c r="H38" i="1"/>
  <c r="C33" i="2"/>
  <c r="E33" i="13" s="1"/>
  <c r="E38" s="1"/>
  <c r="E40" s="1"/>
  <c r="C40" i="1"/>
  <c r="F22" i="18" l="1"/>
  <c r="H22" s="1"/>
  <c r="D13" i="16"/>
  <c r="D15" i="18"/>
  <c r="F15" s="1"/>
  <c r="D18" i="16"/>
  <c r="H32" i="15"/>
  <c r="H37" s="1"/>
  <c r="H39" s="1"/>
  <c r="G32" i="12"/>
  <c r="G34" s="1"/>
  <c r="F37" i="15"/>
  <c r="F39" s="1"/>
  <c r="C45" i="11"/>
  <c r="H40" i="1"/>
  <c r="D71" i="18" l="1"/>
  <c r="C45" i="12"/>
  <c r="C38" i="2"/>
  <c r="H15" i="18" l="1"/>
  <c r="H71" s="1"/>
  <c r="H73" s="1"/>
  <c r="F71"/>
  <c r="F73" s="1"/>
  <c r="F76" s="1"/>
  <c r="D73"/>
  <c r="BB51" i="13"/>
  <c r="C40" i="2"/>
  <c r="D48" i="4" l="1"/>
  <c r="AC54" i="1"/>
  <c r="B54" s="1"/>
  <c r="AC67" l="1"/>
  <c r="F48" i="5"/>
  <c r="D51" i="4"/>
  <c r="B67" i="1" l="1"/>
  <c r="F51" i="5"/>
  <c r="D64" i="4"/>
  <c r="F64" i="5" l="1"/>
  <c r="H18" l="1"/>
  <c r="P48"/>
  <c r="H48"/>
  <c r="P10"/>
  <c r="H11"/>
  <c r="H9"/>
  <c r="H16"/>
  <c r="H17"/>
  <c r="P17"/>
  <c r="H19"/>
  <c r="H20"/>
  <c r="H21"/>
  <c r="P21"/>
  <c r="H22"/>
  <c r="P22"/>
  <c r="H23"/>
  <c r="P23"/>
  <c r="H24"/>
  <c r="P24"/>
  <c r="H25"/>
  <c r="P25"/>
  <c r="P9"/>
  <c r="H10"/>
  <c r="H12"/>
  <c r="H27"/>
  <c r="H28"/>
  <c r="P28"/>
  <c r="H29"/>
  <c r="P29"/>
  <c r="D31"/>
  <c r="P78"/>
  <c r="H32"/>
  <c r="P32"/>
  <c r="H33"/>
  <c r="P33"/>
  <c r="H34"/>
  <c r="H40"/>
  <c r="H41"/>
  <c r="P41"/>
  <c r="H42"/>
  <c r="H43"/>
  <c r="P43"/>
  <c r="H44"/>
  <c r="P44"/>
  <c r="H45"/>
  <c r="P45"/>
  <c r="H46"/>
  <c r="P46"/>
  <c r="H47"/>
  <c r="P47"/>
  <c r="H49"/>
  <c r="P49"/>
  <c r="H50"/>
  <c r="P50"/>
  <c r="H54"/>
  <c r="H55"/>
  <c r="P55"/>
  <c r="H56"/>
  <c r="P56"/>
  <c r="H57"/>
  <c r="P57"/>
  <c r="H58"/>
  <c r="P58"/>
  <c r="H59"/>
  <c r="P59"/>
  <c r="H60"/>
  <c r="H72"/>
  <c r="P72"/>
  <c r="H70"/>
  <c r="H74"/>
  <c r="H75"/>
  <c r="P74"/>
  <c r="P75"/>
  <c r="H78"/>
  <c r="P31"/>
  <c r="H62"/>
  <c r="H51"/>
  <c r="H26"/>
  <c r="H13"/>
  <c r="H31"/>
  <c r="H64"/>
  <c r="D78"/>
  <c r="L31"/>
  <c r="D26" i="3" l="1"/>
  <c r="D30" s="1"/>
  <c r="D32" s="1"/>
  <c r="D34" s="1"/>
  <c r="L78" i="5"/>
  <c r="T31"/>
  <c r="T78"/>
  <c r="F17" i="16" l="1"/>
  <c r="F13"/>
  <c r="F62"/>
  <c r="F64"/>
  <c r="F14"/>
  <c r="F32"/>
  <c r="F30"/>
  <c r="F28"/>
  <c r="F35"/>
  <c r="F59"/>
  <c r="F42"/>
  <c r="F43" s="1"/>
  <c r="F39"/>
  <c r="F25"/>
  <c r="F52"/>
  <c r="F46"/>
  <c r="F29"/>
  <c r="F63"/>
  <c r="F27"/>
  <c r="F31"/>
  <c r="F51"/>
  <c r="F38"/>
  <c r="F56"/>
  <c r="F58"/>
  <c r="F26"/>
  <c r="F61"/>
  <c r="F24"/>
  <c r="F16"/>
  <c r="F21"/>
  <c r="F49"/>
  <c r="F37"/>
  <c r="F22"/>
  <c r="F15"/>
  <c r="F60"/>
  <c r="F57"/>
  <c r="F12"/>
  <c r="F47"/>
  <c r="F23"/>
  <c r="F50"/>
  <c r="F36"/>
  <c r="F48"/>
  <c r="F20"/>
  <c r="F55"/>
  <c r="AB71" i="1"/>
  <c r="U71" i="2"/>
  <c r="J71" i="13"/>
  <c r="AW71"/>
  <c r="V71"/>
  <c r="AL71" i="1"/>
  <c r="E71" i="2"/>
  <c r="N71" i="1"/>
  <c r="M71"/>
  <c r="F71" i="13"/>
  <c r="F64" i="10"/>
  <c r="D64"/>
  <c r="I64" i="12"/>
  <c r="J69" i="15" s="1"/>
  <c r="AJ71" i="13"/>
  <c r="H71" i="2"/>
  <c r="AA71" i="1"/>
  <c r="J71"/>
  <c r="O71" i="2"/>
  <c r="AI71" i="1"/>
  <c r="J71" i="2"/>
  <c r="AV71" i="13"/>
  <c r="T71"/>
  <c r="Q71" i="2"/>
  <c r="Z71" i="13"/>
  <c r="L71" i="2"/>
  <c r="O71" i="1"/>
  <c r="I64" i="11"/>
  <c r="F64" i="12"/>
  <c r="G69" i="15" s="1"/>
  <c r="W71" i="13"/>
  <c r="P71"/>
  <c r="N71" i="2"/>
  <c r="AD71" i="1"/>
  <c r="L71"/>
  <c r="S71" i="2"/>
  <c r="AK71" i="1"/>
  <c r="T71"/>
  <c r="AE71"/>
  <c r="N71" i="13"/>
  <c r="C71"/>
  <c r="L71"/>
  <c r="AO71"/>
  <c r="D71"/>
  <c r="K71"/>
  <c r="K71" i="1"/>
  <c r="AL71" i="13"/>
  <c r="AK71"/>
  <c r="AG71"/>
  <c r="AQ71"/>
  <c r="X71"/>
  <c r="M71" i="2"/>
  <c r="AH71" i="13"/>
  <c r="AI71"/>
  <c r="G64" i="12"/>
  <c r="H69" i="15" s="1"/>
  <c r="U71" i="1"/>
  <c r="AB71" i="13"/>
  <c r="R71" i="2"/>
  <c r="E71" i="13"/>
  <c r="C71" i="2"/>
  <c r="G71"/>
  <c r="U71" i="13"/>
  <c r="R71"/>
  <c r="AD71"/>
  <c r="R71" i="1"/>
  <c r="P71"/>
  <c r="AP71" i="13"/>
  <c r="F64" i="11"/>
  <c r="E64" i="10"/>
  <c r="D64" i="12"/>
  <c r="E69" i="15" s="1"/>
  <c r="AA71" i="13"/>
  <c r="AF71" i="1"/>
  <c r="S71"/>
  <c r="D71"/>
  <c r="F71" i="2"/>
  <c r="I71" i="1"/>
  <c r="E71"/>
  <c r="S71" i="13"/>
  <c r="Q71"/>
  <c r="D71" i="2"/>
  <c r="Q71" i="1"/>
  <c r="K71" i="2"/>
  <c r="AR71" i="13"/>
  <c r="J64" i="10"/>
  <c r="I64"/>
  <c r="D64" i="11"/>
  <c r="AT71" i="13"/>
  <c r="T71" i="2"/>
  <c r="AJ71" i="1"/>
  <c r="W71"/>
  <c r="G71"/>
  <c r="I71" i="2"/>
  <c r="AG71" i="1"/>
  <c r="F71"/>
  <c r="M71" i="13"/>
  <c r="AS71"/>
  <c r="AF71"/>
  <c r="I71"/>
  <c r="AU71"/>
  <c r="AN71"/>
  <c r="H71"/>
  <c r="Z71" i="1"/>
  <c r="AH71"/>
  <c r="G71" i="13"/>
  <c r="Y71"/>
  <c r="AE71"/>
  <c r="AM71"/>
  <c r="Y71" i="1"/>
  <c r="E64" i="11"/>
  <c r="G64" i="10"/>
  <c r="G64" i="11"/>
  <c r="O71" i="13"/>
  <c r="X71" i="1"/>
  <c r="E64" i="12"/>
  <c r="F69" i="15" s="1"/>
  <c r="C71" i="1"/>
  <c r="H71"/>
  <c r="AC71"/>
  <c r="F83" i="4"/>
  <c r="B82" i="5"/>
  <c r="B19"/>
  <c r="D19" s="1"/>
  <c r="F19" i="4"/>
  <c r="B41" i="5"/>
  <c r="D41" s="1"/>
  <c r="F41" i="4"/>
  <c r="B45" i="5"/>
  <c r="D45" s="1"/>
  <c r="F45" i="4"/>
  <c r="B47" i="5"/>
  <c r="D47" s="1"/>
  <c r="F47" i="4"/>
  <c r="B49" i="5"/>
  <c r="D49" s="1"/>
  <c r="F49" i="4"/>
  <c r="B54" i="5"/>
  <c r="D54" s="1"/>
  <c r="F54" i="4"/>
  <c r="B62"/>
  <c r="B62" i="5" s="1"/>
  <c r="D62" s="1"/>
  <c r="B56"/>
  <c r="D56" s="1"/>
  <c r="F56" i="4"/>
  <c r="B58" i="5"/>
  <c r="D58" s="1"/>
  <c r="F58" i="4"/>
  <c r="F60"/>
  <c r="B60" i="5"/>
  <c r="D60" s="1"/>
  <c r="B72"/>
  <c r="D72" s="1"/>
  <c r="F73" i="4"/>
  <c r="F11"/>
  <c r="B11" i="5"/>
  <c r="D11" s="1"/>
  <c r="B51" i="4"/>
  <c r="B40" i="5"/>
  <c r="D40" s="1"/>
  <c r="F40" i="4"/>
  <c r="B55" i="5"/>
  <c r="D55" s="1"/>
  <c r="F55" i="4"/>
  <c r="F59"/>
  <c r="B59" i="5"/>
  <c r="D59" s="1"/>
  <c r="F57" i="4"/>
  <c r="B57" i="5"/>
  <c r="D57" s="1"/>
  <c r="B73"/>
  <c r="D73" s="1"/>
  <c r="C6" i="7"/>
  <c r="C14"/>
  <c r="B75" i="5"/>
  <c r="D75" s="1"/>
  <c r="F76" i="4"/>
  <c r="B26"/>
  <c r="B16" i="5"/>
  <c r="D16" s="1"/>
  <c r="F16" i="4"/>
  <c r="B18" i="5"/>
  <c r="D18" s="1"/>
  <c r="F18" i="4"/>
  <c r="B20" i="5"/>
  <c r="D20" s="1"/>
  <c r="F20" i="4"/>
  <c r="F22"/>
  <c r="B22" i="5"/>
  <c r="D22" s="1"/>
  <c r="F24" i="4"/>
  <c r="B24" i="5"/>
  <c r="D24" s="1"/>
  <c r="B12"/>
  <c r="D12" s="1"/>
  <c r="F12" i="4"/>
  <c r="B28" i="5"/>
  <c r="D28" s="1"/>
  <c r="F28" i="4"/>
  <c r="B32" i="5"/>
  <c r="D32" s="1"/>
  <c r="F32" i="4"/>
  <c r="B34" i="5"/>
  <c r="D34" s="1"/>
  <c r="F34" i="4"/>
  <c r="B43" i="5"/>
  <c r="D43" s="1"/>
  <c r="F43" i="4"/>
  <c r="B21" i="5"/>
  <c r="D21" s="1"/>
  <c r="F21" i="4"/>
  <c r="B25" i="5"/>
  <c r="D25" s="1"/>
  <c r="F25" i="4"/>
  <c r="B9" i="5"/>
  <c r="D9" s="1"/>
  <c r="F9" i="4"/>
  <c r="B13"/>
  <c r="B29" i="5"/>
  <c r="D29" s="1"/>
  <c r="F29" i="4"/>
  <c r="B44" i="5"/>
  <c r="D44" s="1"/>
  <c r="F44" i="4"/>
  <c r="B48" i="5"/>
  <c r="D48" s="1"/>
  <c r="F48" i="4"/>
  <c r="F75"/>
  <c r="B74" i="5"/>
  <c r="D74" s="1"/>
  <c r="F17" i="4"/>
  <c r="B17" i="5"/>
  <c r="D17" s="1"/>
  <c r="B23"/>
  <c r="D23" s="1"/>
  <c r="F23" i="4"/>
  <c r="B10" i="5"/>
  <c r="D10" s="1"/>
  <c r="F10" i="4"/>
  <c r="B27" i="5"/>
  <c r="D27" s="1"/>
  <c r="F27" i="4"/>
  <c r="B33" i="5"/>
  <c r="D33" s="1"/>
  <c r="F33" i="4"/>
  <c r="B42" i="5"/>
  <c r="D42" s="1"/>
  <c r="F42" i="4"/>
  <c r="B46" i="5"/>
  <c r="D46" s="1"/>
  <c r="F46" i="4"/>
  <c r="B50" i="5"/>
  <c r="D50" s="1"/>
  <c r="F50" i="4"/>
  <c r="F33" i="16" l="1"/>
  <c r="F65"/>
  <c r="F40"/>
  <c r="F18"/>
  <c r="J82" i="5"/>
  <c r="J50" i="4"/>
  <c r="J50" i="5"/>
  <c r="L50" s="1"/>
  <c r="J46"/>
  <c r="L46" s="1"/>
  <c r="J46" i="4"/>
  <c r="J42" i="5"/>
  <c r="L42" s="1"/>
  <c r="J33"/>
  <c r="L33" s="1"/>
  <c r="J33" i="4"/>
  <c r="J27" i="5"/>
  <c r="L27" s="1"/>
  <c r="J10" i="4"/>
  <c r="J10" i="5"/>
  <c r="L10" s="1"/>
  <c r="J23" i="4"/>
  <c r="J23" i="5"/>
  <c r="L23" s="1"/>
  <c r="J48"/>
  <c r="L48" s="1"/>
  <c r="J48" i="4"/>
  <c r="J44" i="5"/>
  <c r="L44" s="1"/>
  <c r="J44" i="4"/>
  <c r="J29"/>
  <c r="J29" i="5"/>
  <c r="L29" s="1"/>
  <c r="B71" i="4"/>
  <c r="C72" i="15" s="1"/>
  <c r="B13" i="5"/>
  <c r="D13" s="1"/>
  <c r="J24" i="4"/>
  <c r="J24" i="5"/>
  <c r="L24" s="1"/>
  <c r="J22" i="4"/>
  <c r="J22" i="5"/>
  <c r="L22" s="1"/>
  <c r="J76" i="4"/>
  <c r="J75" i="5"/>
  <c r="L75" s="1"/>
  <c r="J55" i="4"/>
  <c r="J55" i="5"/>
  <c r="L55" s="1"/>
  <c r="J40"/>
  <c r="L40" s="1"/>
  <c r="F51" i="4"/>
  <c r="B64"/>
  <c r="E8" i="16" s="1"/>
  <c r="B51" i="5"/>
  <c r="D51" s="1"/>
  <c r="J11"/>
  <c r="L11" s="1"/>
  <c r="J60"/>
  <c r="L60" s="1"/>
  <c r="J54"/>
  <c r="L54" s="1"/>
  <c r="F62" i="4"/>
  <c r="J62" i="5" s="1"/>
  <c r="L62" s="1"/>
  <c r="J49" i="4"/>
  <c r="J49" i="5"/>
  <c r="L49" s="1"/>
  <c r="J47"/>
  <c r="L47" s="1"/>
  <c r="J47" i="4"/>
  <c r="J45"/>
  <c r="J45" i="5"/>
  <c r="L45" s="1"/>
  <c r="J41"/>
  <c r="L41" s="1"/>
  <c r="J41" i="4"/>
  <c r="J19" i="5"/>
  <c r="L19" s="1"/>
  <c r="J17"/>
  <c r="L17" s="1"/>
  <c r="J17" i="4"/>
  <c r="J74" i="5"/>
  <c r="L74" s="1"/>
  <c r="J75" i="4"/>
  <c r="F13"/>
  <c r="J9"/>
  <c r="J9" i="5"/>
  <c r="L9" s="1"/>
  <c r="J25" i="4"/>
  <c r="J25" i="5"/>
  <c r="L25" s="1"/>
  <c r="J21" i="4"/>
  <c r="J21" i="5"/>
  <c r="L21" s="1"/>
  <c r="J43"/>
  <c r="L43" s="1"/>
  <c r="J43" i="4"/>
  <c r="J34" i="5"/>
  <c r="L34" s="1"/>
  <c r="J32"/>
  <c r="L32" s="1"/>
  <c r="J32" i="4"/>
  <c r="J28" i="5"/>
  <c r="L28" s="1"/>
  <c r="J28" i="4"/>
  <c r="J12" i="5"/>
  <c r="L12" s="1"/>
  <c r="J20"/>
  <c r="L20" s="1"/>
  <c r="J18"/>
  <c r="L18" s="1"/>
  <c r="J16"/>
  <c r="L16" s="1"/>
  <c r="F26" i="4"/>
  <c r="B26" i="5"/>
  <c r="D26" s="1"/>
  <c r="J57" i="4"/>
  <c r="J57" i="5"/>
  <c r="L57" s="1"/>
  <c r="J59" i="4"/>
  <c r="J59" i="5"/>
  <c r="L59" s="1"/>
  <c r="J72"/>
  <c r="L72" s="1"/>
  <c r="J73" i="4"/>
  <c r="J58" i="5"/>
  <c r="L58" s="1"/>
  <c r="J58" i="4"/>
  <c r="J56" i="5"/>
  <c r="L56" s="1"/>
  <c r="J56" i="4"/>
  <c r="N56" l="1"/>
  <c r="R56" i="5"/>
  <c r="T56" s="1"/>
  <c r="N58" i="4"/>
  <c r="R58" i="5"/>
  <c r="T58" s="1"/>
  <c r="N73" i="4"/>
  <c r="R72" i="5"/>
  <c r="T72" s="1"/>
  <c r="J26"/>
  <c r="L26" s="1"/>
  <c r="R21"/>
  <c r="T21" s="1"/>
  <c r="N21" i="4"/>
  <c r="N25"/>
  <c r="R25" i="5"/>
  <c r="T25" s="1"/>
  <c r="R9"/>
  <c r="T9" s="1"/>
  <c r="N75" i="4"/>
  <c r="R74" i="5"/>
  <c r="T74" s="1"/>
  <c r="N17" i="4"/>
  <c r="R17" i="5"/>
  <c r="T17" s="1"/>
  <c r="N45" i="4"/>
  <c r="R45" i="5"/>
  <c r="T45" s="1"/>
  <c r="N49" i="4"/>
  <c r="R49" i="5"/>
  <c r="T49" s="1"/>
  <c r="R55"/>
  <c r="T55" s="1"/>
  <c r="N55" i="4"/>
  <c r="N76"/>
  <c r="R75" i="5"/>
  <c r="T75" s="1"/>
  <c r="R22"/>
  <c r="T22" s="1"/>
  <c r="N24" i="4"/>
  <c r="R24" i="5"/>
  <c r="T24" s="1"/>
  <c r="N44" i="4"/>
  <c r="R44" i="5"/>
  <c r="T44" s="1"/>
  <c r="N48" i="4"/>
  <c r="R48" i="5"/>
  <c r="T48" s="1"/>
  <c r="N33" i="4"/>
  <c r="R33" i="5"/>
  <c r="T33" s="1"/>
  <c r="R46"/>
  <c r="T46" s="1"/>
  <c r="N46" i="4"/>
  <c r="N59"/>
  <c r="R59" i="5"/>
  <c r="T59" s="1"/>
  <c r="N57" i="4"/>
  <c r="R57" i="5"/>
  <c r="T57" s="1"/>
  <c r="R28"/>
  <c r="T28" s="1"/>
  <c r="N28" i="4"/>
  <c r="N32"/>
  <c r="R32" i="5"/>
  <c r="T32" s="1"/>
  <c r="N43" i="4"/>
  <c r="R43" i="5"/>
  <c r="T43" s="1"/>
  <c r="J13"/>
  <c r="L13" s="1"/>
  <c r="F71" i="4"/>
  <c r="N41"/>
  <c r="R41" i="5"/>
  <c r="T41" s="1"/>
  <c r="N47" i="4"/>
  <c r="R47" i="5"/>
  <c r="T47" s="1"/>
  <c r="B64"/>
  <c r="D64" s="1"/>
  <c r="J51"/>
  <c r="L51" s="1"/>
  <c r="F64" i="4"/>
  <c r="B77"/>
  <c r="C78" i="15" s="1"/>
  <c r="B70" i="5"/>
  <c r="D70" s="1"/>
  <c r="R29"/>
  <c r="T29" s="1"/>
  <c r="R23"/>
  <c r="T23" s="1"/>
  <c r="N23" i="4"/>
  <c r="N10"/>
  <c r="R10" i="5"/>
  <c r="T10" s="1"/>
  <c r="N50" i="4"/>
  <c r="R50" i="5"/>
  <c r="T50" s="1"/>
  <c r="W13"/>
  <c r="B76" l="1"/>
  <c r="D76" s="1"/>
  <c r="B80" i="4"/>
  <c r="C81" i="15" s="1"/>
  <c r="C10" i="7"/>
  <c r="C12" s="1"/>
  <c r="J64" i="5"/>
  <c r="L64" s="1"/>
  <c r="J70"/>
  <c r="L70" s="1"/>
  <c r="W26"/>
  <c r="C16" i="7" l="1"/>
  <c r="V77" i="1" s="1"/>
  <c r="H70" i="10" s="1"/>
  <c r="C24" i="7"/>
  <c r="B79" i="5"/>
  <c r="D79" s="1"/>
  <c r="B82" i="4"/>
  <c r="W76" i="5"/>
  <c r="W35"/>
  <c r="H71" i="12" l="1"/>
  <c r="C71" i="10"/>
  <c r="B84" i="4"/>
  <c r="C83" i="15" s="1"/>
  <c r="B81" i="5"/>
  <c r="B77" i="1"/>
  <c r="V80"/>
  <c r="W37" i="5"/>
  <c r="D74" i="4" l="1"/>
  <c r="D74" i="17"/>
  <c r="I76" i="15"/>
  <c r="M76" s="1"/>
  <c r="O76" s="1"/>
  <c r="Q76" s="1"/>
  <c r="C71" i="12"/>
  <c r="BB78" i="13" s="1"/>
  <c r="H73" i="10"/>
  <c r="C70"/>
  <c r="B30" i="4"/>
  <c r="C32" i="15" s="1"/>
  <c r="C37" s="1"/>
  <c r="C39" s="1"/>
  <c r="B83" i="5"/>
  <c r="D83" s="1"/>
  <c r="V83" i="1"/>
  <c r="B80"/>
  <c r="D77" i="4"/>
  <c r="F73" i="5"/>
  <c r="H73" s="1"/>
  <c r="F74" i="4"/>
  <c r="F74" i="17" l="1"/>
  <c r="D77"/>
  <c r="D80" s="1"/>
  <c r="D82" s="1"/>
  <c r="D84" s="1"/>
  <c r="D30" s="1"/>
  <c r="D35" s="1"/>
  <c r="D37" s="1"/>
  <c r="D68" s="1"/>
  <c r="J73" i="5"/>
  <c r="L73" s="1"/>
  <c r="F77" i="4"/>
  <c r="F76" i="5"/>
  <c r="H76" s="1"/>
  <c r="D80" i="4"/>
  <c r="B83" i="1"/>
  <c r="V85"/>
  <c r="C73" i="10"/>
  <c r="H76"/>
  <c r="B30" i="5"/>
  <c r="D30" s="1"/>
  <c r="B35" i="4"/>
  <c r="F77" i="17" l="1"/>
  <c r="F80" s="1"/>
  <c r="F82" s="1"/>
  <c r="F84" s="1"/>
  <c r="F30" s="1"/>
  <c r="F35" s="1"/>
  <c r="F37" s="1"/>
  <c r="B35" i="5"/>
  <c r="D35" s="1"/>
  <c r="B37" i="4"/>
  <c r="D8" i="16" s="1"/>
  <c r="H78" i="10"/>
  <c r="H80" s="1"/>
  <c r="H27" s="1"/>
  <c r="C76"/>
  <c r="V87" i="1"/>
  <c r="B85"/>
  <c r="F79" i="5"/>
  <c r="H79" s="1"/>
  <c r="D82" i="4"/>
  <c r="J76" i="5"/>
  <c r="L76" s="1"/>
  <c r="F80" i="4"/>
  <c r="F68" i="17" l="1"/>
  <c r="F66"/>
  <c r="F8" i="16"/>
  <c r="B87" i="1"/>
  <c r="V33"/>
  <c r="C78" i="10"/>
  <c r="F82" i="4"/>
  <c r="J79" i="5"/>
  <c r="L79" s="1"/>
  <c r="F81"/>
  <c r="D84" i="4"/>
  <c r="B66"/>
  <c r="B67" s="1"/>
  <c r="AB70" i="1" s="1"/>
  <c r="B37" i="5"/>
  <c r="D37" s="1"/>
  <c r="AP70" i="13"/>
  <c r="N70" i="1"/>
  <c r="I63" i="12"/>
  <c r="J68" i="15" s="1"/>
  <c r="AF70" i="1"/>
  <c r="D70"/>
  <c r="B68" i="4"/>
  <c r="C69" i="15" s="1"/>
  <c r="AN70" i="13"/>
  <c r="AL70"/>
  <c r="Y70" i="1"/>
  <c r="D70" i="13"/>
  <c r="N70"/>
  <c r="AH70"/>
  <c r="G63" i="12"/>
  <c r="H68" i="15" s="1"/>
  <c r="E63" i="12"/>
  <c r="F68" i="15" s="1"/>
  <c r="C70" i="1"/>
  <c r="M70" i="13"/>
  <c r="AE70"/>
  <c r="Z70" i="1"/>
  <c r="X70"/>
  <c r="AC70"/>
  <c r="D66" i="17" l="1"/>
  <c r="F67"/>
  <c r="D67" s="1"/>
  <c r="AD70" i="13"/>
  <c r="J70"/>
  <c r="G63" i="10"/>
  <c r="AS70" i="13"/>
  <c r="K70" i="1"/>
  <c r="H70"/>
  <c r="AB70" i="13"/>
  <c r="AI70"/>
  <c r="O70"/>
  <c r="AH70" i="1"/>
  <c r="H70" i="13"/>
  <c r="AK70"/>
  <c r="I70"/>
  <c r="AQ70"/>
  <c r="AO70"/>
  <c r="AE70" i="1"/>
  <c r="S70"/>
  <c r="I63" i="10"/>
  <c r="AR70" i="13"/>
  <c r="F70" i="1"/>
  <c r="AG70" i="13"/>
  <c r="P70"/>
  <c r="R70"/>
  <c r="W70" i="1"/>
  <c r="V70" i="13"/>
  <c r="AG70" i="1"/>
  <c r="F63" i="10"/>
  <c r="G70" i="1"/>
  <c r="AJ70"/>
  <c r="E70" i="13"/>
  <c r="AT70"/>
  <c r="O70" i="1"/>
  <c r="I70"/>
  <c r="AW70" i="13"/>
  <c r="C68" i="15"/>
  <c r="AJ70" i="13"/>
  <c r="R70" i="1"/>
  <c r="F70" i="13"/>
  <c r="U70"/>
  <c r="U70" i="1"/>
  <c r="C70" i="13"/>
  <c r="E63" i="10"/>
  <c r="Q70" i="13"/>
  <c r="K70"/>
  <c r="AU70"/>
  <c r="J70" i="1"/>
  <c r="F63" i="12"/>
  <c r="G68" i="15" s="1"/>
  <c r="AL70" i="1"/>
  <c r="L70"/>
  <c r="X70" i="13"/>
  <c r="AF70"/>
  <c r="AM70"/>
  <c r="Y70"/>
  <c r="AI70" i="1"/>
  <c r="AA70"/>
  <c r="J63" i="10"/>
  <c r="Z70" i="13"/>
  <c r="P70" i="1"/>
  <c r="S70" i="13"/>
  <c r="T70" i="1"/>
  <c r="D63" i="12"/>
  <c r="E68" i="15" s="1"/>
  <c r="AK70" i="1"/>
  <c r="AD70"/>
  <c r="M70"/>
  <c r="D63" i="10"/>
  <c r="W70" i="13"/>
  <c r="E70" i="1"/>
  <c r="F84" i="4"/>
  <c r="J81" i="5"/>
  <c r="G70" i="13"/>
  <c r="AA70"/>
  <c r="Q70" i="1"/>
  <c r="T70" i="13"/>
  <c r="AV70"/>
  <c r="B67" i="5"/>
  <c r="D67" s="1"/>
  <c r="F83"/>
  <c r="H83" s="1"/>
  <c r="D30" i="4"/>
  <c r="H32" i="10"/>
  <c r="H34" s="1"/>
  <c r="C80"/>
  <c r="C27" s="1"/>
  <c r="C32" s="1"/>
  <c r="C34" s="1"/>
  <c r="B33" i="1"/>
  <c r="V38"/>
  <c r="V40" l="1"/>
  <c r="B38"/>
  <c r="H64" i="10"/>
  <c r="H63"/>
  <c r="F30" i="4"/>
  <c r="J83" i="5"/>
  <c r="L83" s="1"/>
  <c r="C64" i="10"/>
  <c r="C63"/>
  <c r="F30" i="5"/>
  <c r="H30" s="1"/>
  <c r="D35" i="4"/>
  <c r="J30" i="5" l="1"/>
  <c r="L30" s="1"/>
  <c r="F35" i="4"/>
  <c r="V70" i="1"/>
  <c r="V71"/>
  <c r="B71" s="1"/>
  <c r="B40"/>
  <c r="B70" s="1"/>
  <c r="F35" i="5"/>
  <c r="H35" s="1"/>
  <c r="D37" i="4"/>
  <c r="F37" i="5" l="1"/>
  <c r="H37" s="1"/>
  <c r="D68" i="4"/>
  <c r="J35" i="5"/>
  <c r="L35" s="1"/>
  <c r="F37" i="4"/>
  <c r="F66" l="1"/>
  <c r="F68"/>
  <c r="J37" i="5"/>
  <c r="L37" s="1"/>
  <c r="D66" i="4" l="1"/>
  <c r="F67"/>
  <c r="U70" i="2" l="1"/>
  <c r="G70" i="19"/>
  <c r="D67" i="4"/>
  <c r="F67" i="5" s="1"/>
  <c r="H67" s="1"/>
  <c r="J67"/>
  <c r="L67" s="1"/>
  <c r="I70" i="2"/>
  <c r="L70"/>
  <c r="G63" i="11"/>
  <c r="D70" i="2"/>
  <c r="L70" i="13"/>
  <c r="T70" i="2"/>
  <c r="E63" i="11"/>
  <c r="N70" i="2"/>
  <c r="I63" i="11"/>
  <c r="E70" i="2"/>
  <c r="J70"/>
  <c r="Q70"/>
  <c r="H70"/>
  <c r="S70"/>
  <c r="M70"/>
  <c r="F70"/>
  <c r="G70"/>
  <c r="C70"/>
  <c r="K70"/>
  <c r="R70"/>
  <c r="O70"/>
  <c r="D63" i="11"/>
  <c r="F63"/>
  <c r="W43" i="2" l="1"/>
  <c r="W63"/>
  <c r="W45" l="1"/>
  <c r="W57"/>
  <c r="W37"/>
  <c r="AY63" i="13"/>
  <c r="B63" s="1"/>
  <c r="J57" i="11"/>
  <c r="B63" i="2"/>
  <c r="H60" i="4" s="1"/>
  <c r="AY43" i="13"/>
  <c r="J57" i="12" l="1"/>
  <c r="C57" i="11"/>
  <c r="AY37" i="13"/>
  <c r="B37" s="1"/>
  <c r="J31" i="11"/>
  <c r="B37" i="2"/>
  <c r="H34" i="4" s="1"/>
  <c r="AY57" i="13"/>
  <c r="AY65" s="1"/>
  <c r="W65" i="2"/>
  <c r="AY45" i="13"/>
  <c r="B45" s="1"/>
  <c r="J39" i="11"/>
  <c r="B45" i="2"/>
  <c r="H42" i="4" s="1"/>
  <c r="AY15" i="13"/>
  <c r="B15" s="1"/>
  <c r="J9" i="11"/>
  <c r="B15" i="2"/>
  <c r="N60" i="5"/>
  <c r="P60" s="1"/>
  <c r="J60" i="4"/>
  <c r="AY54" i="13"/>
  <c r="W54" i="2"/>
  <c r="W67" s="1"/>
  <c r="W86"/>
  <c r="H12" i="4" l="1"/>
  <c r="H12" i="17"/>
  <c r="J12" s="1"/>
  <c r="N12" s="1"/>
  <c r="AY67" i="13"/>
  <c r="J9" i="12"/>
  <c r="C9" i="11"/>
  <c r="N42" i="5"/>
  <c r="P42" s="1"/>
  <c r="J42" i="4"/>
  <c r="J31" i="12"/>
  <c r="C31" i="11"/>
  <c r="B86" i="2"/>
  <c r="H83" i="4" s="1"/>
  <c r="AY86" i="13"/>
  <c r="B86" s="1"/>
  <c r="J79" i="11"/>
  <c r="N60" i="4"/>
  <c r="R60" i="5"/>
  <c r="T60" s="1"/>
  <c r="N12"/>
  <c r="P12" s="1"/>
  <c r="J12" i="4"/>
  <c r="J39" i="12"/>
  <c r="C39" i="11"/>
  <c r="N34" i="5"/>
  <c r="P34" s="1"/>
  <c r="J34" i="4"/>
  <c r="K62" i="15"/>
  <c r="M62" s="1"/>
  <c r="O62" s="1"/>
  <c r="Q62" s="1"/>
  <c r="C57" i="12"/>
  <c r="BB63" i="13" s="1"/>
  <c r="R34" i="5" l="1"/>
  <c r="T34" s="1"/>
  <c r="N34" i="4"/>
  <c r="R12" i="5"/>
  <c r="T12" s="1"/>
  <c r="N12" i="4"/>
  <c r="J79" i="12"/>
  <c r="C79" s="1"/>
  <c r="BB86" i="13" s="1"/>
  <c r="C79" i="11"/>
  <c r="N82" i="5"/>
  <c r="J83" i="4"/>
  <c r="K36" i="15"/>
  <c r="M36" s="1"/>
  <c r="O36" s="1"/>
  <c r="Q36" s="1"/>
  <c r="C31" i="12"/>
  <c r="BB37" i="13" s="1"/>
  <c r="K14" i="15"/>
  <c r="M14" s="1"/>
  <c r="O14" s="1"/>
  <c r="Q14" s="1"/>
  <c r="C9" i="12"/>
  <c r="BB15" i="13" s="1"/>
  <c r="AY23"/>
  <c r="B23" s="1"/>
  <c r="J17" i="11"/>
  <c r="B23" i="2"/>
  <c r="AY19" i="13"/>
  <c r="K44" i="15"/>
  <c r="M44" s="1"/>
  <c r="O44" s="1"/>
  <c r="Q44" s="1"/>
  <c r="C39" i="12"/>
  <c r="BB45" i="13" s="1"/>
  <c r="R42" i="5"/>
  <c r="T42" s="1"/>
  <c r="N42" i="4"/>
  <c r="H20" l="1"/>
  <c r="H20" i="17"/>
  <c r="J20" s="1"/>
  <c r="N20" s="1"/>
  <c r="J17" i="12"/>
  <c r="C17" i="11"/>
  <c r="N83" i="4"/>
  <c r="R82" i="5"/>
  <c r="N20"/>
  <c r="P20" s="1"/>
  <c r="J20" i="4"/>
  <c r="N20" l="1"/>
  <c r="R20" i="5"/>
  <c r="T20" s="1"/>
  <c r="K22" i="15"/>
  <c r="M22" s="1"/>
  <c r="O22" s="1"/>
  <c r="Q22" s="1"/>
  <c r="C17" i="12"/>
  <c r="BB23" i="13" s="1"/>
  <c r="AX21" l="1"/>
  <c r="B21" s="1"/>
  <c r="J15" i="11"/>
  <c r="B21" i="2"/>
  <c r="AX22" i="13"/>
  <c r="B22" i="2"/>
  <c r="H18" i="4" l="1"/>
  <c r="H18" i="17"/>
  <c r="J18" s="1"/>
  <c r="N18" s="1"/>
  <c r="H19" i="4"/>
  <c r="H19" i="17"/>
  <c r="J19" s="1"/>
  <c r="N19" s="1"/>
  <c r="N19" i="5"/>
  <c r="P19" s="1"/>
  <c r="J19" i="4"/>
  <c r="J15" i="12"/>
  <c r="C15" i="11"/>
  <c r="AY22" i="13"/>
  <c r="AY29" s="1"/>
  <c r="W29" i="2"/>
  <c r="N18" i="5"/>
  <c r="P18" s="1"/>
  <c r="J18" i="4"/>
  <c r="B22" i="13"/>
  <c r="J16" i="11"/>
  <c r="V30" i="2"/>
  <c r="V43"/>
  <c r="V57"/>
  <c r="AY14" i="13" l="1"/>
  <c r="B14" i="2"/>
  <c r="J8" i="11"/>
  <c r="W16" i="2"/>
  <c r="AX43" i="13"/>
  <c r="B43" i="2"/>
  <c r="H40" i="4" s="1"/>
  <c r="J37" i="11"/>
  <c r="V54" i="2"/>
  <c r="B54" s="1"/>
  <c r="AX30" i="13"/>
  <c r="B30" s="1"/>
  <c r="J24" i="11"/>
  <c r="B30" i="2"/>
  <c r="H27" i="4" s="1"/>
  <c r="C16" i="11"/>
  <c r="J16" i="12"/>
  <c r="N18" i="4"/>
  <c r="R18" i="5"/>
  <c r="T18" s="1"/>
  <c r="R19"/>
  <c r="T19" s="1"/>
  <c r="N19" i="4"/>
  <c r="AX19" i="13"/>
  <c r="J13" i="11"/>
  <c r="J23" s="1"/>
  <c r="B19" i="2"/>
  <c r="V29"/>
  <c r="AX57" i="13"/>
  <c r="J51" i="11"/>
  <c r="B57" i="2"/>
  <c r="H54" i="4" s="1"/>
  <c r="V65" i="2"/>
  <c r="K20" i="15"/>
  <c r="M20" s="1"/>
  <c r="O20" s="1"/>
  <c r="Q20" s="1"/>
  <c r="C15" i="12"/>
  <c r="BB21" i="13" s="1"/>
  <c r="H16" i="4" l="1"/>
  <c r="H16" i="17"/>
  <c r="H11" i="4"/>
  <c r="H11" i="17"/>
  <c r="J51" i="12"/>
  <c r="J59" i="11"/>
  <c r="C51"/>
  <c r="C59" s="1"/>
  <c r="B29" i="2"/>
  <c r="V74"/>
  <c r="K21" i="15"/>
  <c r="M21" s="1"/>
  <c r="O21" s="1"/>
  <c r="Q21" s="1"/>
  <c r="C16" i="12"/>
  <c r="BB22" i="13" s="1"/>
  <c r="N40" i="5"/>
  <c r="P40" s="1"/>
  <c r="H51" i="4"/>
  <c r="J40"/>
  <c r="B16" i="2"/>
  <c r="N11" i="5"/>
  <c r="P11" s="1"/>
  <c r="H13" i="4"/>
  <c r="J11"/>
  <c r="N54" i="5"/>
  <c r="P54" s="1"/>
  <c r="H62" i="4"/>
  <c r="N62" i="5" s="1"/>
  <c r="P62" s="1"/>
  <c r="J54" i="4"/>
  <c r="AX65" i="13"/>
  <c r="B65" s="1"/>
  <c r="B57"/>
  <c r="N16" i="5"/>
  <c r="P16" s="1"/>
  <c r="H26" i="4"/>
  <c r="J16"/>
  <c r="AX29" i="13"/>
  <c r="B19"/>
  <c r="N27" i="5"/>
  <c r="P27" s="1"/>
  <c r="J27" i="4"/>
  <c r="J37" i="12"/>
  <c r="C37" i="11"/>
  <c r="C48" s="1"/>
  <c r="J48"/>
  <c r="AX54" i="13"/>
  <c r="B43"/>
  <c r="J10" i="11"/>
  <c r="J67" s="1"/>
  <c r="J8" i="12"/>
  <c r="C8" i="11"/>
  <c r="C10" s="1"/>
  <c r="AY16" i="13"/>
  <c r="B14"/>
  <c r="W74" i="2"/>
  <c r="W80" s="1"/>
  <c r="W83" s="1"/>
  <c r="W85" s="1"/>
  <c r="W87" s="1"/>
  <c r="W33" s="1"/>
  <c r="V67"/>
  <c r="B67" s="1"/>
  <c r="B65"/>
  <c r="C13" i="11"/>
  <c r="C23" s="1"/>
  <c r="J13" i="12"/>
  <c r="J24"/>
  <c r="C24" i="11"/>
  <c r="H13" i="17" l="1"/>
  <c r="J11"/>
  <c r="H26"/>
  <c r="J16"/>
  <c r="C61" i="11"/>
  <c r="J61"/>
  <c r="K29" i="15"/>
  <c r="M29" s="1"/>
  <c r="O29" s="1"/>
  <c r="Q29" s="1"/>
  <c r="C24" i="12"/>
  <c r="BB30" i="13" s="1"/>
  <c r="J73" i="11"/>
  <c r="J76" s="1"/>
  <c r="J78" s="1"/>
  <c r="J80" s="1"/>
  <c r="J27" s="1"/>
  <c r="J32" s="1"/>
  <c r="J34" s="1"/>
  <c r="C67"/>
  <c r="N27" i="4"/>
  <c r="R27" i="5"/>
  <c r="T27" s="1"/>
  <c r="J23" i="12"/>
  <c r="K18" i="15"/>
  <c r="C13" i="12"/>
  <c r="AY33" i="13"/>
  <c r="AY38" s="1"/>
  <c r="AY40" s="1"/>
  <c r="W38" i="2"/>
  <c r="W40" s="1"/>
  <c r="AY74" i="13"/>
  <c r="AY80" s="1"/>
  <c r="AY83" s="1"/>
  <c r="AY85" s="1"/>
  <c r="AY87" s="1"/>
  <c r="B16"/>
  <c r="K13" i="15"/>
  <c r="C8" i="12"/>
  <c r="J10"/>
  <c r="K42" i="15"/>
  <c r="J48" i="12"/>
  <c r="C37"/>
  <c r="AX74" i="13"/>
  <c r="B29"/>
  <c r="N26" i="5"/>
  <c r="P26" s="1"/>
  <c r="J62" i="4"/>
  <c r="R62" i="5" s="1"/>
  <c r="T62" s="1"/>
  <c r="R54"/>
  <c r="T54" s="1"/>
  <c r="N54" i="4"/>
  <c r="N62" s="1"/>
  <c r="N13" i="5"/>
  <c r="P13" s="1"/>
  <c r="H71" i="4"/>
  <c r="N70" i="5" s="1"/>
  <c r="P70" s="1"/>
  <c r="J51" i="4"/>
  <c r="R40" i="5"/>
  <c r="T40" s="1"/>
  <c r="N40" i="4"/>
  <c r="N51" s="1"/>
  <c r="V80" i="2"/>
  <c r="V83" s="1"/>
  <c r="V85" s="1"/>
  <c r="V87" s="1"/>
  <c r="V33" s="1"/>
  <c r="B74"/>
  <c r="K56" i="15"/>
  <c r="J59" i="12"/>
  <c r="C51"/>
  <c r="AX67" i="13"/>
  <c r="B54"/>
  <c r="N16" i="4"/>
  <c r="J26"/>
  <c r="R16" i="5"/>
  <c r="T16" s="1"/>
  <c r="J13" i="4"/>
  <c r="R11" i="5"/>
  <c r="T11" s="1"/>
  <c r="N11" i="4"/>
  <c r="N51" i="5"/>
  <c r="P51" s="1"/>
  <c r="H64" i="4"/>
  <c r="N64" i="5" s="1"/>
  <c r="P64" s="1"/>
  <c r="H71" i="17" l="1"/>
  <c r="N16"/>
  <c r="J26"/>
  <c r="N11"/>
  <c r="J13"/>
  <c r="J67" i="12"/>
  <c r="N64" i="4"/>
  <c r="R51" i="5"/>
  <c r="T51" s="1"/>
  <c r="J64" i="4"/>
  <c r="AX80" i="13"/>
  <c r="AX83" s="1"/>
  <c r="AX85" s="1"/>
  <c r="AX87" s="1"/>
  <c r="B74"/>
  <c r="J71" i="4"/>
  <c r="R13" i="5"/>
  <c r="T13" s="1"/>
  <c r="R26"/>
  <c r="T26" s="1"/>
  <c r="BB57" i="13"/>
  <c r="C59" i="12"/>
  <c r="BB65" i="13" s="1"/>
  <c r="K64" i="15"/>
  <c r="M56"/>
  <c r="AX33" i="13"/>
  <c r="AX38" s="1"/>
  <c r="AX40" s="1"/>
  <c r="V38" i="2"/>
  <c r="V40" s="1"/>
  <c r="BB43" i="13"/>
  <c r="C48" i="12"/>
  <c r="C61" s="1"/>
  <c r="K53" i="15"/>
  <c r="K66" s="1"/>
  <c r="M42"/>
  <c r="BB14" i="13"/>
  <c r="C10" i="12"/>
  <c r="BB16" i="13" s="1"/>
  <c r="W71" i="2"/>
  <c r="W70"/>
  <c r="BB19" i="13"/>
  <c r="C23" i="12"/>
  <c r="BB29" i="13" s="1"/>
  <c r="J64" i="11"/>
  <c r="J63"/>
  <c r="E67" i="16"/>
  <c r="E68" s="1"/>
  <c r="E70" s="1"/>
  <c r="E72" s="1"/>
  <c r="B67" i="13"/>
  <c r="J73" i="12"/>
  <c r="K72" i="15"/>
  <c r="M72" s="1"/>
  <c r="C67" i="12"/>
  <c r="K15" i="15"/>
  <c r="M13"/>
  <c r="AY71" i="13"/>
  <c r="AY70"/>
  <c r="K28" i="15"/>
  <c r="M18"/>
  <c r="J61" i="12"/>
  <c r="J71" i="17" l="1"/>
  <c r="BB54" i="13"/>
  <c r="O42" i="15"/>
  <c r="M53"/>
  <c r="V71" i="2"/>
  <c r="V70"/>
  <c r="O56" i="15"/>
  <c r="M64"/>
  <c r="R70" i="5"/>
  <c r="T70" s="1"/>
  <c r="BB67" i="13"/>
  <c r="O18" i="15"/>
  <c r="M28"/>
  <c r="O13"/>
  <c r="M15"/>
  <c r="J76" i="12"/>
  <c r="K78" i="15"/>
  <c r="D67" i="16"/>
  <c r="AX71" i="13"/>
  <c r="AX70"/>
  <c r="R64" i="5"/>
  <c r="T64" s="1"/>
  <c r="C20" i="7"/>
  <c r="C22" s="1"/>
  <c r="C26" s="1"/>
  <c r="P77" i="2" s="1"/>
  <c r="BB74" i="13"/>
  <c r="D68" i="16" l="1"/>
  <c r="F67"/>
  <c r="F68" s="1"/>
  <c r="K81" i="15"/>
  <c r="J78" i="12"/>
  <c r="J80" s="1"/>
  <c r="Q13" i="15"/>
  <c r="O15"/>
  <c r="Q18"/>
  <c r="O28"/>
  <c r="Q56"/>
  <c r="O64"/>
  <c r="Q64" s="1"/>
  <c r="Q42"/>
  <c r="O53"/>
  <c r="M66"/>
  <c r="H70" i="11"/>
  <c r="AC77" i="13"/>
  <c r="B77" i="2"/>
  <c r="P80"/>
  <c r="H74" i="4" l="1"/>
  <c r="H74" i="17"/>
  <c r="B80" i="2"/>
  <c r="P83"/>
  <c r="B77" i="13"/>
  <c r="AC80"/>
  <c r="O66" i="15"/>
  <c r="Q66" s="1"/>
  <c r="Q53"/>
  <c r="Q28"/>
  <c r="Q15"/>
  <c r="O72"/>
  <c r="Q72" s="1"/>
  <c r="K83"/>
  <c r="J27" i="12"/>
  <c r="H77" i="4"/>
  <c r="N73" i="5"/>
  <c r="P73" s="1"/>
  <c r="J74" i="4"/>
  <c r="C70" i="11"/>
  <c r="H70" i="12"/>
  <c r="H73" i="11"/>
  <c r="J74" i="17" l="1"/>
  <c r="H77"/>
  <c r="H80" s="1"/>
  <c r="H82" s="1"/>
  <c r="H84" s="1"/>
  <c r="H30" s="1"/>
  <c r="H35" s="1"/>
  <c r="H37" s="1"/>
  <c r="H68" s="1"/>
  <c r="I75" i="15"/>
  <c r="M75" s="1"/>
  <c r="O75" s="1"/>
  <c r="Q75" s="1"/>
  <c r="H73" i="12"/>
  <c r="C70"/>
  <c r="BB77" i="13" s="1"/>
  <c r="R73" i="5"/>
  <c r="T73" s="1"/>
  <c r="N74" i="4"/>
  <c r="J77"/>
  <c r="H80"/>
  <c r="N76" i="5"/>
  <c r="P76" s="1"/>
  <c r="AC83" i="13"/>
  <c r="B80"/>
  <c r="B83" i="2"/>
  <c r="P85"/>
  <c r="H76" i="11"/>
  <c r="C73"/>
  <c r="K32" i="15"/>
  <c r="K37" s="1"/>
  <c r="K39" s="1"/>
  <c r="J32" i="12"/>
  <c r="J34" s="1"/>
  <c r="N74" i="17" l="1"/>
  <c r="J77"/>
  <c r="J80" s="1"/>
  <c r="J82" s="1"/>
  <c r="J84" s="1"/>
  <c r="J30" s="1"/>
  <c r="J35" s="1"/>
  <c r="J37" s="1"/>
  <c r="J64" i="12"/>
  <c r="K69" i="15" s="1"/>
  <c r="J63" i="12"/>
  <c r="K68" i="15" s="1"/>
  <c r="B85" i="2"/>
  <c r="P87"/>
  <c r="R76" i="5"/>
  <c r="T76" s="1"/>
  <c r="J80" i="4"/>
  <c r="I78" i="15"/>
  <c r="M78" s="1"/>
  <c r="O78" s="1"/>
  <c r="Q78" s="1"/>
  <c r="H76" i="12"/>
  <c r="C73"/>
  <c r="BB80" i="13" s="1"/>
  <c r="H78" i="11"/>
  <c r="C76"/>
  <c r="AC85" i="13"/>
  <c r="B83"/>
  <c r="N79" i="5"/>
  <c r="P79" s="1"/>
  <c r="H82" i="4"/>
  <c r="J68" i="17" l="1"/>
  <c r="L9"/>
  <c r="J66"/>
  <c r="B85" i="13"/>
  <c r="AC87"/>
  <c r="B87" s="1"/>
  <c r="H80" i="11"/>
  <c r="C78"/>
  <c r="I81" i="15"/>
  <c r="M81" s="1"/>
  <c r="O81" s="1"/>
  <c r="Q81" s="1"/>
  <c r="H78" i="12"/>
  <c r="C76"/>
  <c r="BB83" i="13" s="1"/>
  <c r="J82" i="4"/>
  <c r="R79" i="5"/>
  <c r="T79" s="1"/>
  <c r="P33" i="2"/>
  <c r="B87"/>
  <c r="N81" i="5"/>
  <c r="H84" i="4"/>
  <c r="H66" i="17" l="1"/>
  <c r="J67"/>
  <c r="H67" s="1"/>
  <c r="O9"/>
  <c r="L29"/>
  <c r="N29" s="1"/>
  <c r="N9"/>
  <c r="N13" s="1"/>
  <c r="L22"/>
  <c r="L13"/>
  <c r="P38" i="2"/>
  <c r="B33"/>
  <c r="AC33" i="13"/>
  <c r="J84" i="4"/>
  <c r="R81" i="5"/>
  <c r="H80" i="12"/>
  <c r="C78"/>
  <c r="BB85" i="13" s="1"/>
  <c r="H30" i="4"/>
  <c r="N83" i="5"/>
  <c r="P83" s="1"/>
  <c r="H27" i="11"/>
  <c r="H32" s="1"/>
  <c r="H34" s="1"/>
  <c r="C80"/>
  <c r="C27" s="1"/>
  <c r="C32" s="1"/>
  <c r="C34" s="1"/>
  <c r="L15" i="17" l="1"/>
  <c r="L26"/>
  <c r="L71" s="1"/>
  <c r="L77" s="1"/>
  <c r="L80" s="1"/>
  <c r="L82" s="1"/>
  <c r="L84" s="1"/>
  <c r="L30" s="1"/>
  <c r="L35" s="1"/>
  <c r="L37" s="1"/>
  <c r="N22"/>
  <c r="N26" s="1"/>
  <c r="N71" s="1"/>
  <c r="N77" s="1"/>
  <c r="N80" s="1"/>
  <c r="N82" s="1"/>
  <c r="N84" s="1"/>
  <c r="N30" s="1"/>
  <c r="N35" s="1"/>
  <c r="N37" s="1"/>
  <c r="N66" s="1"/>
  <c r="H64" i="11"/>
  <c r="H63"/>
  <c r="N30" i="5"/>
  <c r="P30" s="1"/>
  <c r="H35" i="4"/>
  <c r="I83" i="15"/>
  <c r="M83" s="1"/>
  <c r="O83" s="1"/>
  <c r="Q83" s="1"/>
  <c r="C80" i="12"/>
  <c r="H27"/>
  <c r="J30" i="4"/>
  <c r="R83" i="5"/>
  <c r="T83" s="1"/>
  <c r="C64" i="11"/>
  <c r="C63"/>
  <c r="AC38" i="13"/>
  <c r="B33"/>
  <c r="B38" i="2"/>
  <c r="P40"/>
  <c r="N67" i="17" l="1"/>
  <c r="L67" s="1"/>
  <c r="L66"/>
  <c r="B38" i="13"/>
  <c r="AC40"/>
  <c r="R30" i="5"/>
  <c r="T30" s="1"/>
  <c r="J35" i="4"/>
  <c r="C27" i="12"/>
  <c r="C32" s="1"/>
  <c r="C34" s="1"/>
  <c r="BB87" i="13"/>
  <c r="N35" i="5"/>
  <c r="P35" s="1"/>
  <c r="H37" i="4"/>
  <c r="P71" i="2"/>
  <c r="B71" s="1"/>
  <c r="B40"/>
  <c r="B70" s="1"/>
  <c r="P70"/>
  <c r="H32" i="12"/>
  <c r="H34" s="1"/>
  <c r="I32" i="15"/>
  <c r="BB33" i="13" l="1"/>
  <c r="H64" i="12"/>
  <c r="I69" i="15" s="1"/>
  <c r="H63" i="12"/>
  <c r="I68" i="15" s="1"/>
  <c r="N37" i="5"/>
  <c r="P37" s="1"/>
  <c r="H68" i="4"/>
  <c r="R35" i="5"/>
  <c r="T35" s="1"/>
  <c r="J37" i="4"/>
  <c r="D45" i="16"/>
  <c r="B40" i="13"/>
  <c r="AC70"/>
  <c r="AC71"/>
  <c r="B71" s="1"/>
  <c r="M32" i="15"/>
  <c r="I37"/>
  <c r="I39" s="1"/>
  <c r="C64" i="12"/>
  <c r="C63"/>
  <c r="BB38" i="13"/>
  <c r="BB71" l="1"/>
  <c r="BB69"/>
  <c r="M68" i="15"/>
  <c r="O68" s="1"/>
  <c r="Q68" s="1"/>
  <c r="BB40" i="13"/>
  <c r="B70"/>
  <c r="BB70" s="1"/>
  <c r="L9" i="4"/>
  <c r="R37" i="5"/>
  <c r="T37" s="1"/>
  <c r="J66" i="4"/>
  <c r="J68"/>
  <c r="O32" i="15"/>
  <c r="M37"/>
  <c r="M39" s="1"/>
  <c r="M69" s="1"/>
  <c r="D53" i="16"/>
  <c r="D70" s="1"/>
  <c r="D72" s="1"/>
  <c r="F45"/>
  <c r="F53" s="1"/>
  <c r="F70" s="1"/>
  <c r="F72" s="1"/>
  <c r="Q32" i="15" l="1"/>
  <c r="O37"/>
  <c r="H66" i="4"/>
  <c r="J67"/>
  <c r="L22"/>
  <c r="V9" i="5"/>
  <c r="X9" s="1"/>
  <c r="N9" i="4"/>
  <c r="N13" s="1"/>
  <c r="L29"/>
  <c r="L13"/>
  <c r="V29" i="5" l="1"/>
  <c r="X29" s="1"/>
  <c r="N29" i="4"/>
  <c r="H67"/>
  <c r="N67" i="5" s="1"/>
  <c r="P67" s="1"/>
  <c r="R67"/>
  <c r="T67" s="1"/>
  <c r="Q37" i="15"/>
  <c r="O39"/>
  <c r="V13" i="5"/>
  <c r="X13" s="1"/>
  <c r="L26" i="4"/>
  <c r="V22" i="5"/>
  <c r="X22" s="1"/>
  <c r="N22" i="4"/>
  <c r="N26" s="1"/>
  <c r="N71" s="1"/>
  <c r="N77" s="1"/>
  <c r="N80" s="1"/>
  <c r="N82" s="1"/>
  <c r="N84" s="1"/>
  <c r="N30" s="1"/>
  <c r="N35" s="1"/>
  <c r="N37" s="1"/>
  <c r="N66" s="1"/>
  <c r="L66" l="1"/>
  <c r="N67"/>
  <c r="L67" s="1"/>
  <c r="V26" i="5"/>
  <c r="X26" s="1"/>
  <c r="Q39" i="15"/>
  <c r="O69"/>
  <c r="L71" i="4"/>
  <c r="L77" l="1"/>
  <c r="V70" i="5"/>
  <c r="X70" s="1"/>
  <c r="V76" l="1"/>
  <c r="X76" s="1"/>
  <c r="L80" i="4"/>
  <c r="L82" l="1"/>
  <c r="V79" i="5"/>
  <c r="X79" s="1"/>
  <c r="L84" i="4" l="1"/>
  <c r="V81" i="5"/>
  <c r="L30" i="4" l="1"/>
  <c r="V83" i="5"/>
  <c r="X83" s="1"/>
  <c r="V30" l="1"/>
  <c r="X30" s="1"/>
  <c r="L35" i="4"/>
  <c r="V35" i="5" l="1"/>
  <c r="X35" s="1"/>
  <c r="L37" i="4"/>
  <c r="V37" i="5" s="1"/>
  <c r="X37" s="1"/>
  <c r="L15" i="4" l="1"/>
  <c r="E12" i="24"/>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alcChain>
</file>

<file path=xl/sharedStrings.xml><?xml version="1.0" encoding="utf-8"?>
<sst xmlns="http://schemas.openxmlformats.org/spreadsheetml/2006/main" count="2206" uniqueCount="628">
  <si>
    <t>3.1</t>
  </si>
  <si>
    <t>4.1</t>
  </si>
  <si>
    <t>3.2</t>
  </si>
  <si>
    <t>3.3</t>
  </si>
  <si>
    <t>3.4</t>
  </si>
  <si>
    <t>3.5</t>
  </si>
  <si>
    <t>3.6</t>
  </si>
  <si>
    <t>4.2</t>
  </si>
  <si>
    <t>4.3</t>
  </si>
  <si>
    <t>4.4</t>
  </si>
  <si>
    <t>4.5</t>
  </si>
  <si>
    <t>4.6</t>
  </si>
  <si>
    <t>4.7</t>
  </si>
  <si>
    <t>5.1</t>
  </si>
  <si>
    <t>6.1</t>
  </si>
  <si>
    <t>7.1</t>
  </si>
  <si>
    <t>7.2</t>
  </si>
  <si>
    <t>7.3</t>
  </si>
  <si>
    <t>7.4</t>
  </si>
  <si>
    <t>7.7</t>
  </si>
  <si>
    <t>7.8</t>
  </si>
  <si>
    <t>8.1</t>
  </si>
  <si>
    <t>8.2</t>
  </si>
  <si>
    <t>8.3</t>
  </si>
  <si>
    <t>8.4</t>
  </si>
  <si>
    <t>8.5</t>
  </si>
  <si>
    <t>8.6</t>
  </si>
  <si>
    <t>8.7</t>
  </si>
  <si>
    <t>8.8</t>
  </si>
  <si>
    <t>8.9</t>
  </si>
  <si>
    <t>9.1</t>
  </si>
  <si>
    <t xml:space="preserve">Capital Structure </t>
  </si>
  <si>
    <t>Embedded Cost</t>
  </si>
  <si>
    <t>Weighted Cost</t>
  </si>
  <si>
    <t>DEBT%</t>
  </si>
  <si>
    <t>PREFERRED %</t>
  </si>
  <si>
    <t>COMMON %</t>
  </si>
  <si>
    <t>Tab 6</t>
  </si>
  <si>
    <t>Total Restating Adjustments</t>
  </si>
  <si>
    <t>Tab 3 - Revenue</t>
  </si>
  <si>
    <t>Tab 4 - Operations and Maintenance</t>
  </si>
  <si>
    <t>Tab 5 - Net Power Costs</t>
  </si>
  <si>
    <t>Tab 7 - Taxes</t>
  </si>
  <si>
    <t>Tab 8 - Rate Base</t>
  </si>
  <si>
    <t>5.4</t>
  </si>
  <si>
    <t>4.8</t>
  </si>
  <si>
    <t>5.3</t>
  </si>
  <si>
    <t>7.5</t>
  </si>
  <si>
    <t>7.6</t>
  </si>
  <si>
    <t xml:space="preserve">Tab 6 </t>
  </si>
  <si>
    <t>5.2</t>
  </si>
  <si>
    <t>9.1.1</t>
  </si>
  <si>
    <t>PacifiCorp</t>
  </si>
  <si>
    <t>Estimated Price Change</t>
  </si>
  <si>
    <t>Tab 9 - Prod. Factor</t>
  </si>
  <si>
    <t>Return on Rate Base</t>
  </si>
  <si>
    <t xml:space="preserve">   Operating Revenues:</t>
  </si>
  <si>
    <t>General Business Revenues</t>
  </si>
  <si>
    <t>Interdepartmental</t>
  </si>
  <si>
    <t>Special Sales</t>
  </si>
  <si>
    <t>Other Operating Revenues</t>
  </si>
  <si>
    <t xml:space="preserve">   Total Operating Revenues</t>
  </si>
  <si>
    <t xml:space="preserve">   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</si>
  <si>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</si>
  <si>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</si>
  <si>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</si>
  <si>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</si>
  <si>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</si>
  <si>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</si>
  <si>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</si>
  <si>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</si>
  <si>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</si>
  <si>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</si>
  <si>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 xml:space="preserve">   Total O&amp;M Expenses</t>
  </si>
  <si>
    <t>Depreciation</t>
  </si>
  <si>
    <t xml:space="preserve">Amortization </t>
  </si>
  <si>
    <t>Taxes Other Than Income</t>
  </si>
  <si>
    <t>Income Taxes - Federal</t>
  </si>
  <si>
    <t>Income Taxes - State</t>
  </si>
  <si>
    <t>Income Taxes - Def Net</t>
  </si>
  <si>
    <t>Investment Tax Credit Adj.</t>
  </si>
  <si>
    <t>Misc Revenue &amp; Expense</t>
  </si>
  <si>
    <t xml:space="preserve">   Total Operating Expenses:</t>
  </si>
  <si>
    <t xml:space="preserve">   Operating Rev For Return:</t>
  </si>
  <si>
    <t xml:space="preserve">   Rate Base:</t>
  </si>
  <si>
    <t>Electric Plant In Service</t>
  </si>
  <si>
    <t>Plant Held for Future Use</t>
  </si>
  <si>
    <t>Misc Deferred Debits</t>
  </si>
  <si>
    <t>Elec Plant Acq Adj</t>
  </si>
  <si>
    <t>Nuclear Fuel</t>
  </si>
  <si>
    <t>Prepayments</t>
  </si>
  <si>
    <t>Fuel Stock</t>
  </si>
  <si>
    <t>Material &amp; Supplies</t>
  </si>
  <si>
    <t>Working Capital</t>
  </si>
  <si>
    <t>Weatherization</t>
  </si>
  <si>
    <t xml:space="preserve">Misc Rate Base </t>
  </si>
  <si>
    <t xml:space="preserve">   Total Electric Plant:</t>
  </si>
  <si>
    <t>Rate Base Deductions:</t>
  </si>
  <si>
    <t>Accum Prov For Deprec</t>
  </si>
  <si>
    <t>Accum Prov For Amort</t>
  </si>
  <si>
    <t>Accum Def Income Tax</t>
  </si>
  <si>
    <t>Unamortized ITC</t>
  </si>
  <si>
    <t>Customer Adv For Const</t>
  </si>
  <si>
    <t>Customer Service Deposits</t>
  </si>
  <si>
    <t>Misc Rate Base Deductions</t>
  </si>
  <si>
    <t xml:space="preserve">     Total Rate Base Deductions</t>
  </si>
  <si>
    <t xml:space="preserve">   Total Rate Base:</t>
  </si>
  <si>
    <t>Return on Equity</t>
  </si>
  <si>
    <t>TAX CALCULATION:</t>
  </si>
  <si>
    <t>Operating Revenue</t>
  </si>
  <si>
    <t>Other Deductions</t>
  </si>
  <si>
    <t>Interest (AFUDC)</t>
  </si>
  <si>
    <t>Interest</t>
  </si>
  <si>
    <t>Schedule "M" Additions</t>
  </si>
  <si>
    <t>Schedule "M" Deductions</t>
  </si>
  <si>
    <t>Income Before Tax</t>
  </si>
  <si>
    <t>State Income Taxes</t>
  </si>
  <si>
    <t>Taxable Income</t>
  </si>
  <si>
    <t>Temperature Normalization</t>
  </si>
  <si>
    <t>Revenue Normalization</t>
  </si>
  <si>
    <t>SO2 Emission Allowances</t>
  </si>
  <si>
    <t>Wheeling Revenue Adjustment</t>
  </si>
  <si>
    <t>Miscellaneous General Expense Adjustment</t>
  </si>
  <si>
    <t>Remove Non-Recurring Entries</t>
  </si>
  <si>
    <t>Net Power Costs - Restating</t>
  </si>
  <si>
    <t>BPA Residential Exchange</t>
  </si>
  <si>
    <t>Hydro Decommissioning</t>
  </si>
  <si>
    <t>Interest True Up</t>
  </si>
  <si>
    <t>Malin Midpoint Adjustment</t>
  </si>
  <si>
    <t>AFUDC - Equity</t>
  </si>
  <si>
    <t>Jim Bridger Mine Rate Base Adjustment</t>
  </si>
  <si>
    <t xml:space="preserve">Environmental Remediation </t>
  </si>
  <si>
    <t>Customer Advances for Construction</t>
  </si>
  <si>
    <t>Miscellaneous Rate Base</t>
  </si>
  <si>
    <t>Effective Price Change</t>
  </si>
  <si>
    <t>James River Royalty Offset</t>
  </si>
  <si>
    <t>Pension Curtailment</t>
  </si>
  <si>
    <t>Powerdale Hydro Removal</t>
  </si>
  <si>
    <t>Renewable Energy Tax Credit</t>
  </si>
  <si>
    <t>Production Factor Adjustment</t>
  </si>
  <si>
    <t>(Cont) Production Factor Adjustment</t>
  </si>
  <si>
    <t>Restating Adjustments</t>
  </si>
  <si>
    <t>Total Restated Actual Results</t>
  </si>
  <si>
    <t>Proforma Adjustments</t>
  </si>
  <si>
    <t>Total Normalized Results</t>
  </si>
  <si>
    <t>(1)</t>
  </si>
  <si>
    <t>(2)</t>
  </si>
  <si>
    <t>(3)</t>
  </si>
  <si>
    <t>(4)</t>
  </si>
  <si>
    <t>(5)</t>
  </si>
  <si>
    <t>(6)</t>
  </si>
  <si>
    <t>Unadjusted
Results</t>
  </si>
  <si>
    <t>(1) + (2)</t>
  </si>
  <si>
    <t>(3) + (4)</t>
  </si>
  <si>
    <t>(From RAM - Results Tab)</t>
  </si>
  <si>
    <t>Interest True-up Calculation</t>
  </si>
  <si>
    <t>Unadjusted Interest Expense</t>
  </si>
  <si>
    <t>Restated Washington Allocated Rate Base</t>
  </si>
  <si>
    <t>Weighted Cost of Debt</t>
  </si>
  <si>
    <t>Restated Interest Expense</t>
  </si>
  <si>
    <t>Restating Adjustment</t>
  </si>
  <si>
    <t>Restated Results</t>
  </si>
  <si>
    <t>Proforma Results</t>
  </si>
  <si>
    <t>Proforma Washington Allocated Rate Base</t>
  </si>
  <si>
    <t>Proforma Interest Expense</t>
  </si>
  <si>
    <t>Proforma Adjustment</t>
  </si>
  <si>
    <t>Federal Income Taxes Before Credits</t>
  </si>
  <si>
    <t>Energy Tax Credits</t>
  </si>
  <si>
    <t>Federal Income Taxes</t>
  </si>
  <si>
    <t>Price Change</t>
  </si>
  <si>
    <t>Results with Price Change</t>
  </si>
  <si>
    <t>(7)</t>
  </si>
  <si>
    <t>WUTC Regulatory Fee</t>
  </si>
  <si>
    <t>Operating Deductions</t>
  </si>
  <si>
    <t>Uncollectable Accounts</t>
  </si>
  <si>
    <t>Taxes Other - Revenue Tax</t>
  </si>
  <si>
    <t>Taxes Other - Resource Supplier</t>
  </si>
  <si>
    <t>Taxes Other - Gross Receipts</t>
  </si>
  <si>
    <t>Sub-Total</t>
  </si>
  <si>
    <t>Federal Income Tax @ 35.00%</t>
  </si>
  <si>
    <t>Net Operating Income</t>
  </si>
  <si>
    <t>Net to Gross Bump-up Factor</t>
  </si>
  <si>
    <t>State Taxes</t>
  </si>
  <si>
    <t>(5) + (6)</t>
  </si>
  <si>
    <t>Unadjusted Results</t>
  </si>
  <si>
    <t>Capital Structure and Cost</t>
  </si>
  <si>
    <t>Estimated Return on Equity Impact</t>
  </si>
  <si>
    <t>Variables</t>
  </si>
  <si>
    <t>Variance</t>
  </si>
  <si>
    <t>Summary
Sheet</t>
  </si>
  <si>
    <t>Regulatory Adjustment Model (RAM)</t>
  </si>
  <si>
    <t>Check Totals (RAM to Summary Tab)</t>
  </si>
  <si>
    <t>Above</t>
  </si>
  <si>
    <t>Reference</t>
  </si>
  <si>
    <t>Page 1.1, Line 66, Column (1)</t>
  </si>
  <si>
    <t>Page 1.1, Line 66, Column (3)</t>
  </si>
  <si>
    <t>Page 1.1, Line 57, Column (3)</t>
  </si>
  <si>
    <t>Page 1.1, Line 66, Column (5)</t>
  </si>
  <si>
    <t>Page 1.1, Line 57, Column (5)</t>
  </si>
  <si>
    <t>Page 2.1</t>
  </si>
  <si>
    <t>Advertising Expense</t>
  </si>
  <si>
    <t>Page 1.4</t>
  </si>
  <si>
    <t>Total Adjustments</t>
  </si>
  <si>
    <t>Income Taxes:  Federal</t>
  </si>
  <si>
    <t xml:space="preserve">                         State</t>
  </si>
  <si>
    <t>Deferred Income Taxes</t>
  </si>
  <si>
    <t>Weatherization Loans</t>
  </si>
  <si>
    <t xml:space="preserve">   Deductions:</t>
  </si>
  <si>
    <t>Miscellaneous Deductions</t>
  </si>
  <si>
    <t xml:space="preserve">   Total Deductions:</t>
  </si>
  <si>
    <t>Estimated ROE impact</t>
  </si>
  <si>
    <t>Page 1.6</t>
  </si>
  <si>
    <t>Page 1.5</t>
  </si>
  <si>
    <t>Revenue Adjustments
(Tab 3)</t>
  </si>
  <si>
    <t>O&amp;M Adjustments
(Tab 4)</t>
  </si>
  <si>
    <t>Net Power Cost Adjustments
(Tab 5)</t>
  </si>
  <si>
    <t>Depreciation &amp; Amortization
(Tab 6)</t>
  </si>
  <si>
    <t>Tax Adjustments
(Tab 7)</t>
  </si>
  <si>
    <t>Misc Rate Base Adjustments
(Tab 8)</t>
  </si>
  <si>
    <t>Other Adjustments
(Tab 9)</t>
  </si>
  <si>
    <t>NOI</t>
  </si>
  <si>
    <t>Rate Base</t>
  </si>
  <si>
    <t>Unadjusted Washington Allocated Data (Per Books)</t>
  </si>
  <si>
    <t>Rev. Req.</t>
  </si>
  <si>
    <t xml:space="preserve">Notes: </t>
  </si>
  <si>
    <t>Washington General Rate Case - December 2010</t>
  </si>
  <si>
    <t>WA General Rate Case - December 2010</t>
  </si>
  <si>
    <t>REC Revenues</t>
  </si>
  <si>
    <t>3.7</t>
  </si>
  <si>
    <t>Ancillary Revenue - WA</t>
  </si>
  <si>
    <t>DSM Revenue and Expense Removal</t>
  </si>
  <si>
    <t>Inverted Rates Advertising</t>
  </si>
  <si>
    <t>4.9</t>
  </si>
  <si>
    <t>MEHC Transition Cost Amortization</t>
  </si>
  <si>
    <t>4.10</t>
  </si>
  <si>
    <t>Affiliate Mgmt Fee (MEHC Cross Charge)</t>
  </si>
  <si>
    <t>4.12</t>
  </si>
  <si>
    <t>4.13</t>
  </si>
  <si>
    <t>Memberships &amp; Subscriptions</t>
  </si>
  <si>
    <t>Colstrip #3 Removal</t>
  </si>
  <si>
    <t>AFUDC Equity</t>
  </si>
  <si>
    <t>WA Flow-Through</t>
  </si>
  <si>
    <t>(cont.) WA Flow-Through</t>
  </si>
  <si>
    <t>Remove Deferred State Tax Expense &amp; Balance</t>
  </si>
  <si>
    <t>Misc Rate Base</t>
  </si>
  <si>
    <t>8.6.1</t>
  </si>
  <si>
    <t>(cont.) Misc Rate Base</t>
  </si>
  <si>
    <t>8.6.2</t>
  </si>
  <si>
    <t>(cont. 3) Misc Rate Base</t>
  </si>
  <si>
    <t>Reg Asset Amortization</t>
  </si>
  <si>
    <t>Trojan Removal</t>
  </si>
  <si>
    <t>SO2 Emission Allowance Sales</t>
  </si>
  <si>
    <t>4.11</t>
  </si>
  <si>
    <t>Insurance Expense</t>
  </si>
  <si>
    <t>AMR Savings</t>
  </si>
  <si>
    <t>5.1.1</t>
  </si>
  <si>
    <t>Reg Asset Amortization Adjustment</t>
  </si>
  <si>
    <t>Net Power Costs - Pro Forma</t>
  </si>
  <si>
    <t>WA Public Utility Tax</t>
  </si>
  <si>
    <t>Removal of Colstrip #4 AFUDC Adjustment</t>
  </si>
  <si>
    <t>(cont.) Miscellaneous Rate Base</t>
  </si>
  <si>
    <t>(cont. 3) Miscellaneous Rate Base</t>
  </si>
  <si>
    <t>ADIT Balance</t>
  </si>
  <si>
    <t>Trojan Removal Adjustment</t>
  </si>
  <si>
    <t>General Wage Increase - Annualization</t>
  </si>
  <si>
    <t>General Wage Increase - Pro Forma</t>
  </si>
  <si>
    <t>Summary of Total Adjustments</t>
  </si>
  <si>
    <t>Summary of Restating Adjustments</t>
  </si>
  <si>
    <t>Summary of Proforma Adjustments</t>
  </si>
  <si>
    <t>Renewable Energy Tax Credit Adjustment</t>
  </si>
  <si>
    <t>7.6.1</t>
  </si>
  <si>
    <t>WASHINGTON SUMMARY OF ADJUSTMENTS - TOTAL</t>
  </si>
  <si>
    <t>WASHINGTON SUMMARY OF ADJUSTMENTS - RESTATING</t>
  </si>
  <si>
    <t>WASHINGTON SUMMARY OF ADJUSTMENTS - PROFORMA</t>
  </si>
  <si>
    <t>Total Adjusted Results</t>
  </si>
  <si>
    <t>8.10</t>
  </si>
  <si>
    <t>Condit Hydro Removal Adjustment</t>
  </si>
  <si>
    <t>General Wage Increase - Restating Adjustment</t>
  </si>
  <si>
    <t>General Wage Increase - Pro Forma Adjustment</t>
  </si>
  <si>
    <t>Total 
Pro Forma
Adjustments</t>
  </si>
  <si>
    <t>(1) The revenue requirement column is calculated using the Company's proposed return on rate base of 7.74% and the NOI conversion factor of 62.023%.</t>
  </si>
  <si>
    <t>(RBD-3) Page 1.0</t>
  </si>
  <si>
    <t>The development of these percentages can be found in Exhibit No.___(RBD-3) on pages 2.1 and 1.3 respectively.</t>
  </si>
  <si>
    <t>Revenue Requirement Adjustment Summary</t>
  </si>
  <si>
    <t>Summary</t>
  </si>
  <si>
    <t>Washington Results of Operations</t>
  </si>
  <si>
    <t>Exibit No.___(RBD-3)</t>
  </si>
  <si>
    <t>Exhibit No.___(RBD-3)</t>
  </si>
  <si>
    <t>Total</t>
  </si>
  <si>
    <t>pg 1.1 RAM</t>
  </si>
  <si>
    <t>Tab 3</t>
  </si>
  <si>
    <t>Tab 4</t>
  </si>
  <si>
    <t>Tab 5</t>
  </si>
  <si>
    <t>Tab 7</t>
  </si>
  <si>
    <t>Tab 8</t>
  </si>
  <si>
    <t>Tab 9</t>
  </si>
  <si>
    <t>Tabs 3-9</t>
  </si>
  <si>
    <t>Total Normalized</t>
  </si>
  <si>
    <t>Revenue Adjustments</t>
  </si>
  <si>
    <t>O&amp;M Adjustments</t>
  </si>
  <si>
    <t>Net Power Cost Adjustments</t>
  </si>
  <si>
    <t>Depreciation &amp; Amortization Adjustments</t>
  </si>
  <si>
    <t>Tax Adjustments</t>
  </si>
  <si>
    <t>Rate Base Adjustments</t>
  </si>
  <si>
    <t>Normalizing Adjustments</t>
  </si>
  <si>
    <t>Washington Normalized Results</t>
  </si>
  <si>
    <t>Results</t>
  </si>
  <si>
    <t>Federal Income Taxes + Other</t>
  </si>
  <si>
    <t>12-Months Ended December 31, 2010</t>
  </si>
  <si>
    <t>Washington Allocated Acutal Results Dec 2010</t>
  </si>
  <si>
    <t>7.6/7.6.1</t>
  </si>
  <si>
    <t>8.6/8.6.1/8.6.2</t>
  </si>
  <si>
    <t>9.1/9.1.1</t>
  </si>
  <si>
    <t>Adj. No.</t>
  </si>
  <si>
    <t>(RBD-3), Page 3.0 Total</t>
  </si>
  <si>
    <t>(RBD-3), Page 4.0 Total</t>
  </si>
  <si>
    <t>(RBD-3), Page 4.1 Total</t>
  </si>
  <si>
    <t>(RBD-3), Page 5.0 Total</t>
  </si>
  <si>
    <t>(RBD-3), Page 6.0 Total</t>
  </si>
  <si>
    <t>(RBD-3), Page 7.0 Total</t>
  </si>
  <si>
    <t>(RBD-3), Page 7.1 Total</t>
  </si>
  <si>
    <t>(RBD-3), Page 8.0 Total</t>
  </si>
  <si>
    <t>(RBD-3), Page 8.1 Total</t>
  </si>
  <si>
    <t>(RBD-3), Page 3.1 Total</t>
  </si>
  <si>
    <t>(RBD-3), Page 9.0 Total</t>
  </si>
  <si>
    <t>Tab 3 - Revenue - Subtotal</t>
  </si>
  <si>
    <t>Tab 4 - O&amp;M - Subtotal</t>
  </si>
  <si>
    <t>Tab 5 - NPC - Subtotal</t>
  </si>
  <si>
    <t>Tab 6 - Depreciation/Amortization - Subtotal</t>
  </si>
  <si>
    <t>Tab 7 - Tax- Subtotal</t>
  </si>
  <si>
    <t>Tab 8 - Rate Base- Subtotal</t>
  </si>
  <si>
    <t>Tab 9 - Production Factor- Subtotal</t>
  </si>
  <si>
    <t>Line No.</t>
  </si>
  <si>
    <t>The table below presents the Company's restating and pro forma ratemaking adjustments and their impact on net operating income (NOI), rate base, and the Washington revenue requirement.</t>
  </si>
  <si>
    <t>A</t>
  </si>
  <si>
    <t>B</t>
  </si>
  <si>
    <t>C</t>
  </si>
  <si>
    <t>D</t>
  </si>
  <si>
    <t>E</t>
  </si>
  <si>
    <t>F</t>
  </si>
  <si>
    <t>Subtotal Normalizing Adjustments</t>
  </si>
  <si>
    <t>(RBD-3), Page 7.0/7.1 Total</t>
  </si>
  <si>
    <t>(RBD-3), Page 8.0/8.1 Total</t>
  </si>
  <si>
    <t>Removal of Colstrip #4 AFUDC</t>
  </si>
  <si>
    <t>Page 7.1 - Exhibit No.___(RBD-3)</t>
  </si>
  <si>
    <t>ICNU Results of Operations Summary</t>
  </si>
  <si>
    <t>PacifiCorp's</t>
  </si>
  <si>
    <t>Revenue</t>
  </si>
  <si>
    <t>Adj.</t>
  </si>
  <si>
    <t>Net Rate Base</t>
  </si>
  <si>
    <t>Requirement</t>
  </si>
  <si>
    <t>No.</t>
  </si>
  <si>
    <t>Impact</t>
  </si>
  <si>
    <t>Difference</t>
  </si>
  <si>
    <t>G</t>
  </si>
  <si>
    <t>Per Books</t>
  </si>
  <si>
    <t>Adjustments</t>
  </si>
  <si>
    <t>REVENUE</t>
  </si>
  <si>
    <t>Revenue Normalizing</t>
  </si>
  <si>
    <t>Wheeling Revenue</t>
  </si>
  <si>
    <t>Ancillary Revenue</t>
  </si>
  <si>
    <t>O &amp; M</t>
  </si>
  <si>
    <t>Miscellaneous General Expense</t>
  </si>
  <si>
    <t>Wage &amp; Employee Benefits Annualization</t>
  </si>
  <si>
    <t>Wage &amp; Employee Benefits - Pro Forma</t>
  </si>
  <si>
    <t>Pension &amp; Post-retirement Curtailment</t>
  </si>
  <si>
    <t>DSM Revenue &amp; Expense Removal</t>
  </si>
  <si>
    <t>Inverted rates Advertising</t>
  </si>
  <si>
    <t>Affiliate Management Fee</t>
  </si>
  <si>
    <t>Regulatory Commission Expense</t>
  </si>
  <si>
    <t>4.14</t>
  </si>
  <si>
    <t>POWER COSTS</t>
  </si>
  <si>
    <t>Net Power Costs Restating</t>
  </si>
  <si>
    <t>Net Power Costs Pro Forma</t>
  </si>
  <si>
    <t>DEPRECIATION/AMORTIZATION</t>
  </si>
  <si>
    <t>TAX ADJUSTMENTS</t>
  </si>
  <si>
    <t>WA Public Utility Tax Adj.</t>
  </si>
  <si>
    <t xml:space="preserve">WA Flow-Through </t>
  </si>
  <si>
    <t>WA Flow-Through (cont.)</t>
  </si>
  <si>
    <t>Remove Deferred State Tax Expense</t>
  </si>
  <si>
    <t>RATE BASE</t>
  </si>
  <si>
    <t>Environmental Remediation</t>
  </si>
  <si>
    <t>Miscellaneous Rate Base Adj.</t>
  </si>
  <si>
    <t>Miscellaneous Rate Base Adj. (cont.)</t>
  </si>
  <si>
    <t>Regulatory Asset Amortization</t>
  </si>
  <si>
    <t>Trojan Unrecovered Plant Adjustment</t>
  </si>
  <si>
    <t>Condit Hydro Removal</t>
  </si>
  <si>
    <t xml:space="preserve">Production Factor </t>
  </si>
  <si>
    <t>Total Adjusted</t>
  </si>
  <si>
    <t>Conversion Factor</t>
  </si>
  <si>
    <t>Percentage Increase in Revenues</t>
  </si>
  <si>
    <t>Capital Structure</t>
  </si>
  <si>
    <t>Company</t>
  </si>
  <si>
    <t>Long-term Debt / Cost</t>
  </si>
  <si>
    <t>Short term Debt / Cost</t>
  </si>
  <si>
    <t>Preferred Stock / Cost</t>
  </si>
  <si>
    <t>Common Stock / Cost</t>
  </si>
  <si>
    <t>Weighted Average Cost of Capital</t>
  </si>
  <si>
    <t xml:space="preserve">1.  This column is drawn from Revenue Requirements Model, Tab Exhibit NO __(RBD-2) pg 1, column E.  </t>
  </si>
  <si>
    <t>ICNU</t>
  </si>
  <si>
    <t>Description</t>
  </si>
  <si>
    <t>ICNU Total Adjustments</t>
  </si>
  <si>
    <t>Operations and Maintenance</t>
  </si>
  <si>
    <t>Production Factor</t>
  </si>
  <si>
    <t>Summary of ICNU Total Adjustments</t>
  </si>
  <si>
    <t>TOTAL</t>
  </si>
  <si>
    <t>WA</t>
  </si>
  <si>
    <t>ACCOUNT</t>
  </si>
  <si>
    <t>Type</t>
  </si>
  <si>
    <t>COMPANY</t>
  </si>
  <si>
    <t>FACTOR</t>
  </si>
  <si>
    <t>FACTOR %</t>
  </si>
  <si>
    <t>ALLOCATED</t>
  </si>
  <si>
    <t>REF#</t>
  </si>
  <si>
    <t>Adjustment to Income:</t>
  </si>
  <si>
    <t>Residential</t>
  </si>
  <si>
    <t>RES</t>
  </si>
  <si>
    <t>Situs</t>
  </si>
  <si>
    <t>Commercial</t>
  </si>
  <si>
    <t>Public Street &amp; Highway</t>
  </si>
  <si>
    <t>ICNU Net Irrigation Revenue</t>
  </si>
  <si>
    <t>ICNU Net Commercial Revenue</t>
  </si>
  <si>
    <t>Total Type 1</t>
  </si>
  <si>
    <t>Adjustment to Tax:</t>
  </si>
  <si>
    <t>Schedule M Addition-WA Hydro Def NPC</t>
  </si>
  <si>
    <t>SCHMAT</t>
  </si>
  <si>
    <t>Schedule M Addition-BPA NW Pwr WA</t>
  </si>
  <si>
    <t>OTHER</t>
  </si>
  <si>
    <t>Schedule M - WA Low Energy Program</t>
  </si>
  <si>
    <t>SG</t>
  </si>
  <si>
    <t>SE</t>
  </si>
  <si>
    <t>SO</t>
  </si>
  <si>
    <t>SNPD</t>
  </si>
  <si>
    <t>CN</t>
  </si>
  <si>
    <t>OR</t>
  </si>
  <si>
    <t>UT</t>
  </si>
  <si>
    <t>SCHMAP</t>
  </si>
  <si>
    <t>SCHMDP</t>
  </si>
  <si>
    <t>SCHMDT</t>
  </si>
  <si>
    <t>Washington</t>
  </si>
  <si>
    <t>Adjustment to Revenues:</t>
  </si>
  <si>
    <t>Other Electric Revenues</t>
  </si>
  <si>
    <t>WRG</t>
  </si>
  <si>
    <t>PRO</t>
  </si>
  <si>
    <t>WRE</t>
  </si>
  <si>
    <t>ICNU OATT Rate Increase Adjustment</t>
  </si>
  <si>
    <t>Total Wheeling Revenue Adjustment</t>
  </si>
  <si>
    <t>Wheeling Imbalance Expense</t>
  </si>
  <si>
    <t>Adjustment Detail:</t>
  </si>
  <si>
    <t>Actual Wheeling Revenues 12 ME Dec 2010</t>
  </si>
  <si>
    <t xml:space="preserve">Total Adjustments </t>
  </si>
  <si>
    <t>Normalized Wheeling Revenues</t>
  </si>
  <si>
    <t xml:space="preserve"> </t>
  </si>
  <si>
    <t>WCA</t>
  </si>
  <si>
    <t>Adjustment to Revenue:</t>
  </si>
  <si>
    <t>Ancillary Contract Expiration</t>
  </si>
  <si>
    <t>CAGW</t>
  </si>
  <si>
    <t>As Filed:</t>
  </si>
  <si>
    <t>Difference:</t>
  </si>
  <si>
    <t>Adjustment to Expense:</t>
  </si>
  <si>
    <t>Non-utility Flights</t>
  </si>
  <si>
    <t>Customer Accounts</t>
  </si>
  <si>
    <t>IDU</t>
  </si>
  <si>
    <t>Office Supplies &amp; Exp</t>
  </si>
  <si>
    <t>Outside Services</t>
  </si>
  <si>
    <t>ICNU Outside Services Adjustment</t>
  </si>
  <si>
    <t>Centennial Expenses</t>
  </si>
  <si>
    <t>Total Miscellaneous General Expense Removal</t>
  </si>
  <si>
    <t>Steam Operations</t>
  </si>
  <si>
    <t>CAGE</t>
  </si>
  <si>
    <t>JBG</t>
  </si>
  <si>
    <t>Fuel Related - Non-NPC</t>
  </si>
  <si>
    <t>CAEE</t>
  </si>
  <si>
    <t>JBE</t>
  </si>
  <si>
    <t>Steam Maintenance</t>
  </si>
  <si>
    <t>Hydro Operations</t>
  </si>
  <si>
    <t>Hydro Maintenance</t>
  </si>
  <si>
    <t>Other Operations</t>
  </si>
  <si>
    <t>Other Maintenance</t>
  </si>
  <si>
    <t>Other Expenses</t>
  </si>
  <si>
    <t>Transmission Operations</t>
  </si>
  <si>
    <t>Transmission Maintenance</t>
  </si>
  <si>
    <t>Distribution Operations</t>
  </si>
  <si>
    <t>Distribution Maintenance</t>
  </si>
  <si>
    <t>Customer Services</t>
  </si>
  <si>
    <t>NOTE:  Do not include - out of test period.</t>
  </si>
  <si>
    <t>TYPE</t>
  </si>
  <si>
    <t>Remove Captive Liability Insurance Expense</t>
  </si>
  <si>
    <t>4.11.1</t>
  </si>
  <si>
    <t>Include Liability Insurance Expense in Pro Forma Period:</t>
  </si>
  <si>
    <t>Liability Insurance:</t>
  </si>
  <si>
    <t>January 2011 to March 21, 2011</t>
  </si>
  <si>
    <t>Captive Liability Insurance Premiums</t>
  </si>
  <si>
    <t xml:space="preserve">March 22, 2011 to December 2011 </t>
  </si>
  <si>
    <t>Self-insured Liability Expense</t>
  </si>
  <si>
    <t>Total Liability Insurance Expense</t>
  </si>
  <si>
    <t>Remove Property Insurance Expense from Base Period:</t>
  </si>
  <si>
    <t>Property Insurance</t>
  </si>
  <si>
    <t>Captive Insurance Premiums</t>
  </si>
  <si>
    <t>4.11.2</t>
  </si>
  <si>
    <t>Self-Insured Property Damage Expense</t>
  </si>
  <si>
    <t>Total Property Insurance Expense</t>
  </si>
  <si>
    <t>Include Property Insurance Expense in Pro Forma Period:</t>
  </si>
  <si>
    <t>Property Insurance:</t>
  </si>
  <si>
    <t xml:space="preserve">January 2011 to March 21, 2011 </t>
  </si>
  <si>
    <t>Captive Property Insurance Premiums</t>
  </si>
  <si>
    <t>Self-insured Property Damage Expense</t>
  </si>
  <si>
    <t>March 22, 2011 to December 2011</t>
  </si>
  <si>
    <t>Property Insurance - Transmission</t>
  </si>
  <si>
    <t>Property Insurance - Washington Distribution</t>
  </si>
  <si>
    <t>Property Insurance - Non-T&amp;D</t>
  </si>
  <si>
    <t>Transfer Expense due to change in deductible</t>
  </si>
  <si>
    <t>Transfer to System Transmission Maintenance</t>
  </si>
  <si>
    <t>4.11.3</t>
  </si>
  <si>
    <t>Transfer to Washington Distribution Maintenance</t>
  </si>
  <si>
    <t>Transfer to System Non-T&amp;D Maintenance</t>
  </si>
  <si>
    <t>Schedule M Adjustment</t>
  </si>
  <si>
    <t>4.11.4</t>
  </si>
  <si>
    <t xml:space="preserve">Liability Insurance Expense </t>
  </si>
  <si>
    <t>Third Party Liability Insurance Expense - Captive portion</t>
  </si>
  <si>
    <t>A portion of third party liability will be covered by captive insurance through March 21, 2011,</t>
  </si>
  <si>
    <t xml:space="preserve">replaced by self-insurance thereafter.  </t>
  </si>
  <si>
    <t xml:space="preserve">1.  Captive Liability Insurance </t>
  </si>
  <si>
    <t>Actual captive liability premium CY 2010</t>
  </si>
  <si>
    <t>Ref 4.11</t>
  </si>
  <si>
    <t>Portion CY 2011 covered by captive insurance</t>
  </si>
  <si>
    <t>Captive liability insurance expense CY 2011</t>
  </si>
  <si>
    <t>2.  Self Insured Liability Insurance, Based on a 3 Year Average</t>
  </si>
  <si>
    <t>Year</t>
  </si>
  <si>
    <t>Amount</t>
  </si>
  <si>
    <t>3 year total</t>
  </si>
  <si>
    <t>Annual average claim accruals</t>
  </si>
  <si>
    <t>Portion of year self-insured</t>
  </si>
  <si>
    <t>Self Insured expense in CY 2011</t>
  </si>
  <si>
    <t>Total CY 2011</t>
  </si>
  <si>
    <t>Property damage not covered by Commercial Insurance</t>
  </si>
  <si>
    <t>Commercial insurance covers a portion of non-T&amp;D property damage above a deductible.  Up through March 21, 2011, captive insurance</t>
  </si>
  <si>
    <t xml:space="preserve">covered a portion and the rest is self-insured.  After March 21, 2011, all property damage not covered by commercial insurance will be </t>
  </si>
  <si>
    <t>self-insured.</t>
  </si>
  <si>
    <t>Actual captive property insurance premium CY 2010</t>
  </si>
  <si>
    <t>Actual self-insured property provision CY 2010</t>
  </si>
  <si>
    <t>Total Company</t>
  </si>
  <si>
    <t>Through March 21, 2011 (21.92%)</t>
  </si>
  <si>
    <t>Captive premium</t>
  </si>
  <si>
    <t>Self-insurance expense</t>
  </si>
  <si>
    <t>Captive</t>
  </si>
  <si>
    <t>Rest</t>
  </si>
  <si>
    <t xml:space="preserve">Following the termination of the captive insurance coverage on March 21, 2011, the insurance accrual will be based on the average of damages </t>
  </si>
  <si>
    <t>occurring in the last 3.75 years, after applying a deductible.</t>
  </si>
  <si>
    <t>Actual Losses (after deductible)</t>
  </si>
  <si>
    <t>WCA System Transmission Losses</t>
  </si>
  <si>
    <t>Washington Distribution Losses</t>
  </si>
  <si>
    <t>WCA System Non-T&amp;D Losses</t>
  </si>
  <si>
    <t>Deductible</t>
  </si>
  <si>
    <t>Apr 2007 - Mar 2008</t>
  </si>
  <si>
    <t>Apr 2008 - Mar 2009</t>
  </si>
  <si>
    <t>Apr 2009 - Mar 2010</t>
  </si>
  <si>
    <t>Apr 2010 - Dec 2010</t>
  </si>
  <si>
    <t>Annual Average</t>
  </si>
  <si>
    <t>ICNU ACCRUAL</t>
  </si>
  <si>
    <t>Transfer to O&amp;M</t>
  </si>
  <si>
    <t>Annual Losses Above Deductible</t>
  </si>
  <si>
    <t>Current Plan Structure:</t>
  </si>
  <si>
    <t>April 2010 - Dec 2010</t>
  </si>
  <si>
    <t>ICNU ADJUSTMENT</t>
  </si>
  <si>
    <t>(a)</t>
  </si>
  <si>
    <t xml:space="preserve">Per Event Deductible </t>
  </si>
  <si>
    <t>New Plan Structure:</t>
  </si>
  <si>
    <t>(b)</t>
  </si>
  <si>
    <t>(a) - (b)</t>
  </si>
  <si>
    <t>ICNU ANNUAL ACCRUAL</t>
  </si>
  <si>
    <t>ICNU TOTAL SELF INSURANCE COST</t>
  </si>
  <si>
    <t>Per Event Deductible (Covered by O&amp;M)</t>
  </si>
  <si>
    <t>Tax Support</t>
  </si>
  <si>
    <t>1.  Permanent Schedule M Addition for Tax</t>
  </si>
  <si>
    <t>Remove Permanent Schedule M Addition in base period CY 2010</t>
  </si>
  <si>
    <t>Include Permanent Schedule M in test period 1/1/2011-3/21/2011 related to Third party Liability</t>
  </si>
  <si>
    <t>Include Permanent Schedule M in test period 1/1/2011-3/21/2011 related to Property Damage</t>
  </si>
  <si>
    <t>Net Permanent Schedule M Addition Adjustment for Captive liability insurance premium adjustment</t>
  </si>
  <si>
    <t>Ref. 4.11</t>
  </si>
  <si>
    <t>2.  Permanent Schedule M Deduction for Tax</t>
  </si>
  <si>
    <t>FERC A/C</t>
  </si>
  <si>
    <t>SCH M #</t>
  </si>
  <si>
    <t>MEHC Insurance Services - Receivable - Sch M Deduction</t>
  </si>
  <si>
    <t xml:space="preserve">    3 Yr Average</t>
  </si>
  <si>
    <t>MEHC Insurance Services - Receivable</t>
  </si>
  <si>
    <t>MEHC Insurance Services - Receivable Adjustment at 3/21/2011</t>
  </si>
  <si>
    <t>3.  Temporary Schedule M Deduction for Tax</t>
  </si>
  <si>
    <t>FERC ACCT</t>
  </si>
  <si>
    <t>SAP ACCT</t>
  </si>
  <si>
    <t>DESCRIPTION</t>
  </si>
  <si>
    <t>ALLOCATION</t>
  </si>
  <si>
    <t>TOTAL CO. AMT</t>
  </si>
  <si>
    <t>4099300</t>
  </si>
  <si>
    <t>Property Insurance(Injuries &amp; Damages)</t>
  </si>
  <si>
    <t>WASHINGTON</t>
  </si>
  <si>
    <t>Normalizing Adjustment:</t>
  </si>
  <si>
    <t>Total Net Power Cost Adjustment - Pro forma</t>
  </si>
  <si>
    <t>ICNU Adjustment Comparison</t>
  </si>
  <si>
    <r>
      <t>Impact per Filing</t>
    </r>
    <r>
      <rPr>
        <vertAlign val="superscript"/>
        <sz val="12"/>
        <rFont val="Times New Roman"/>
        <family val="1"/>
      </rPr>
      <t>1</t>
    </r>
  </si>
  <si>
    <t>ICNU 3.1 - Revenue Normalizing Adjustment</t>
  </si>
  <si>
    <r>
      <t>Industrial</t>
    </r>
    <r>
      <rPr>
        <vertAlign val="superscript"/>
        <sz val="10"/>
        <color indexed="8"/>
        <rFont val="Times New Roman"/>
        <family val="1"/>
      </rPr>
      <t>1</t>
    </r>
  </si>
  <si>
    <r>
      <t xml:space="preserve">1 </t>
    </r>
    <r>
      <rPr>
        <sz val="10"/>
        <rFont val="Times New Roman"/>
        <family val="1"/>
      </rPr>
      <t>Includes Irrigation</t>
    </r>
  </si>
  <si>
    <t>ICNU 3.6 - Wheeling Revenue Adjustment</t>
  </si>
  <si>
    <t>WA Impact with revenue sensitive:</t>
  </si>
  <si>
    <t>ICNU 3.7 - Ancillary Services Revenue</t>
  </si>
  <si>
    <t>ICNU 4.1 - Miscellaneous General Expense</t>
  </si>
  <si>
    <t>ICNU 4.3 - General Wage Increase - Pro Forma Adjustment</t>
  </si>
  <si>
    <t xml:space="preserve">ICNU 4.11 - Insurance Expense </t>
  </si>
  <si>
    <t xml:space="preserve">ICNU 4.11.1 - Insurance Expense </t>
  </si>
  <si>
    <t xml:space="preserve">ICNU 4.11.2 - Insurance Expense </t>
  </si>
  <si>
    <t>ICNU 4.11.3 - Insurance Expense</t>
  </si>
  <si>
    <t xml:space="preserve">ICNU 4.11.4 - Insurance Expense </t>
  </si>
  <si>
    <t>ICNU 5.1.1 - Net Power Costs - Pro forma</t>
  </si>
  <si>
    <t>ICNU 9.1 - Production Factor Adjustment</t>
  </si>
  <si>
    <t>Do Not Allow</t>
  </si>
  <si>
    <t>Revenue Normalization (Restating)</t>
  </si>
  <si>
    <t>Wheeling Revenue Adjustment (Pro Forma)</t>
  </si>
  <si>
    <t>Ancillary Revenue - WA (Pro Forma)</t>
  </si>
  <si>
    <t>Miscellaneous General Expense Adjustment (Restating)</t>
  </si>
  <si>
    <t>General Wage Increase  (Pro Forma)</t>
  </si>
  <si>
    <t>Insurance Expense (Pro Forma)</t>
  </si>
  <si>
    <t>Net Power Costs  (Pro Forma)</t>
  </si>
  <si>
    <t>Production Factor Adjustment (Pro Forma)</t>
  </si>
  <si>
    <t>(Cont) Production Factor Adjustment (Pro Forma)</t>
  </si>
  <si>
    <t>ICNU Restating Adjustment Total</t>
  </si>
  <si>
    <t>ICNU ProForma Adjustment Total</t>
  </si>
  <si>
    <t>Summary of ICNU Restating and Pro Forma Adjustments</t>
  </si>
</sst>
</file>

<file path=xl/styles.xml><?xml version="1.0" encoding="utf-8"?>
<styleSheet xmlns="http://schemas.openxmlformats.org/spreadsheetml/2006/main">
  <numFmts count="1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
    <numFmt numFmtId="167" formatCode="0.0000%"/>
    <numFmt numFmtId="168" formatCode="0.0%"/>
    <numFmt numFmtId="169" formatCode="_(&quot;$&quot;* #,##0_);_(&quot;$&quot;* \(#,##0\);_(&quot;$&quot;* &quot;-&quot;??_);_(@_)"/>
    <numFmt numFmtId="170" formatCode="0.000000"/>
    <numFmt numFmtId="171" formatCode="#,##0.00000_);\(#,##0.00000\)"/>
    <numFmt numFmtId="172" formatCode="0_);\(0\)"/>
    <numFmt numFmtId="173" formatCode="&quot;$&quot;#,###"/>
    <numFmt numFmtId="174" formatCode="&quot;$&quot;#,##0"/>
  </numFmts>
  <fonts count="45">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i/>
      <sz val="10"/>
      <name val="Arial"/>
      <family val="2"/>
    </font>
    <font>
      <b/>
      <i/>
      <sz val="10"/>
      <name val="Arial"/>
      <family val="2"/>
    </font>
    <font>
      <sz val="10"/>
      <color rgb="FFFF0000"/>
      <name val="Arial"/>
      <family val="2"/>
    </font>
    <font>
      <b/>
      <sz val="10"/>
      <color rgb="FFFF0000"/>
      <name val="Arial"/>
      <family val="2"/>
    </font>
    <font>
      <i/>
      <sz val="10"/>
      <color rgb="FFFF0000"/>
      <name val="Arial"/>
      <family val="2"/>
    </font>
    <font>
      <b/>
      <sz val="8"/>
      <name val="Arial"/>
      <family val="2"/>
    </font>
    <font>
      <b/>
      <sz val="12"/>
      <name val="Arial"/>
      <family val="2"/>
    </font>
    <font>
      <b/>
      <sz val="15"/>
      <name val="Arial"/>
      <family val="2"/>
    </font>
    <font>
      <b/>
      <sz val="9"/>
      <name val="Arial"/>
      <family val="2"/>
    </font>
    <font>
      <sz val="9"/>
      <name val="Arial"/>
      <family val="2"/>
    </font>
    <font>
      <sz val="8"/>
      <color theme="3" tint="0.39997558519241921"/>
      <name val="Arial"/>
      <family val="2"/>
    </font>
    <font>
      <b/>
      <sz val="8"/>
      <color rgb="FFFF0000"/>
      <name val="Arial"/>
      <family val="2"/>
    </font>
    <font>
      <b/>
      <sz val="8"/>
      <color theme="3" tint="0.39997558519241921"/>
      <name val="Arial"/>
      <family val="2"/>
    </font>
    <font>
      <sz val="10"/>
      <name val="Arial"/>
      <family val="2"/>
    </font>
    <font>
      <u/>
      <sz val="10"/>
      <name val="Arial"/>
      <family val="2"/>
    </font>
    <font>
      <sz val="12"/>
      <name val="Times New Roman"/>
      <family val="1"/>
    </font>
    <font>
      <sz val="10"/>
      <color indexed="8"/>
      <name val="Arial"/>
      <family val="2"/>
    </font>
    <font>
      <sz val="10"/>
      <name val="Times New Roman"/>
      <family val="1"/>
    </font>
    <font>
      <sz val="10"/>
      <name val="MS Sans Serif"/>
      <family val="2"/>
    </font>
    <font>
      <b/>
      <sz val="11"/>
      <color theme="1"/>
      <name val="Calibri"/>
      <family val="2"/>
      <scheme val="minor"/>
    </font>
    <font>
      <b/>
      <sz val="10"/>
      <color indexed="8"/>
      <name val="Arial"/>
      <family val="2"/>
    </font>
    <font>
      <b/>
      <sz val="10"/>
      <name val="Times New Roman"/>
      <family val="1"/>
    </font>
    <font>
      <b/>
      <u/>
      <sz val="12"/>
      <name val="Times New Roman"/>
      <family val="1"/>
    </font>
    <font>
      <u/>
      <sz val="12"/>
      <name val="Times New Roman"/>
      <family val="1"/>
    </font>
    <font>
      <vertAlign val="superscript"/>
      <sz val="12"/>
      <name val="Times New Roman"/>
      <family val="1"/>
    </font>
    <font>
      <b/>
      <sz val="12"/>
      <name val="Times New Roman"/>
      <family val="1"/>
    </font>
    <font>
      <i/>
      <sz val="12"/>
      <name val="Times New Roman"/>
      <family val="1"/>
    </font>
    <font>
      <sz val="12"/>
      <color indexed="8"/>
      <name val="Times New Roman"/>
      <family val="1"/>
    </font>
    <font>
      <b/>
      <sz val="12"/>
      <color rgb="FFFF0000"/>
      <name val="Times New Roman"/>
      <family val="1"/>
    </font>
    <font>
      <i/>
      <sz val="12"/>
      <color rgb="FFFF0000"/>
      <name val="Times New Roman"/>
      <family val="1"/>
    </font>
    <font>
      <u/>
      <sz val="10"/>
      <name val="Times New Roman"/>
      <family val="1"/>
    </font>
    <font>
      <sz val="10"/>
      <color indexed="8"/>
      <name val="Times New Roman"/>
      <family val="1"/>
    </font>
    <font>
      <vertAlign val="superscript"/>
      <sz val="10"/>
      <color indexed="8"/>
      <name val="Times New Roman"/>
      <family val="1"/>
    </font>
    <font>
      <vertAlign val="superscript"/>
      <sz val="10"/>
      <name val="Times New Roman"/>
      <family val="1"/>
    </font>
    <font>
      <sz val="12"/>
      <color indexed="10"/>
      <name val="Times New Roman"/>
      <family val="1"/>
    </font>
    <font>
      <sz val="12"/>
      <color indexed="12"/>
      <name val="Times New Roman"/>
      <family val="1"/>
    </font>
    <font>
      <sz val="12"/>
      <color theme="4" tint="-0.249977111117893"/>
      <name val="Times New Roman"/>
      <family val="1"/>
    </font>
    <font>
      <b/>
      <sz val="12"/>
      <color theme="4" tint="-0.249977111117893"/>
      <name val="Times New Roman"/>
      <family val="1"/>
    </font>
    <font>
      <u val="singleAccounting"/>
      <sz val="12"/>
      <name val="Times New Roman"/>
      <family val="1"/>
    </font>
  </fonts>
  <fills count="3">
    <fill>
      <patternFill patternType="none"/>
    </fill>
    <fill>
      <patternFill patternType="gray125"/>
    </fill>
    <fill>
      <patternFill patternType="solid">
        <fgColor rgb="FFFFFF00"/>
        <bgColor indexed="64"/>
      </patternFill>
    </fill>
  </fills>
  <borders count="39">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48"/>
      </left>
      <right style="thin">
        <color indexed="48"/>
      </right>
      <top style="thin">
        <color indexed="48"/>
      </top>
      <bottom style="thin">
        <color indexed="48"/>
      </bottom>
      <diagonal/>
    </border>
    <border>
      <left style="medium">
        <color indexed="64"/>
      </left>
      <right style="medium">
        <color indexed="64"/>
      </right>
      <top style="medium">
        <color indexed="64"/>
      </top>
      <bottom style="thin">
        <color indexed="64"/>
      </bottom>
      <diagonal/>
    </border>
  </borders>
  <cellStyleXfs count="32">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4" fontId="19" fillId="0" borderId="0" applyFont="0" applyFill="0" applyBorder="0" applyAlignment="0" applyProtection="0"/>
    <xf numFmtId="170" fontId="3" fillId="0" borderId="0">
      <alignment horizontal="left" wrapText="1"/>
    </xf>
    <xf numFmtId="43" fontId="21" fillId="0" borderId="0" applyFon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21" fillId="0" borderId="0"/>
    <xf numFmtId="43" fontId="3" fillId="0" borderId="0" applyFont="0" applyFill="0" applyBorder="0" applyAlignment="0" applyProtection="0"/>
    <xf numFmtId="0" fontId="21" fillId="0" borderId="0"/>
    <xf numFmtId="0" fontId="21" fillId="0" borderId="0"/>
    <xf numFmtId="0" fontId="21" fillId="0" borderId="0"/>
    <xf numFmtId="0" fontId="3" fillId="0" borderId="0"/>
    <xf numFmtId="0" fontId="24" fillId="0" borderId="0"/>
    <xf numFmtId="9" fontId="3" fillId="0" borderId="0" applyFont="0" applyFill="0" applyBorder="0" applyAlignment="0" applyProtection="0"/>
    <xf numFmtId="0" fontId="1" fillId="0" borderId="0"/>
    <xf numFmtId="0" fontId="1" fillId="0" borderId="0"/>
    <xf numFmtId="44" fontId="3" fillId="0" borderId="0" applyFont="0" applyFill="0" applyBorder="0" applyAlignment="0" applyProtection="0"/>
    <xf numFmtId="0" fontId="24"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 fontId="22" fillId="0" borderId="37" applyNumberFormat="0" applyProtection="0">
      <alignment horizontal="left" vertical="center" indent="1"/>
    </xf>
    <xf numFmtId="4" fontId="22" fillId="0" borderId="37" applyNumberFormat="0" applyProtection="0">
      <alignment horizontal="right" vertical="center"/>
    </xf>
    <xf numFmtId="41" fontId="3" fillId="0" borderId="0"/>
  </cellStyleXfs>
  <cellXfs count="876">
    <xf numFmtId="0" fontId="0" fillId="0" borderId="0" xfId="0"/>
    <xf numFmtId="164" fontId="5" fillId="0" borderId="0" xfId="1" applyNumberFormat="1" applyFont="1" applyAlignment="1">
      <alignment horizontal="left"/>
    </xf>
    <xf numFmtId="164" fontId="3" fillId="0" borderId="0" xfId="1" applyNumberFormat="1" applyFont="1" applyFill="1" applyBorder="1"/>
    <xf numFmtId="164" fontId="3" fillId="0" borderId="0" xfId="1" applyNumberFormat="1" applyFont="1"/>
    <xf numFmtId="164" fontId="5" fillId="0" borderId="0" xfId="1" applyNumberFormat="1" applyFont="1" applyFill="1" applyBorder="1"/>
    <xf numFmtId="164" fontId="5" fillId="0" borderId="0" xfId="1" applyNumberFormat="1" applyFont="1"/>
    <xf numFmtId="164" fontId="5" fillId="0" borderId="21" xfId="1" applyNumberFormat="1" applyFont="1" applyFill="1" applyBorder="1" applyAlignment="1">
      <alignment horizontal="centerContinuous"/>
    </xf>
    <xf numFmtId="164" fontId="5" fillId="0" borderId="22" xfId="1" applyNumberFormat="1" applyFont="1" applyFill="1" applyBorder="1" applyAlignment="1">
      <alignment horizontal="centerContinuous"/>
    </xf>
    <xf numFmtId="164" fontId="5" fillId="0" borderId="32" xfId="1" applyNumberFormat="1" applyFont="1" applyFill="1" applyBorder="1" applyAlignment="1">
      <alignment horizontal="centerContinuous"/>
    </xf>
    <xf numFmtId="164" fontId="5" fillId="0" borderId="23" xfId="1" applyNumberFormat="1" applyFont="1" applyFill="1" applyBorder="1" applyAlignment="1">
      <alignment horizontal="centerContinuous"/>
    </xf>
    <xf numFmtId="164" fontId="5" fillId="0" borderId="0" xfId="1" applyNumberFormat="1" applyFont="1" applyAlignment="1">
      <alignment vertical="center"/>
    </xf>
    <xf numFmtId="164" fontId="3" fillId="0" borderId="1" xfId="1" applyNumberFormat="1" applyFont="1" applyBorder="1" applyAlignment="1">
      <alignment vertical="center"/>
    </xf>
    <xf numFmtId="164" fontId="3" fillId="0" borderId="2" xfId="1" applyNumberFormat="1" applyFont="1" applyBorder="1" applyAlignment="1">
      <alignment vertical="center"/>
    </xf>
    <xf numFmtId="164" fontId="3" fillId="0" borderId="0" xfId="1" applyNumberFormat="1" applyFont="1" applyBorder="1" applyAlignment="1">
      <alignment vertical="center"/>
    </xf>
    <xf numFmtId="164" fontId="3" fillId="0" borderId="5" xfId="1" applyNumberFormat="1" applyFont="1" applyBorder="1" applyAlignment="1">
      <alignment vertical="center"/>
    </xf>
    <xf numFmtId="164" fontId="5" fillId="0" borderId="0" xfId="1" applyNumberFormat="1" applyFont="1" applyBorder="1" applyAlignment="1">
      <alignment vertical="center"/>
    </xf>
    <xf numFmtId="164" fontId="3" fillId="0" borderId="0" xfId="1" applyNumberFormat="1" applyFont="1" applyFill="1" applyBorder="1" applyProtection="1">
      <protection locked="0"/>
    </xf>
    <xf numFmtId="164" fontId="3" fillId="0" borderId="0" xfId="1" applyNumberFormat="1" applyFont="1" applyFill="1" applyBorder="1" applyAlignment="1">
      <alignment vertical="center"/>
    </xf>
    <xf numFmtId="164" fontId="5" fillId="0" borderId="0" xfId="1" applyNumberFormat="1" applyFont="1" applyFill="1" applyBorder="1" applyAlignment="1">
      <alignment vertical="center"/>
    </xf>
    <xf numFmtId="164" fontId="3" fillId="0" borderId="0" xfId="1" applyNumberFormat="1" applyFont="1" applyFill="1"/>
    <xf numFmtId="164" fontId="5" fillId="0" borderId="0" xfId="1" applyNumberFormat="1" applyFont="1" applyFill="1" applyBorder="1" applyAlignment="1" applyProtection="1">
      <alignment horizontal="center" vertical="center" wrapText="1"/>
      <protection locked="0"/>
    </xf>
    <xf numFmtId="165" fontId="3" fillId="0" borderId="0" xfId="2" applyNumberFormat="1" applyFont="1" applyFill="1" applyBorder="1" applyAlignment="1">
      <alignment vertical="center"/>
    </xf>
    <xf numFmtId="165" fontId="3" fillId="0" borderId="10" xfId="2" applyNumberFormat="1" applyFont="1" applyFill="1" applyBorder="1" applyAlignment="1">
      <alignment vertical="center"/>
    </xf>
    <xf numFmtId="165" fontId="3" fillId="0" borderId="11" xfId="2" applyNumberFormat="1" applyFont="1" applyFill="1" applyBorder="1" applyAlignment="1">
      <alignment vertical="center"/>
    </xf>
    <xf numFmtId="165" fontId="3" fillId="0" borderId="24" xfId="2" applyNumberFormat="1" applyFont="1" applyFill="1" applyBorder="1" applyAlignment="1">
      <alignment vertical="center"/>
    </xf>
    <xf numFmtId="0" fontId="3" fillId="0" borderId="0" xfId="0" applyFont="1"/>
    <xf numFmtId="0" fontId="3" fillId="0" borderId="0" xfId="0" applyFont="1" applyBorder="1"/>
    <xf numFmtId="165" fontId="3" fillId="0" borderId="0" xfId="2" applyNumberFormat="1" applyFont="1" applyBorder="1" applyAlignment="1">
      <alignment vertical="center"/>
    </xf>
    <xf numFmtId="164" fontId="5" fillId="0" borderId="0" xfId="1" quotePrefix="1" applyNumberFormat="1" applyFont="1" applyBorder="1" applyAlignment="1">
      <alignment horizontal="left" vertical="center"/>
    </xf>
    <xf numFmtId="10" fontId="3" fillId="0" borderId="0" xfId="2" applyNumberFormat="1" applyFont="1" applyBorder="1" applyAlignment="1">
      <alignment vertical="center"/>
    </xf>
    <xf numFmtId="10" fontId="3" fillId="0" borderId="0" xfId="2" applyNumberFormat="1" applyFont="1" applyFill="1" applyBorder="1" applyAlignment="1">
      <alignment vertical="center"/>
    </xf>
    <xf numFmtId="10" fontId="3" fillId="0" borderId="10" xfId="2" applyNumberFormat="1" applyFont="1" applyFill="1" applyBorder="1" applyAlignment="1">
      <alignment vertical="center"/>
    </xf>
    <xf numFmtId="10" fontId="3" fillId="0" borderId="11" xfId="2" applyNumberFormat="1" applyFont="1" applyFill="1" applyBorder="1" applyAlignment="1">
      <alignment vertical="center"/>
    </xf>
    <xf numFmtId="10" fontId="3" fillId="0" borderId="24" xfId="2" applyNumberFormat="1" applyFont="1" applyFill="1" applyBorder="1" applyAlignment="1">
      <alignment vertical="center"/>
    </xf>
    <xf numFmtId="0" fontId="6" fillId="0" borderId="0" xfId="0" applyFont="1" applyAlignment="1">
      <alignment horizontal="centerContinuous"/>
    </xf>
    <xf numFmtId="0" fontId="5" fillId="0" borderId="0" xfId="0" applyFont="1"/>
    <xf numFmtId="0" fontId="5" fillId="0" borderId="2" xfId="0" applyFont="1" applyBorder="1"/>
    <xf numFmtId="164" fontId="3" fillId="0" borderId="33" xfId="1" quotePrefix="1" applyNumberFormat="1" applyFont="1" applyFill="1" applyBorder="1" applyAlignment="1" applyProtection="1">
      <alignment horizontal="center"/>
      <protection locked="0"/>
    </xf>
    <xf numFmtId="164" fontId="5" fillId="0" borderId="10" xfId="1" applyNumberFormat="1" applyFont="1" applyFill="1" applyBorder="1" applyAlignment="1" applyProtection="1">
      <alignment horizontal="center" vertical="center" wrapText="1"/>
      <protection locked="0"/>
    </xf>
    <xf numFmtId="164" fontId="3" fillId="0" borderId="10" xfId="1" applyNumberFormat="1" applyFont="1" applyFill="1" applyBorder="1" applyProtection="1">
      <protection locked="0"/>
    </xf>
    <xf numFmtId="164" fontId="3" fillId="0" borderId="10" xfId="1" quotePrefix="1" applyNumberFormat="1" applyFont="1" applyFill="1" applyBorder="1" applyAlignment="1" applyProtection="1">
      <alignment horizontal="left"/>
      <protection locked="0"/>
    </xf>
    <xf numFmtId="164" fontId="3" fillId="0" borderId="10" xfId="1" applyNumberFormat="1" applyFont="1" applyFill="1" applyBorder="1" applyAlignment="1" applyProtection="1">
      <alignment horizontal="left"/>
      <protection locked="0"/>
    </xf>
    <xf numFmtId="164" fontId="3" fillId="0" borderId="12" xfId="1" applyNumberFormat="1" applyFont="1" applyFill="1" applyBorder="1" applyProtection="1">
      <protection locked="0"/>
    </xf>
    <xf numFmtId="164" fontId="3" fillId="0" borderId="14" xfId="1" applyNumberFormat="1" applyFont="1" applyFill="1" applyBorder="1" applyAlignment="1" applyProtection="1">
      <alignment horizontal="left"/>
      <protection locked="0"/>
    </xf>
    <xf numFmtId="164" fontId="3" fillId="0" borderId="16" xfId="1" applyNumberFormat="1" applyFont="1" applyFill="1" applyBorder="1" applyAlignment="1"/>
    <xf numFmtId="164" fontId="3" fillId="0" borderId="12" xfId="1" quotePrefix="1" applyNumberFormat="1" applyFont="1" applyFill="1" applyBorder="1" applyAlignment="1" applyProtection="1">
      <alignment horizontal="left"/>
      <protection locked="0"/>
    </xf>
    <xf numFmtId="164" fontId="3" fillId="0" borderId="16" xfId="1" applyNumberFormat="1" applyFont="1" applyFill="1" applyBorder="1" applyAlignment="1">
      <alignment vertical="center"/>
    </xf>
    <xf numFmtId="164" fontId="3" fillId="0" borderId="10" xfId="0" applyNumberFormat="1" applyFont="1" applyFill="1" applyBorder="1"/>
    <xf numFmtId="164" fontId="3" fillId="0" borderId="14" xfId="1" applyNumberFormat="1" applyFont="1" applyFill="1" applyBorder="1" applyProtection="1">
      <protection locked="0"/>
    </xf>
    <xf numFmtId="164" fontId="3" fillId="0" borderId="10" xfId="1" applyNumberFormat="1" applyFont="1" applyFill="1" applyBorder="1"/>
    <xf numFmtId="164" fontId="3" fillId="0" borderId="18" xfId="1" applyNumberFormat="1" applyFont="1" applyFill="1" applyBorder="1"/>
    <xf numFmtId="164" fontId="5" fillId="0" borderId="36" xfId="1" applyNumberFormat="1" applyFont="1" applyFill="1" applyBorder="1" applyAlignment="1">
      <alignment horizontal="centerContinuous"/>
    </xf>
    <xf numFmtId="165" fontId="3" fillId="0" borderId="0" xfId="2" applyNumberFormat="1" applyFont="1"/>
    <xf numFmtId="165" fontId="3" fillId="0" borderId="0" xfId="2" applyNumberFormat="1" applyFont="1" applyBorder="1"/>
    <xf numFmtId="165" fontId="3" fillId="0" borderId="2" xfId="2" applyNumberFormat="1" applyFont="1" applyBorder="1"/>
    <xf numFmtId="0" fontId="5" fillId="0" borderId="0" xfId="0" applyFont="1" applyBorder="1" applyAlignment="1">
      <alignment horizontal="center" vertical="center" wrapText="1"/>
    </xf>
    <xf numFmtId="0" fontId="5" fillId="0" borderId="0" xfId="0" quotePrefix="1" applyFont="1" applyBorder="1" applyAlignment="1">
      <alignment horizontal="center"/>
    </xf>
    <xf numFmtId="0" fontId="5" fillId="0" borderId="0" xfId="0" applyFont="1" applyBorder="1" applyAlignment="1">
      <alignment horizontal="left"/>
    </xf>
    <xf numFmtId="0" fontId="5" fillId="0" borderId="0" xfId="0" applyFont="1" applyAlignment="1">
      <alignment horizontal="left"/>
    </xf>
    <xf numFmtId="0" fontId="5" fillId="0" borderId="0" xfId="0" applyFont="1" applyBorder="1"/>
    <xf numFmtId="0" fontId="3" fillId="0" borderId="8" xfId="0" applyFont="1" applyBorder="1" applyAlignment="1">
      <alignment horizontal="center"/>
    </xf>
    <xf numFmtId="0" fontId="3" fillId="0" borderId="9" xfId="0" applyFont="1" applyBorder="1" applyAlignment="1">
      <alignment horizontal="center"/>
    </xf>
    <xf numFmtId="0" fontId="3" fillId="0" borderId="6" xfId="0" applyFont="1" applyBorder="1"/>
    <xf numFmtId="165" fontId="3" fillId="0" borderId="6" xfId="2" applyNumberFormat="1" applyFont="1" applyBorder="1"/>
    <xf numFmtId="0" fontId="3" fillId="0" borderId="7" xfId="0" applyFont="1" applyBorder="1"/>
    <xf numFmtId="165" fontId="3" fillId="0" borderId="7" xfId="2" applyNumberFormat="1" applyFont="1" applyBorder="1"/>
    <xf numFmtId="165" fontId="3" fillId="0" borderId="8" xfId="0" applyNumberFormat="1" applyFont="1" applyBorder="1"/>
    <xf numFmtId="0" fontId="3" fillId="0" borderId="0" xfId="0" applyFont="1" applyBorder="1" applyAlignment="1">
      <alignment horizontal="center"/>
    </xf>
    <xf numFmtId="0" fontId="3" fillId="0" borderId="0" xfId="0" applyFont="1" applyBorder="1" applyAlignment="1">
      <alignment horizontal="centerContinuous"/>
    </xf>
    <xf numFmtId="0" fontId="3" fillId="0" borderId="0" xfId="0" quotePrefix="1" applyFont="1" applyBorder="1" applyAlignment="1">
      <alignment horizontal="centerContinuous"/>
    </xf>
    <xf numFmtId="0" fontId="3" fillId="0" borderId="0" xfId="0" applyFont="1" applyAlignment="1">
      <alignment horizontal="center"/>
    </xf>
    <xf numFmtId="0" fontId="3" fillId="0" borderId="2" xfId="0" applyFont="1" applyBorder="1"/>
    <xf numFmtId="165" fontId="3" fillId="0" borderId="0" xfId="2" quotePrefix="1" applyNumberFormat="1" applyFont="1"/>
    <xf numFmtId="10" fontId="3" fillId="0" borderId="0" xfId="2" applyNumberFormat="1" applyFont="1"/>
    <xf numFmtId="165" fontId="3" fillId="0" borderId="3" xfId="2" quotePrefix="1" applyNumberFormat="1" applyFont="1" applyBorder="1"/>
    <xf numFmtId="165" fontId="3" fillId="0" borderId="0" xfId="2" quotePrefix="1" applyNumberFormat="1" applyFont="1" applyBorder="1"/>
    <xf numFmtId="0" fontId="3" fillId="0" borderId="0" xfId="0" quotePrefix="1" applyFont="1" applyAlignment="1">
      <alignment horizontal="left"/>
    </xf>
    <xf numFmtId="0" fontId="5" fillId="0" borderId="1" xfId="0" applyFont="1" applyBorder="1" applyAlignment="1">
      <alignment horizontal="center" vertical="center" wrapText="1"/>
    </xf>
    <xf numFmtId="164" fontId="5" fillId="0" borderId="0" xfId="1" applyNumberFormat="1" applyFont="1" applyAlignment="1"/>
    <xf numFmtId="0" fontId="7" fillId="0" borderId="0" xfId="0" applyFont="1" applyAlignment="1">
      <alignment horizontal="centerContinuous"/>
    </xf>
    <xf numFmtId="164" fontId="3" fillId="0" borderId="0" xfId="1" applyNumberFormat="1" applyFont="1" applyFill="1" applyBorder="1" applyAlignment="1" applyProtection="1">
      <alignment horizontal="center"/>
      <protection locked="0"/>
    </xf>
    <xf numFmtId="0" fontId="5" fillId="0" borderId="2" xfId="0" applyFont="1" applyBorder="1" applyAlignment="1">
      <alignment horizontal="center"/>
    </xf>
    <xf numFmtId="0" fontId="3" fillId="0" borderId="0" xfId="0" applyNumberFormat="1" applyFont="1" applyBorder="1" applyAlignment="1" applyProtection="1">
      <alignment horizontal="left"/>
      <protection locked="0"/>
    </xf>
    <xf numFmtId="0" fontId="3" fillId="0" borderId="0" xfId="0" applyNumberFormat="1" applyFont="1" applyFill="1" applyBorder="1" applyAlignment="1" applyProtection="1">
      <alignment horizontal="left"/>
      <protection locked="0"/>
    </xf>
    <xf numFmtId="164" fontId="10" fillId="0" borderId="0" xfId="1" applyNumberFormat="1" applyFont="1" applyFill="1" applyBorder="1" applyAlignment="1">
      <alignment horizontal="center" wrapText="1"/>
    </xf>
    <xf numFmtId="0" fontId="2" fillId="0" borderId="0" xfId="3"/>
    <xf numFmtId="0" fontId="2" fillId="0" borderId="0" xfId="3" applyAlignment="1">
      <alignment horizontal="centerContinuous"/>
    </xf>
    <xf numFmtId="166" fontId="2" fillId="0" borderId="0" xfId="3" applyNumberFormat="1" applyAlignment="1">
      <alignment horizontal="right"/>
    </xf>
    <xf numFmtId="0" fontId="3" fillId="0" borderId="0" xfId="3" applyFont="1" applyAlignment="1">
      <alignment horizontal="right"/>
    </xf>
    <xf numFmtId="0" fontId="4" fillId="0" borderId="0" xfId="3" applyFont="1" applyAlignment="1">
      <alignment horizontal="center" wrapText="1"/>
    </xf>
    <xf numFmtId="0" fontId="4" fillId="0" borderId="0" xfId="3" quotePrefix="1" applyFont="1" applyAlignment="1">
      <alignment horizontal="center" wrapText="1"/>
    </xf>
    <xf numFmtId="0" fontId="4" fillId="0" borderId="0" xfId="3" applyFont="1"/>
    <xf numFmtId="164" fontId="4" fillId="0" borderId="0" xfId="4" applyNumberFormat="1" applyFont="1"/>
    <xf numFmtId="164" fontId="4" fillId="0" borderId="1" xfId="4" applyNumberFormat="1" applyFont="1" applyBorder="1"/>
    <xf numFmtId="164" fontId="4" fillId="0" borderId="2" xfId="4" applyNumberFormat="1" applyFont="1" applyBorder="1"/>
    <xf numFmtId="164" fontId="4" fillId="0" borderId="0" xfId="3" applyNumberFormat="1" applyFont="1"/>
    <xf numFmtId="0" fontId="4" fillId="0" borderId="0" xfId="3" quotePrefix="1" applyFont="1" applyAlignment="1">
      <alignment horizontal="left"/>
    </xf>
    <xf numFmtId="164" fontId="4" fillId="0" borderId="1" xfId="3" applyNumberFormat="1" applyFont="1" applyBorder="1"/>
    <xf numFmtId="164" fontId="4" fillId="0" borderId="3" xfId="3" applyNumberFormat="1" applyFont="1" applyBorder="1"/>
    <xf numFmtId="10" fontId="4" fillId="0" borderId="0" xfId="5" quotePrefix="1" applyNumberFormat="1" applyFont="1" applyAlignment="1">
      <alignment horizontal="left"/>
    </xf>
    <xf numFmtId="10" fontId="4" fillId="0" borderId="0" xfId="5" applyNumberFormat="1" applyFont="1"/>
    <xf numFmtId="0" fontId="4" fillId="0" borderId="0" xfId="3" applyFont="1" applyFill="1" applyBorder="1" applyAlignment="1">
      <alignment vertical="center"/>
    </xf>
    <xf numFmtId="164" fontId="4" fillId="0" borderId="0" xfId="4" quotePrefix="1" applyNumberFormat="1" applyFont="1"/>
    <xf numFmtId="164" fontId="4" fillId="0" borderId="2" xfId="3" applyNumberFormat="1" applyFont="1" applyBorder="1"/>
    <xf numFmtId="164" fontId="4" fillId="0" borderId="0" xfId="4" applyNumberFormat="1" applyFont="1" applyBorder="1"/>
    <xf numFmtId="164" fontId="4" fillId="0" borderId="0" xfId="3" applyNumberFormat="1" applyFont="1" applyBorder="1"/>
    <xf numFmtId="164" fontId="4" fillId="0" borderId="5" xfId="3" applyNumberFormat="1" applyFont="1" applyBorder="1"/>
    <xf numFmtId="164" fontId="4" fillId="0" borderId="0" xfId="1" applyNumberFormat="1" applyFont="1"/>
    <xf numFmtId="164" fontId="8" fillId="0" borderId="0" xfId="1" applyNumberFormat="1" applyFont="1" applyFill="1" applyBorder="1"/>
    <xf numFmtId="164" fontId="9" fillId="0" borderId="0" xfId="1" applyNumberFormat="1" applyFont="1" applyFill="1" applyBorder="1"/>
    <xf numFmtId="164" fontId="4" fillId="0" borderId="0" xfId="1" applyNumberFormat="1" applyFont="1" applyFill="1"/>
    <xf numFmtId="0" fontId="4" fillId="0" borderId="0" xfId="0" applyFont="1"/>
    <xf numFmtId="0" fontId="4" fillId="0" borderId="0" xfId="0" applyFont="1" applyFill="1"/>
    <xf numFmtId="164" fontId="4" fillId="0" borderId="2" xfId="1" applyNumberFormat="1" applyFont="1" applyFill="1" applyBorder="1"/>
    <xf numFmtId="43" fontId="4" fillId="0" borderId="0" xfId="0" applyNumberFormat="1" applyFont="1" applyFill="1"/>
    <xf numFmtId="164" fontId="3" fillId="0" borderId="0" xfId="1" quotePrefix="1" applyNumberFormat="1" applyFont="1" applyFill="1" applyBorder="1" applyAlignment="1" applyProtection="1">
      <alignment horizontal="center"/>
      <protection locked="0"/>
    </xf>
    <xf numFmtId="164" fontId="3" fillId="0" borderId="11" xfId="1" quotePrefix="1" applyNumberFormat="1" applyFont="1" applyFill="1" applyBorder="1" applyAlignment="1" applyProtection="1">
      <alignment horizontal="center"/>
      <protection locked="0"/>
    </xf>
    <xf numFmtId="164" fontId="3" fillId="0" borderId="34" xfId="1" quotePrefix="1" applyNumberFormat="1" applyFont="1" applyFill="1" applyBorder="1" applyAlignment="1" applyProtection="1">
      <alignment horizontal="center"/>
      <protection locked="0"/>
    </xf>
    <xf numFmtId="164" fontId="3" fillId="0" borderId="35" xfId="1" quotePrefix="1" applyNumberFormat="1" applyFont="1" applyFill="1" applyBorder="1" applyAlignment="1" applyProtection="1">
      <alignment horizontal="center"/>
      <protection locked="0"/>
    </xf>
    <xf numFmtId="164" fontId="3" fillId="0" borderId="24" xfId="1" quotePrefix="1" applyNumberFormat="1" applyFont="1" applyFill="1" applyBorder="1" applyAlignment="1" applyProtection="1">
      <alignment horizontal="center"/>
      <protection locked="0"/>
    </xf>
    <xf numFmtId="164" fontId="3" fillId="0" borderId="10" xfId="1" quotePrefix="1" applyNumberFormat="1" applyFont="1" applyFill="1" applyBorder="1" applyAlignment="1" applyProtection="1">
      <alignment horizontal="center"/>
      <protection locked="0"/>
    </xf>
    <xf numFmtId="164" fontId="5" fillId="0" borderId="11" xfId="1" applyNumberFormat="1" applyFont="1" applyFill="1" applyBorder="1" applyAlignment="1" applyProtection="1">
      <alignment horizontal="center" vertical="center" wrapText="1"/>
      <protection locked="0"/>
    </xf>
    <xf numFmtId="164" fontId="5" fillId="0" borderId="24" xfId="1" applyNumberFormat="1" applyFont="1" applyFill="1" applyBorder="1" applyAlignment="1" applyProtection="1">
      <alignment horizontal="center" vertical="center" wrapText="1"/>
      <protection locked="0"/>
    </xf>
    <xf numFmtId="164" fontId="5" fillId="0" borderId="10" xfId="1" quotePrefix="1" applyNumberFormat="1" applyFont="1" applyFill="1" applyBorder="1" applyAlignment="1" applyProtection="1">
      <alignment horizontal="center" vertical="center" wrapText="1"/>
      <protection locked="0"/>
    </xf>
    <xf numFmtId="164" fontId="5" fillId="0" borderId="0" xfId="1" quotePrefix="1" applyNumberFormat="1" applyFont="1" applyFill="1" applyBorder="1" applyAlignment="1" applyProtection="1">
      <alignment horizontal="center" vertical="center" wrapText="1"/>
      <protection locked="0"/>
    </xf>
    <xf numFmtId="164" fontId="3" fillId="0" borderId="11" xfId="1" applyNumberFormat="1" applyFont="1" applyFill="1" applyBorder="1" applyProtection="1">
      <protection locked="0"/>
    </xf>
    <xf numFmtId="164" fontId="3" fillId="0" borderId="11" xfId="1" applyNumberFormat="1" applyFont="1" applyFill="1" applyBorder="1" applyAlignment="1" applyProtection="1">
      <alignment horizontal="center"/>
      <protection locked="0"/>
    </xf>
    <xf numFmtId="164" fontId="3" fillId="0" borderId="24" xfId="1" applyNumberFormat="1" applyFont="1" applyFill="1" applyBorder="1" applyProtection="1">
      <protection locked="0"/>
    </xf>
    <xf numFmtId="164" fontId="3" fillId="0" borderId="10" xfId="1" applyNumberFormat="1" applyFont="1" applyFill="1" applyBorder="1" applyAlignment="1" applyProtection="1">
      <alignment horizontal="center"/>
      <protection locked="0"/>
    </xf>
    <xf numFmtId="164" fontId="3" fillId="0" borderId="0" xfId="1" quotePrefix="1" applyNumberFormat="1" applyFont="1" applyFill="1" applyBorder="1" applyAlignment="1" applyProtection="1">
      <alignment horizontal="left"/>
      <protection locked="0"/>
    </xf>
    <xf numFmtId="164" fontId="3" fillId="0" borderId="11" xfId="1" quotePrefix="1" applyNumberFormat="1" applyFont="1" applyFill="1" applyBorder="1" applyAlignment="1" applyProtection="1">
      <alignment horizontal="left"/>
      <protection locked="0"/>
    </xf>
    <xf numFmtId="164" fontId="3" fillId="0" borderId="0" xfId="1" applyNumberFormat="1" applyFont="1" applyFill="1" applyBorder="1" applyAlignment="1" applyProtection="1">
      <alignment horizontal="left"/>
      <protection locked="0"/>
    </xf>
    <xf numFmtId="164" fontId="3" fillId="0" borderId="24" xfId="1" applyNumberFormat="1" applyFont="1" applyFill="1" applyBorder="1" applyAlignment="1" applyProtection="1">
      <alignment horizontal="left"/>
      <protection locked="0"/>
    </xf>
    <xf numFmtId="164" fontId="3" fillId="0" borderId="11" xfId="1" applyNumberFormat="1" applyFont="1" applyFill="1" applyBorder="1" applyAlignment="1" applyProtection="1">
      <alignment horizontal="left"/>
      <protection locked="0"/>
    </xf>
    <xf numFmtId="164" fontId="3" fillId="0" borderId="1" xfId="1" applyNumberFormat="1" applyFont="1" applyFill="1" applyBorder="1" applyProtection="1">
      <protection locked="0"/>
    </xf>
    <xf numFmtId="164" fontId="3" fillId="0" borderId="13" xfId="1" applyNumberFormat="1" applyFont="1" applyFill="1" applyBorder="1" applyProtection="1">
      <protection locked="0"/>
    </xf>
    <xf numFmtId="164" fontId="3" fillId="0" borderId="11" xfId="1" applyNumberFormat="1" applyFont="1" applyFill="1" applyBorder="1"/>
    <xf numFmtId="164" fontId="3" fillId="0" borderId="2" xfId="1" applyNumberFormat="1" applyFont="1" applyFill="1" applyBorder="1" applyAlignment="1" applyProtection="1">
      <alignment horizontal="left"/>
      <protection locked="0"/>
    </xf>
    <xf numFmtId="164" fontId="3" fillId="0" borderId="2" xfId="1" quotePrefix="1" applyNumberFormat="1" applyFont="1" applyFill="1" applyBorder="1" applyAlignment="1" applyProtection="1">
      <alignment horizontal="left"/>
      <protection locked="0"/>
    </xf>
    <xf numFmtId="164" fontId="3" fillId="0" borderId="15" xfId="1" applyNumberFormat="1" applyFont="1" applyFill="1" applyBorder="1" applyAlignment="1" applyProtection="1">
      <alignment horizontal="left"/>
      <protection locked="0"/>
    </xf>
    <xf numFmtId="164" fontId="3" fillId="0" borderId="26" xfId="1" applyNumberFormat="1" applyFont="1" applyFill="1" applyBorder="1" applyAlignment="1" applyProtection="1">
      <alignment horizontal="left"/>
      <protection locked="0"/>
    </xf>
    <xf numFmtId="164" fontId="3" fillId="0" borderId="2" xfId="1" applyNumberFormat="1" applyFont="1" applyFill="1" applyBorder="1" applyProtection="1">
      <protection locked="0"/>
    </xf>
    <xf numFmtId="164" fontId="3" fillId="0" borderId="24" xfId="1" quotePrefix="1" applyNumberFormat="1" applyFont="1" applyFill="1" applyBorder="1" applyAlignment="1" applyProtection="1">
      <alignment horizontal="left"/>
      <protection locked="0"/>
    </xf>
    <xf numFmtId="164" fontId="3" fillId="0" borderId="3" xfId="1" applyNumberFormat="1" applyFont="1" applyFill="1" applyBorder="1" applyAlignment="1"/>
    <xf numFmtId="164" fontId="3" fillId="0" borderId="17" xfId="1" applyNumberFormat="1" applyFont="1" applyFill="1" applyBorder="1" applyAlignment="1"/>
    <xf numFmtId="164" fontId="3" fillId="0" borderId="1" xfId="1" quotePrefix="1" applyNumberFormat="1" applyFont="1" applyFill="1" applyBorder="1" applyAlignment="1" applyProtection="1">
      <alignment horizontal="left"/>
      <protection locked="0"/>
    </xf>
    <xf numFmtId="164" fontId="3" fillId="0" borderId="13" xfId="1" quotePrefix="1" applyNumberFormat="1" applyFont="1" applyFill="1" applyBorder="1" applyAlignment="1" applyProtection="1">
      <alignment horizontal="left"/>
      <protection locked="0"/>
    </xf>
    <xf numFmtId="164" fontId="3" fillId="0" borderId="3" xfId="1" applyNumberFormat="1" applyFont="1" applyFill="1" applyBorder="1" applyAlignment="1">
      <alignment vertical="center"/>
    </xf>
    <xf numFmtId="164" fontId="3" fillId="0" borderId="0" xfId="0" applyNumberFormat="1" applyFont="1" applyFill="1" applyBorder="1"/>
    <xf numFmtId="164" fontId="3" fillId="0" borderId="15" xfId="1" applyNumberFormat="1" applyFont="1" applyFill="1" applyBorder="1" applyProtection="1">
      <protection locked="0"/>
    </xf>
    <xf numFmtId="164" fontId="3" fillId="0" borderId="14" xfId="1" quotePrefix="1" applyNumberFormat="1" applyFont="1" applyFill="1" applyBorder="1" applyAlignment="1" applyProtection="1">
      <alignment horizontal="left"/>
      <protection locked="0"/>
    </xf>
    <xf numFmtId="164" fontId="3" fillId="0" borderId="15" xfId="1" quotePrefix="1" applyNumberFormat="1" applyFont="1" applyFill="1" applyBorder="1" applyAlignment="1" applyProtection="1">
      <alignment horizontal="left"/>
      <protection locked="0"/>
    </xf>
    <xf numFmtId="164" fontId="3" fillId="0" borderId="26" xfId="1" applyNumberFormat="1" applyFont="1" applyFill="1" applyBorder="1" applyProtection="1">
      <protection locked="0"/>
    </xf>
    <xf numFmtId="164" fontId="3" fillId="0" borderId="19" xfId="1" applyNumberFormat="1" applyFont="1" applyFill="1" applyBorder="1" applyProtection="1">
      <protection locked="0"/>
    </xf>
    <xf numFmtId="164" fontId="3" fillId="0" borderId="20" xfId="1" applyNumberFormat="1" applyFont="1" applyFill="1" applyBorder="1" applyProtection="1">
      <protection locked="0"/>
    </xf>
    <xf numFmtId="164" fontId="3" fillId="0" borderId="18" xfId="1" applyNumberFormat="1" applyFont="1" applyFill="1" applyBorder="1" applyProtection="1">
      <protection locked="0"/>
    </xf>
    <xf numFmtId="164" fontId="5" fillId="0" borderId="10" xfId="1" applyNumberFormat="1" applyFont="1" applyFill="1" applyBorder="1" applyAlignment="1" applyProtection="1">
      <alignment horizontal="center" wrapText="1"/>
      <protection locked="0"/>
    </xf>
    <xf numFmtId="164" fontId="3" fillId="0" borderId="16" xfId="1" applyNumberFormat="1" applyFont="1" applyFill="1" applyBorder="1" applyProtection="1">
      <protection locked="0"/>
    </xf>
    <xf numFmtId="164" fontId="3" fillId="0" borderId="30" xfId="1" applyNumberFormat="1" applyFont="1" applyFill="1" applyBorder="1" applyProtection="1">
      <protection locked="0"/>
    </xf>
    <xf numFmtId="164" fontId="5" fillId="0" borderId="10" xfId="1" quotePrefix="1" applyNumberFormat="1" applyFont="1" applyFill="1" applyBorder="1" applyAlignment="1" applyProtection="1">
      <alignment horizontal="center" wrapText="1"/>
      <protection locked="0"/>
    </xf>
    <xf numFmtId="164" fontId="3" fillId="0" borderId="23" xfId="1" applyNumberFormat="1" applyFont="1" applyFill="1" applyBorder="1" applyAlignment="1">
      <alignment horizontal="centerContinuous"/>
    </xf>
    <xf numFmtId="164" fontId="5" fillId="0" borderId="11" xfId="1" applyNumberFormat="1" applyFont="1" applyFill="1" applyBorder="1" applyAlignment="1" applyProtection="1">
      <alignment horizontal="center" wrapText="1"/>
      <protection locked="0"/>
    </xf>
    <xf numFmtId="164" fontId="3" fillId="0" borderId="17" xfId="1" applyNumberFormat="1" applyFont="1" applyFill="1" applyBorder="1" applyProtection="1">
      <protection locked="0"/>
    </xf>
    <xf numFmtId="164" fontId="3" fillId="0" borderId="31" xfId="1" applyNumberFormat="1" applyFont="1" applyFill="1" applyBorder="1" applyProtection="1">
      <protection locked="0"/>
    </xf>
    <xf numFmtId="164" fontId="3" fillId="0" borderId="3" xfId="1" applyNumberFormat="1" applyFont="1" applyFill="1" applyBorder="1" applyProtection="1">
      <protection locked="0"/>
    </xf>
    <xf numFmtId="164" fontId="3" fillId="0" borderId="4" xfId="1" applyNumberFormat="1" applyFont="1" applyFill="1" applyBorder="1" applyProtection="1">
      <protection locked="0"/>
    </xf>
    <xf numFmtId="164" fontId="3" fillId="0" borderId="4" xfId="1" applyNumberFormat="1" applyFont="1" applyFill="1" applyBorder="1" applyAlignment="1">
      <alignment vertical="center"/>
    </xf>
    <xf numFmtId="164" fontId="3" fillId="0" borderId="30" xfId="1" applyNumberFormat="1" applyFont="1" applyFill="1" applyBorder="1" applyAlignment="1">
      <alignment vertical="center"/>
    </xf>
    <xf numFmtId="164" fontId="5" fillId="0" borderId="0" xfId="1" applyNumberFormat="1" applyFont="1" applyFill="1" applyBorder="1" applyAlignment="1" applyProtection="1">
      <alignment horizontal="center" wrapText="1"/>
      <protection locked="0"/>
    </xf>
    <xf numFmtId="0" fontId="4" fillId="0" borderId="0" xfId="3" applyFont="1" applyFill="1"/>
    <xf numFmtId="164" fontId="4" fillId="0" borderId="0" xfId="3" applyNumberFormat="1" applyFont="1" applyFill="1" applyBorder="1"/>
    <xf numFmtId="0" fontId="2" fillId="0" borderId="0" xfId="3" applyFill="1"/>
    <xf numFmtId="0" fontId="1" fillId="0" borderId="0" xfId="3" applyFont="1" applyAlignment="1">
      <alignment horizontal="centerContinuous"/>
    </xf>
    <xf numFmtId="0" fontId="14" fillId="0" borderId="0" xfId="6" applyFont="1"/>
    <xf numFmtId="0" fontId="15" fillId="0" borderId="0" xfId="6" applyFont="1"/>
    <xf numFmtId="0" fontId="4" fillId="0" borderId="0" xfId="6" applyFont="1"/>
    <xf numFmtId="0" fontId="4" fillId="0" borderId="0" xfId="6" applyFont="1" applyAlignment="1">
      <alignment horizontal="left"/>
    </xf>
    <xf numFmtId="0" fontId="16" fillId="0" borderId="0" xfId="6" applyFont="1"/>
    <xf numFmtId="0" fontId="14" fillId="0" borderId="0" xfId="6" quotePrefix="1" applyFont="1"/>
    <xf numFmtId="0" fontId="5" fillId="0" borderId="0" xfId="6" quotePrefix="1" applyFont="1"/>
    <xf numFmtId="0" fontId="11" fillId="0" borderId="0" xfId="6" applyFont="1"/>
    <xf numFmtId="0" fontId="11" fillId="0" borderId="2" xfId="6" applyFont="1" applyBorder="1" applyAlignment="1">
      <alignment horizontal="centerContinuous"/>
    </xf>
    <xf numFmtId="0" fontId="4" fillId="0" borderId="2" xfId="6" applyFont="1" applyBorder="1" applyAlignment="1">
      <alignment horizontal="centerContinuous"/>
    </xf>
    <xf numFmtId="0" fontId="17" fillId="0" borderId="2" xfId="6" applyFont="1" applyBorder="1" applyAlignment="1">
      <alignment horizontal="centerContinuous"/>
    </xf>
    <xf numFmtId="0" fontId="4" fillId="0" borderId="0" xfId="6" applyFont="1" applyAlignment="1">
      <alignment horizontal="center"/>
    </xf>
    <xf numFmtId="0" fontId="11" fillId="0" borderId="0" xfId="6" applyFont="1" applyAlignment="1">
      <alignment horizontal="center"/>
    </xf>
    <xf numFmtId="0" fontId="16" fillId="0" borderId="0" xfId="6" applyFont="1" applyAlignment="1">
      <alignment horizontal="center"/>
    </xf>
    <xf numFmtId="17" fontId="11" fillId="0" borderId="2" xfId="6" applyNumberFormat="1" applyFont="1" applyBorder="1" applyAlignment="1">
      <alignment horizontal="center" wrapText="1"/>
    </xf>
    <xf numFmtId="17" fontId="4" fillId="0" borderId="0" xfId="6" applyNumberFormat="1" applyFont="1" applyAlignment="1">
      <alignment horizontal="center" wrapText="1"/>
    </xf>
    <xf numFmtId="17" fontId="18" fillId="0" borderId="2" xfId="6" applyNumberFormat="1" applyFont="1" applyBorder="1" applyAlignment="1">
      <alignment horizontal="center" wrapText="1"/>
    </xf>
    <xf numFmtId="0" fontId="4" fillId="0" borderId="0" xfId="6" applyFont="1" applyAlignment="1">
      <alignment vertical="center"/>
    </xf>
    <xf numFmtId="164" fontId="4" fillId="0" borderId="0" xfId="1" applyNumberFormat="1" applyFont="1" applyAlignment="1">
      <alignment vertical="center"/>
    </xf>
    <xf numFmtId="164" fontId="4" fillId="0" borderId="0" xfId="6" applyNumberFormat="1" applyFont="1"/>
    <xf numFmtId="164" fontId="16" fillId="0" borderId="0" xfId="6" applyNumberFormat="1" applyFont="1"/>
    <xf numFmtId="164" fontId="4" fillId="0" borderId="1" xfId="1" applyNumberFormat="1" applyFont="1" applyBorder="1"/>
    <xf numFmtId="164" fontId="4" fillId="0" borderId="0" xfId="1" applyNumberFormat="1" applyFont="1" applyBorder="1" applyAlignment="1">
      <alignment vertical="center"/>
    </xf>
    <xf numFmtId="164" fontId="16" fillId="0" borderId="1" xfId="1" applyNumberFormat="1" applyFont="1" applyBorder="1"/>
    <xf numFmtId="0" fontId="3" fillId="0" borderId="0" xfId="6"/>
    <xf numFmtId="0" fontId="4" fillId="0" borderId="0" xfId="6" applyFont="1" applyAlignment="1">
      <alignment horizontal="right" vertical="center"/>
    </xf>
    <xf numFmtId="164" fontId="4" fillId="0" borderId="2" xfId="1" applyNumberFormat="1" applyFont="1" applyBorder="1"/>
    <xf numFmtId="164" fontId="4" fillId="0" borderId="4" xfId="1" applyNumberFormat="1" applyFont="1" applyBorder="1" applyAlignment="1">
      <alignment vertical="center"/>
    </xf>
    <xf numFmtId="164" fontId="16" fillId="0" borderId="4" xfId="1" applyNumberFormat="1" applyFont="1" applyBorder="1" applyAlignment="1">
      <alignment vertical="center"/>
    </xf>
    <xf numFmtId="164" fontId="4" fillId="0" borderId="1" xfId="6" applyNumberFormat="1" applyFont="1" applyBorder="1"/>
    <xf numFmtId="164" fontId="16" fillId="0" borderId="1" xfId="1" applyNumberFormat="1" applyFont="1" applyBorder="1" applyAlignment="1">
      <alignment vertical="center"/>
    </xf>
    <xf numFmtId="164" fontId="16" fillId="0" borderId="0" xfId="1" applyNumberFormat="1" applyFont="1" applyAlignment="1">
      <alignment vertical="center"/>
    </xf>
    <xf numFmtId="0" fontId="4" fillId="0" borderId="0" xfId="6" applyFont="1" applyAlignment="1"/>
    <xf numFmtId="164" fontId="4" fillId="0" borderId="3" xfId="6" applyNumberFormat="1" applyFont="1" applyBorder="1"/>
    <xf numFmtId="164" fontId="4" fillId="0" borderId="0" xfId="1" applyNumberFormat="1" applyFont="1" applyBorder="1" applyAlignment="1"/>
    <xf numFmtId="164" fontId="16" fillId="0" borderId="3" xfId="1" applyNumberFormat="1" applyFont="1" applyBorder="1" applyAlignment="1"/>
    <xf numFmtId="164" fontId="16" fillId="0" borderId="3" xfId="1" applyNumberFormat="1" applyFont="1" applyBorder="1" applyAlignment="1">
      <alignment vertical="center"/>
    </xf>
    <xf numFmtId="165" fontId="16" fillId="0" borderId="0" xfId="2" applyNumberFormat="1" applyFont="1"/>
    <xf numFmtId="167" fontId="16" fillId="0" borderId="0" xfId="2" applyNumberFormat="1" applyFont="1"/>
    <xf numFmtId="165" fontId="4" fillId="0" borderId="0" xfId="2" applyNumberFormat="1" applyFont="1" applyAlignment="1">
      <alignment vertical="center"/>
    </xf>
    <xf numFmtId="164" fontId="4" fillId="0" borderId="0" xfId="1" quotePrefix="1" applyNumberFormat="1" applyFont="1"/>
    <xf numFmtId="0" fontId="4" fillId="0" borderId="0" xfId="6" quotePrefix="1" applyFont="1" applyAlignment="1">
      <alignment horizontal="left" vertical="center"/>
    </xf>
    <xf numFmtId="164" fontId="4" fillId="0" borderId="2" xfId="6" applyNumberFormat="1" applyFont="1" applyBorder="1"/>
    <xf numFmtId="164" fontId="4" fillId="0" borderId="0" xfId="1" applyNumberFormat="1" applyFont="1" applyBorder="1"/>
    <xf numFmtId="164" fontId="4" fillId="0" borderId="0" xfId="6" applyNumberFormat="1" applyFont="1" applyBorder="1"/>
    <xf numFmtId="164" fontId="4" fillId="0" borderId="2" xfId="1" applyNumberFormat="1" applyFont="1" applyBorder="1" applyAlignment="1">
      <alignment vertical="center"/>
    </xf>
    <xf numFmtId="164" fontId="16" fillId="0" borderId="2" xfId="1" applyNumberFormat="1" applyFont="1" applyBorder="1" applyAlignment="1">
      <alignment vertical="center"/>
    </xf>
    <xf numFmtId="164" fontId="4" fillId="0" borderId="5" xfId="6" applyNumberFormat="1" applyFont="1" applyBorder="1"/>
    <xf numFmtId="0" fontId="4" fillId="0" borderId="5" xfId="6" applyFont="1" applyBorder="1"/>
    <xf numFmtId="164" fontId="4" fillId="0" borderId="5" xfId="1" applyNumberFormat="1" applyFont="1" applyBorder="1" applyAlignment="1">
      <alignment vertical="center"/>
    </xf>
    <xf numFmtId="164" fontId="16" fillId="0" borderId="5" xfId="1" applyNumberFormat="1" applyFont="1" applyBorder="1" applyAlignment="1">
      <alignment vertical="center"/>
    </xf>
    <xf numFmtId="164" fontId="16" fillId="0" borderId="5" xfId="6" applyNumberFormat="1" applyFont="1" applyBorder="1"/>
    <xf numFmtId="0" fontId="4" fillId="0" borderId="0" xfId="6" applyFont="1" applyFill="1" applyAlignment="1">
      <alignment vertical="center"/>
    </xf>
    <xf numFmtId="10" fontId="4" fillId="0" borderId="0" xfId="2" applyNumberFormat="1" applyFont="1" applyFill="1"/>
    <xf numFmtId="10" fontId="4" fillId="0" borderId="0" xfId="2" applyNumberFormat="1" applyFont="1" applyFill="1" applyAlignment="1">
      <alignment vertical="center"/>
    </xf>
    <xf numFmtId="10" fontId="4" fillId="0" borderId="0" xfId="6" applyNumberFormat="1" applyFont="1" applyFill="1"/>
    <xf numFmtId="165" fontId="16" fillId="0" borderId="0" xfId="2" applyNumberFormat="1" applyFont="1" applyFill="1"/>
    <xf numFmtId="167" fontId="16" fillId="0" borderId="0" xfId="2" applyNumberFormat="1" applyFont="1" applyFill="1"/>
    <xf numFmtId="0" fontId="4" fillId="0" borderId="0" xfId="6" applyFont="1" applyFill="1"/>
    <xf numFmtId="164" fontId="4" fillId="0" borderId="4" xfId="6" applyNumberFormat="1" applyFont="1" applyBorder="1"/>
    <xf numFmtId="164" fontId="4" fillId="0" borderId="4" xfId="1" applyNumberFormat="1" applyFont="1" applyBorder="1"/>
    <xf numFmtId="0" fontId="11" fillId="0" borderId="4" xfId="6" applyFont="1" applyBorder="1" applyAlignment="1">
      <alignment horizontal="center"/>
    </xf>
    <xf numFmtId="164" fontId="8" fillId="0" borderId="0" xfId="1" applyNumberFormat="1" applyFont="1" applyFill="1"/>
    <xf numFmtId="164" fontId="5" fillId="0" borderId="0" xfId="1" applyNumberFormat="1" applyFont="1" applyFill="1" applyAlignment="1">
      <alignment horizontal="left"/>
    </xf>
    <xf numFmtId="164" fontId="5" fillId="0" borderId="0" xfId="1" applyNumberFormat="1" applyFont="1" applyFill="1" applyBorder="1" applyAlignment="1">
      <alignment horizontal="left"/>
    </xf>
    <xf numFmtId="164" fontId="9" fillId="0" borderId="0" xfId="1" applyNumberFormat="1" applyFont="1" applyFill="1" applyBorder="1" applyAlignment="1">
      <alignment horizontal="left"/>
    </xf>
    <xf numFmtId="164" fontId="5" fillId="0" borderId="0" xfId="1" applyNumberFormat="1" applyFont="1" applyFill="1"/>
    <xf numFmtId="164" fontId="9" fillId="0" borderId="0" xfId="1" applyNumberFormat="1" applyFont="1" applyFill="1"/>
    <xf numFmtId="164" fontId="5" fillId="0" borderId="0" xfId="1" applyNumberFormat="1" applyFont="1" applyFill="1" applyAlignment="1">
      <alignment vertical="center"/>
    </xf>
    <xf numFmtId="164" fontId="9" fillId="0" borderId="0" xfId="1" applyNumberFormat="1" applyFont="1" applyFill="1" applyAlignment="1">
      <alignment vertical="center"/>
    </xf>
    <xf numFmtId="164" fontId="3" fillId="0" borderId="24" xfId="1" applyNumberFormat="1" applyFont="1" applyFill="1" applyBorder="1" applyAlignment="1" applyProtection="1">
      <alignment horizontal="center"/>
      <protection locked="0"/>
    </xf>
    <xf numFmtId="164" fontId="3" fillId="0" borderId="25" xfId="1" applyNumberFormat="1" applyFont="1" applyFill="1" applyBorder="1" applyProtection="1">
      <protection locked="0"/>
    </xf>
    <xf numFmtId="164" fontId="3" fillId="0" borderId="28" xfId="1" applyNumberFormat="1" applyFont="1" applyFill="1" applyBorder="1" applyProtection="1">
      <protection locked="0"/>
    </xf>
    <xf numFmtId="164" fontId="3" fillId="0" borderId="27" xfId="1" applyNumberFormat="1" applyFont="1" applyFill="1" applyBorder="1" applyAlignment="1"/>
    <xf numFmtId="164" fontId="3" fillId="0" borderId="25" xfId="1" quotePrefix="1" applyNumberFormat="1" applyFont="1" applyFill="1" applyBorder="1" applyAlignment="1" applyProtection="1">
      <alignment horizontal="left"/>
      <protection locked="0"/>
    </xf>
    <xf numFmtId="164" fontId="3" fillId="0" borderId="27" xfId="1" applyNumberFormat="1" applyFont="1" applyFill="1" applyBorder="1" applyAlignment="1">
      <alignment vertical="center"/>
    </xf>
    <xf numFmtId="164" fontId="3" fillId="0" borderId="17" xfId="1" applyNumberFormat="1" applyFont="1" applyFill="1" applyBorder="1" applyAlignment="1">
      <alignment vertical="center"/>
    </xf>
    <xf numFmtId="164" fontId="3" fillId="0" borderId="24" xfId="0" applyNumberFormat="1" applyFont="1" applyFill="1" applyBorder="1"/>
    <xf numFmtId="164" fontId="3" fillId="0" borderId="11" xfId="0" applyNumberFormat="1" applyFont="1" applyFill="1" applyBorder="1"/>
    <xf numFmtId="164" fontId="3" fillId="0" borderId="28" xfId="1" applyNumberFormat="1" applyFont="1" applyFill="1" applyBorder="1" applyAlignment="1">
      <alignment vertical="center"/>
    </xf>
    <xf numFmtId="164" fontId="3" fillId="0" borderId="31" xfId="1" applyNumberFormat="1" applyFont="1" applyFill="1" applyBorder="1" applyAlignment="1">
      <alignment vertical="center"/>
    </xf>
    <xf numFmtId="164" fontId="3" fillId="0" borderId="24" xfId="1" applyNumberFormat="1" applyFont="1" applyFill="1" applyBorder="1"/>
    <xf numFmtId="164" fontId="3" fillId="0" borderId="29" xfId="1" applyNumberFormat="1" applyFont="1" applyFill="1" applyBorder="1"/>
    <xf numFmtId="164" fontId="3" fillId="0" borderId="29" xfId="1" applyNumberFormat="1" applyFont="1" applyFill="1" applyBorder="1" applyProtection="1">
      <protection locked="0"/>
    </xf>
    <xf numFmtId="164" fontId="3" fillId="0" borderId="19" xfId="1" applyNumberFormat="1" applyFont="1" applyFill="1" applyBorder="1"/>
    <xf numFmtId="0" fontId="3" fillId="0" borderId="0" xfId="0" applyFont="1" applyFill="1" applyBorder="1"/>
    <xf numFmtId="164" fontId="5" fillId="0" borderId="0" xfId="1" quotePrefix="1" applyNumberFormat="1" applyFont="1" applyFill="1" applyBorder="1" applyAlignment="1">
      <alignment horizontal="left" vertical="center"/>
    </xf>
    <xf numFmtId="164" fontId="3" fillId="0" borderId="24" xfId="1" applyNumberFormat="1" applyFont="1" applyFill="1" applyBorder="1" applyAlignment="1">
      <alignment vertical="center"/>
    </xf>
    <xf numFmtId="164" fontId="3" fillId="0" borderId="10" xfId="1" applyNumberFormat="1" applyFont="1" applyFill="1" applyBorder="1" applyAlignment="1">
      <alignment vertical="center"/>
    </xf>
    <xf numFmtId="164" fontId="3" fillId="0" borderId="11" xfId="1" applyNumberFormat="1" applyFont="1" applyFill="1" applyBorder="1" applyAlignment="1">
      <alignment vertical="center"/>
    </xf>
    <xf numFmtId="164" fontId="3" fillId="0" borderId="20" xfId="1" applyNumberFormat="1" applyFont="1" applyFill="1" applyBorder="1"/>
    <xf numFmtId="164" fontId="3" fillId="0" borderId="36" xfId="1" applyNumberFormat="1" applyFont="1" applyFill="1" applyBorder="1" applyAlignment="1">
      <alignment horizontal="centerContinuous"/>
    </xf>
    <xf numFmtId="164" fontId="3" fillId="0" borderId="22" xfId="1" applyNumberFormat="1" applyFont="1" applyFill="1" applyBorder="1" applyAlignment="1">
      <alignment horizontal="centerContinuous"/>
    </xf>
    <xf numFmtId="164" fontId="5" fillId="0" borderId="32" xfId="1" applyNumberFormat="1" applyFont="1" applyFill="1" applyBorder="1" applyAlignment="1">
      <alignment horizontal="center"/>
    </xf>
    <xf numFmtId="164" fontId="5" fillId="0" borderId="24" xfId="1" applyNumberFormat="1" applyFont="1" applyFill="1" applyBorder="1" applyAlignment="1" applyProtection="1">
      <alignment horizontal="center" wrapText="1"/>
      <protection locked="0"/>
    </xf>
    <xf numFmtId="164" fontId="3" fillId="0" borderId="27" xfId="1" applyNumberFormat="1" applyFont="1" applyFill="1" applyBorder="1" applyProtection="1">
      <protection locked="0"/>
    </xf>
    <xf numFmtId="0" fontId="1" fillId="0" borderId="0" xfId="3" applyFont="1" applyFill="1" applyAlignment="1">
      <alignment horizontal="centerContinuous"/>
    </xf>
    <xf numFmtId="0" fontId="2" fillId="0" borderId="0" xfId="3" applyFill="1" applyAlignment="1">
      <alignment horizontal="centerContinuous"/>
    </xf>
    <xf numFmtId="166" fontId="2" fillId="0" borderId="0" xfId="3" applyNumberFormat="1" applyFill="1" applyAlignment="1">
      <alignment horizontal="right"/>
    </xf>
    <xf numFmtId="0" fontId="3" fillId="0" borderId="0" xfId="3" applyFont="1" applyFill="1" applyAlignment="1">
      <alignment horizontal="right"/>
    </xf>
    <xf numFmtId="0" fontId="4" fillId="0" borderId="0" xfId="3" applyFont="1" applyFill="1" applyAlignment="1">
      <alignment horizontal="center" wrapText="1"/>
    </xf>
    <xf numFmtId="0" fontId="4" fillId="0" borderId="0" xfId="3" quotePrefix="1" applyFont="1" applyFill="1" applyAlignment="1">
      <alignment horizontal="center" wrapText="1"/>
    </xf>
    <xf numFmtId="164" fontId="4" fillId="0" borderId="0" xfId="4" applyNumberFormat="1" applyFont="1" applyFill="1"/>
    <xf numFmtId="164" fontId="4" fillId="0" borderId="1" xfId="4" applyNumberFormat="1" applyFont="1" applyFill="1" applyBorder="1"/>
    <xf numFmtId="164" fontId="4" fillId="0" borderId="0" xfId="4" applyNumberFormat="1" applyFont="1" applyFill="1" applyBorder="1"/>
    <xf numFmtId="164" fontId="4" fillId="0" borderId="4" xfId="3" applyNumberFormat="1" applyFont="1" applyFill="1" applyBorder="1"/>
    <xf numFmtId="0" fontId="4" fillId="0" borderId="0" xfId="3" quotePrefix="1" applyFont="1" applyFill="1" applyAlignment="1">
      <alignment horizontal="left"/>
    </xf>
    <xf numFmtId="164" fontId="4" fillId="0" borderId="1" xfId="3" applyNumberFormat="1" applyFont="1" applyFill="1" applyBorder="1"/>
    <xf numFmtId="164" fontId="4" fillId="0" borderId="3" xfId="3" applyNumberFormat="1" applyFont="1" applyFill="1" applyBorder="1"/>
    <xf numFmtId="164" fontId="4" fillId="0" borderId="2" xfId="4" applyNumberFormat="1" applyFont="1" applyFill="1" applyBorder="1"/>
    <xf numFmtId="10" fontId="4" fillId="0" borderId="0" xfId="5" quotePrefix="1" applyNumberFormat="1" applyFont="1" applyFill="1" applyAlignment="1">
      <alignment horizontal="left"/>
    </xf>
    <xf numFmtId="10" fontId="4" fillId="0" borderId="0" xfId="5" applyNumberFormat="1" applyFont="1" applyFill="1"/>
    <xf numFmtId="164" fontId="4" fillId="0" borderId="0" xfId="4" quotePrefix="1" applyNumberFormat="1" applyFont="1" applyFill="1"/>
    <xf numFmtId="164" fontId="4" fillId="0" borderId="0" xfId="3" applyNumberFormat="1" applyFont="1" applyFill="1"/>
    <xf numFmtId="164" fontId="4" fillId="0" borderId="4" xfId="4" applyNumberFormat="1" applyFont="1" applyFill="1" applyBorder="1"/>
    <xf numFmtId="164" fontId="4" fillId="0" borderId="5" xfId="3" applyNumberFormat="1" applyFont="1" applyFill="1" applyBorder="1"/>
    <xf numFmtId="164" fontId="4" fillId="0" borderId="2" xfId="3" applyNumberFormat="1" applyFont="1" applyFill="1" applyBorder="1"/>
    <xf numFmtId="41" fontId="3" fillId="0" borderId="11" xfId="1" applyNumberFormat="1" applyFont="1" applyFill="1" applyBorder="1" applyAlignment="1" applyProtection="1">
      <alignment horizontal="left"/>
      <protection locked="0"/>
    </xf>
    <xf numFmtId="0" fontId="4" fillId="0" borderId="0" xfId="0" applyNumberFormat="1" applyFont="1" applyFill="1" applyAlignment="1">
      <alignment horizontal="center"/>
    </xf>
    <xf numFmtId="0" fontId="4" fillId="0" borderId="0" xfId="0" applyFont="1" applyFill="1" applyAlignment="1">
      <alignment horizontal="center"/>
    </xf>
    <xf numFmtId="0" fontId="11" fillId="0" borderId="2" xfId="0" applyFont="1" applyFill="1" applyBorder="1" applyAlignment="1">
      <alignment horizontal="center"/>
    </xf>
    <xf numFmtId="0" fontId="11" fillId="0" borderId="0" xfId="0" applyFont="1" applyFill="1" applyAlignment="1">
      <alignment horizontal="right"/>
    </xf>
    <xf numFmtId="164" fontId="11" fillId="0" borderId="0" xfId="1" applyNumberFormat="1" applyFont="1" applyFill="1"/>
    <xf numFmtId="2" fontId="4" fillId="0" borderId="0" xfId="0" applyNumberFormat="1" applyFont="1" applyFill="1" applyAlignment="1">
      <alignment horizontal="center"/>
    </xf>
    <xf numFmtId="164" fontId="4" fillId="0" borderId="0" xfId="1" applyNumberFormat="1" applyFont="1" applyFill="1" applyBorder="1"/>
    <xf numFmtId="164" fontId="11" fillId="0" borderId="0" xfId="1" applyNumberFormat="1" applyFont="1" applyFill="1" applyBorder="1"/>
    <xf numFmtId="0" fontId="11" fillId="0" borderId="0" xfId="0" applyFont="1" applyFill="1" applyBorder="1"/>
    <xf numFmtId="0" fontId="13" fillId="0" borderId="0" xfId="0" applyFont="1" applyFill="1" applyAlignment="1">
      <alignment horizontal="left"/>
    </xf>
    <xf numFmtId="0" fontId="12" fillId="0" borderId="0" xfId="0" applyFont="1" applyFill="1" applyAlignment="1">
      <alignment horizontal="centerContinuous"/>
    </xf>
    <xf numFmtId="0" fontId="4" fillId="0" borderId="0" xfId="0" applyFont="1" applyFill="1" applyAlignment="1">
      <alignment horizontal="left"/>
    </xf>
    <xf numFmtId="0" fontId="3" fillId="0" borderId="0" xfId="0" applyFont="1" applyFill="1" applyAlignment="1">
      <alignment horizontal="center"/>
    </xf>
    <xf numFmtId="0" fontId="11" fillId="0" borderId="1" xfId="0" applyFont="1" applyFill="1" applyBorder="1" applyAlignment="1">
      <alignment horizontal="center" wrapText="1"/>
    </xf>
    <xf numFmtId="0" fontId="11" fillId="0" borderId="1" xfId="0" applyFont="1" applyFill="1" applyBorder="1" applyAlignment="1">
      <alignment horizontal="center"/>
    </xf>
    <xf numFmtId="0" fontId="1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164" fontId="11" fillId="0" borderId="1" xfId="0" applyNumberFormat="1" applyFont="1" applyBorder="1"/>
    <xf numFmtId="0" fontId="11" fillId="0" borderId="0" xfId="0" applyFont="1" applyFill="1" applyAlignment="1">
      <alignment horizontal="center"/>
    </xf>
    <xf numFmtId="164" fontId="5" fillId="2" borderId="0" xfId="1" applyNumberFormat="1" applyFont="1" applyFill="1" applyBorder="1" applyAlignment="1" applyProtection="1">
      <alignment horizontal="center" wrapText="1"/>
      <protection locked="0"/>
    </xf>
    <xf numFmtId="164" fontId="3" fillId="2" borderId="0" xfId="1" applyNumberFormat="1" applyFont="1" applyFill="1" applyBorder="1" applyAlignment="1" applyProtection="1">
      <alignment horizontal="left"/>
      <protection locked="0"/>
    </xf>
    <xf numFmtId="164" fontId="3" fillId="2" borderId="11" xfId="1" applyNumberFormat="1" applyFont="1" applyFill="1" applyBorder="1" applyAlignment="1" applyProtection="1">
      <alignment horizontal="left"/>
      <protection locked="0"/>
    </xf>
    <xf numFmtId="164" fontId="5" fillId="2" borderId="11" xfId="1" applyNumberFormat="1" applyFont="1" applyFill="1" applyBorder="1" applyAlignment="1" applyProtection="1">
      <alignment horizontal="center" vertical="center" wrapText="1"/>
      <protection locked="0"/>
    </xf>
    <xf numFmtId="164" fontId="5" fillId="2" borderId="10" xfId="1" applyNumberFormat="1" applyFont="1" applyFill="1" applyBorder="1" applyAlignment="1" applyProtection="1">
      <alignment horizontal="center" wrapText="1"/>
      <protection locked="0"/>
    </xf>
    <xf numFmtId="164" fontId="3" fillId="2" borderId="10" xfId="1" applyNumberFormat="1" applyFont="1" applyFill="1" applyBorder="1" applyAlignment="1" applyProtection="1">
      <alignment horizontal="left"/>
      <protection locked="0"/>
    </xf>
    <xf numFmtId="164" fontId="5" fillId="0" borderId="0" xfId="1" applyNumberFormat="1" applyFont="1" applyAlignment="1">
      <alignment horizontal="centerContinuous"/>
    </xf>
    <xf numFmtId="0" fontId="3" fillId="0" borderId="0" xfId="0" applyFont="1" applyAlignment="1">
      <alignment horizontal="centerContinuous"/>
    </xf>
    <xf numFmtId="164" fontId="5" fillId="2" borderId="10" xfId="1" applyNumberFormat="1" applyFont="1" applyFill="1" applyBorder="1" applyAlignment="1" applyProtection="1">
      <alignment horizontal="center" vertical="center" wrapText="1"/>
      <protection locked="0"/>
    </xf>
    <xf numFmtId="164" fontId="5" fillId="2" borderId="11" xfId="1" applyNumberFormat="1" applyFont="1" applyFill="1" applyBorder="1" applyAlignment="1" applyProtection="1">
      <alignment horizontal="center" wrapText="1"/>
      <protection locked="0"/>
    </xf>
    <xf numFmtId="164" fontId="5" fillId="2" borderId="0" xfId="1" applyNumberFormat="1" applyFont="1" applyFill="1" applyBorder="1" applyAlignment="1" applyProtection="1">
      <alignment horizontal="center" vertical="center" wrapText="1"/>
      <protection locked="0"/>
    </xf>
    <xf numFmtId="164" fontId="3" fillId="2" borderId="0" xfId="1" quotePrefix="1" applyNumberFormat="1" applyFont="1" applyFill="1" applyBorder="1" applyAlignment="1" applyProtection="1">
      <alignment horizontal="left"/>
      <protection locked="0"/>
    </xf>
    <xf numFmtId="164" fontId="3" fillId="2" borderId="14" xfId="1" applyNumberFormat="1" applyFont="1" applyFill="1" applyBorder="1" applyAlignment="1" applyProtection="1">
      <alignment horizontal="left"/>
      <protection locked="0"/>
    </xf>
    <xf numFmtId="168" fontId="0" fillId="0" borderId="0" xfId="0" applyNumberFormat="1"/>
    <xf numFmtId="164" fontId="3" fillId="2" borderId="2" xfId="1" applyNumberFormat="1" applyFont="1" applyFill="1" applyBorder="1" applyAlignment="1" applyProtection="1">
      <alignment horizontal="left"/>
      <protection locked="0"/>
    </xf>
    <xf numFmtId="164" fontId="3" fillId="0" borderId="0" xfId="15" applyNumberFormat="1" applyFont="1" applyFill="1" applyBorder="1"/>
    <xf numFmtId="164" fontId="3" fillId="0" borderId="1" xfId="15" applyNumberFormat="1" applyFont="1" applyFill="1" applyBorder="1"/>
    <xf numFmtId="0" fontId="5" fillId="0" borderId="0" xfId="19" applyFont="1"/>
    <xf numFmtId="0" fontId="3" fillId="0" borderId="0" xfId="20" applyFont="1"/>
    <xf numFmtId="0" fontId="3" fillId="0" borderId="0" xfId="19"/>
    <xf numFmtId="0" fontId="5" fillId="0" borderId="0" xfId="19" applyFont="1" applyFill="1"/>
    <xf numFmtId="0" fontId="3" fillId="0" borderId="0" xfId="19" applyFont="1" applyFill="1" applyBorder="1"/>
    <xf numFmtId="0" fontId="3" fillId="0" borderId="1" xfId="23" applyFont="1" applyFill="1" applyBorder="1" applyAlignment="1">
      <alignment horizontal="center" wrapText="1"/>
    </xf>
    <xf numFmtId="0" fontId="3" fillId="0" borderId="0" xfId="19" applyFill="1" applyBorder="1"/>
    <xf numFmtId="0" fontId="3" fillId="0" borderId="0" xfId="19" applyFont="1" applyAlignment="1">
      <alignment horizontal="right"/>
    </xf>
    <xf numFmtId="0" fontId="5" fillId="0" borderId="0" xfId="19" applyFont="1" applyFill="1" applyBorder="1"/>
    <xf numFmtId="0" fontId="3" fillId="0" borderId="0" xfId="19" applyBorder="1"/>
    <xf numFmtId="0" fontId="3" fillId="0" borderId="0" xfId="23" applyFont="1" applyFill="1" applyBorder="1" applyAlignment="1">
      <alignment wrapText="1"/>
    </xf>
    <xf numFmtId="0" fontId="3" fillId="0" borderId="0" xfId="19" applyAlignment="1">
      <alignment wrapText="1"/>
    </xf>
    <xf numFmtId="0" fontId="5" fillId="0" borderId="0" xfId="23" applyFont="1" applyFill="1" applyBorder="1"/>
    <xf numFmtId="0" fontId="3" fillId="0" borderId="0" xfId="23" applyFont="1" applyFill="1" applyBorder="1"/>
    <xf numFmtId="0" fontId="0" fillId="2" borderId="0" xfId="23" applyFont="1" applyFill="1" applyBorder="1"/>
    <xf numFmtId="164" fontId="3" fillId="2" borderId="0" xfId="15" applyNumberFormat="1" applyFont="1" applyFill="1" applyBorder="1"/>
    <xf numFmtId="169" fontId="3" fillId="0" borderId="0" xfId="24" applyNumberFormat="1" applyFont="1" applyFill="1" applyBorder="1"/>
    <xf numFmtId="169" fontId="0" fillId="0" borderId="0" xfId="24" applyNumberFormat="1" applyFont="1" applyFill="1" applyBorder="1"/>
    <xf numFmtId="164" fontId="3" fillId="0" borderId="0" xfId="19" applyNumberFormat="1"/>
    <xf numFmtId="43" fontId="3" fillId="0" borderId="0" xfId="19" applyNumberFormat="1"/>
    <xf numFmtId="0" fontId="6" fillId="0" borderId="0" xfId="19" applyFont="1" applyFill="1" applyBorder="1"/>
    <xf numFmtId="169" fontId="6" fillId="0" borderId="0" xfId="24" applyNumberFormat="1" applyFont="1" applyFill="1" applyBorder="1"/>
    <xf numFmtId="0" fontId="0" fillId="0" borderId="0" xfId="19" applyFont="1" applyFill="1" applyBorder="1"/>
    <xf numFmtId="0" fontId="0" fillId="2" borderId="0" xfId="19" applyFont="1" applyFill="1" applyBorder="1"/>
    <xf numFmtId="0" fontId="3" fillId="2" borderId="0" xfId="19" applyFont="1" applyFill="1" applyBorder="1"/>
    <xf numFmtId="0" fontId="5" fillId="2" borderId="0" xfId="19" applyFont="1" applyFill="1" applyBorder="1"/>
    <xf numFmtId="169" fontId="5" fillId="2" borderId="5" xfId="19" applyNumberFormat="1" applyFont="1" applyFill="1" applyBorder="1"/>
    <xf numFmtId="169" fontId="5" fillId="0" borderId="0" xfId="19" applyNumberFormat="1" applyFont="1" applyFill="1" applyBorder="1"/>
    <xf numFmtId="0" fontId="11" fillId="0" borderId="0" xfId="19" applyFont="1" applyFill="1" applyBorder="1" applyAlignment="1">
      <alignment horizontal="center"/>
    </xf>
    <xf numFmtId="10" fontId="3" fillId="0" borderId="0" xfId="11" applyNumberFormat="1" applyFont="1" applyFill="1" applyBorder="1"/>
    <xf numFmtId="0" fontId="3" fillId="0" borderId="0" xfId="25" applyFont="1" applyFill="1"/>
    <xf numFmtId="17" fontId="3" fillId="0" borderId="2" xfId="25" applyNumberFormat="1" applyFont="1" applyFill="1" applyBorder="1" applyAlignment="1">
      <alignment horizontal="center"/>
    </xf>
    <xf numFmtId="0" fontId="0" fillId="0" borderId="2" xfId="19" applyFont="1" applyBorder="1" applyAlignment="1">
      <alignment horizontal="center"/>
    </xf>
    <xf numFmtId="0" fontId="20" fillId="0" borderId="0" xfId="25" applyFont="1" applyFill="1"/>
    <xf numFmtId="0" fontId="0" fillId="0" borderId="0" xfId="25" applyFont="1" applyFill="1" applyAlignment="1">
      <alignment horizontal="left"/>
    </xf>
    <xf numFmtId="164" fontId="0" fillId="0" borderId="0" xfId="26" applyNumberFormat="1" applyFont="1"/>
    <xf numFmtId="164" fontId="5" fillId="0" borderId="0" xfId="26" applyNumberFormat="1" applyFont="1" applyBorder="1" applyAlignment="1">
      <alignment horizontal="center"/>
    </xf>
    <xf numFmtId="10" fontId="3" fillId="0" borderId="0" xfId="27" applyNumberFormat="1" applyFont="1" applyFill="1" applyBorder="1"/>
    <xf numFmtId="164" fontId="0" fillId="0" borderId="2" xfId="26" applyNumberFormat="1" applyFont="1" applyBorder="1"/>
    <xf numFmtId="0" fontId="0" fillId="0" borderId="0" xfId="25" applyFont="1" applyFill="1" applyAlignment="1">
      <alignment horizontal="left" indent="1"/>
    </xf>
    <xf numFmtId="164" fontId="5" fillId="0" borderId="0" xfId="25" applyNumberFormat="1" applyFont="1" applyFill="1"/>
    <xf numFmtId="2" fontId="14" fillId="0" borderId="0" xfId="26" applyNumberFormat="1" applyFont="1" applyAlignment="1">
      <alignment horizontal="center"/>
    </xf>
    <xf numFmtId="0" fontId="3" fillId="0" borderId="2" xfId="19" applyBorder="1" applyAlignment="1">
      <alignment horizontal="center"/>
    </xf>
    <xf numFmtId="0" fontId="3" fillId="0" borderId="0" xfId="19" applyFont="1"/>
    <xf numFmtId="164" fontId="3" fillId="0" borderId="0" xfId="26" applyNumberFormat="1" applyFont="1"/>
    <xf numFmtId="0" fontId="0" fillId="0" borderId="0" xfId="19" applyFont="1"/>
    <xf numFmtId="164" fontId="0" fillId="0" borderId="0" xfId="26" applyNumberFormat="1" applyFont="1" applyBorder="1"/>
    <xf numFmtId="10" fontId="0" fillId="0" borderId="2" xfId="27" applyNumberFormat="1" applyFont="1" applyBorder="1"/>
    <xf numFmtId="164" fontId="25" fillId="0" borderId="5" xfId="26" applyNumberFormat="1" applyFont="1" applyBorder="1"/>
    <xf numFmtId="0" fontId="3" fillId="0" borderId="0" xfId="28"/>
    <xf numFmtId="0" fontId="0" fillId="0" borderId="2" xfId="28" applyFont="1" applyBorder="1"/>
    <xf numFmtId="0" fontId="3" fillId="0" borderId="2" xfId="28" applyBorder="1"/>
    <xf numFmtId="0" fontId="3" fillId="0" borderId="0" xfId="28" applyBorder="1" applyAlignment="1">
      <alignment horizontal="center"/>
    </xf>
    <xf numFmtId="0" fontId="5" fillId="0" borderId="0" xfId="28" applyFont="1" applyAlignment="1">
      <alignment horizontal="center"/>
    </xf>
    <xf numFmtId="14" fontId="3" fillId="0" borderId="0" xfId="28" applyNumberFormat="1"/>
    <xf numFmtId="0" fontId="22" fillId="0" borderId="37" xfId="29" quotePrefix="1" applyNumberFormat="1">
      <alignment horizontal="left" vertical="center" indent="1"/>
    </xf>
    <xf numFmtId="0" fontId="22" fillId="0" borderId="37" xfId="29" applyNumberFormat="1">
      <alignment horizontal="left" vertical="center" indent="1"/>
    </xf>
    <xf numFmtId="173" fontId="26" fillId="0" borderId="37" xfId="30" applyNumberFormat="1" applyFont="1">
      <alignment horizontal="right" vertical="center"/>
    </xf>
    <xf numFmtId="0" fontId="23" fillId="0" borderId="0" xfId="0" applyFont="1"/>
    <xf numFmtId="0" fontId="21" fillId="0" borderId="0" xfId="0" applyFont="1" applyFill="1" applyAlignment="1">
      <alignment horizontal="center"/>
    </xf>
    <xf numFmtId="0" fontId="21" fillId="0" borderId="0" xfId="0" applyFont="1" applyFill="1"/>
    <xf numFmtId="49" fontId="28" fillId="0" borderId="0" xfId="0" applyNumberFormat="1" applyFont="1" applyFill="1" applyBorder="1" applyAlignment="1"/>
    <xf numFmtId="0" fontId="28" fillId="0" borderId="0" xfId="0" applyFont="1" applyFill="1" applyBorder="1" applyAlignment="1"/>
    <xf numFmtId="37" fontId="28" fillId="0" borderId="0" xfId="0" applyNumberFormat="1" applyFont="1" applyFill="1" applyBorder="1" applyAlignment="1"/>
    <xf numFmtId="0" fontId="23" fillId="0" borderId="0" xfId="0" applyFont="1" applyFill="1"/>
    <xf numFmtId="49" fontId="21" fillId="0" borderId="0" xfId="0" applyNumberFormat="1" applyFont="1" applyFill="1"/>
    <xf numFmtId="0" fontId="21" fillId="0" borderId="0" xfId="0" applyFont="1" applyFill="1" applyBorder="1" applyAlignment="1">
      <alignment horizontal="center"/>
    </xf>
    <xf numFmtId="37" fontId="21" fillId="0" borderId="0" xfId="0" applyNumberFormat="1" applyFont="1" applyFill="1" applyAlignment="1">
      <alignment horizontal="center"/>
    </xf>
    <xf numFmtId="49" fontId="29" fillId="0" borderId="0" xfId="0" applyNumberFormat="1" applyFont="1" applyFill="1" applyAlignment="1">
      <alignment horizontal="right"/>
    </xf>
    <xf numFmtId="0" fontId="29" fillId="0" borderId="0" xfId="0" applyFont="1" applyFill="1" applyAlignment="1">
      <alignment horizontal="center"/>
    </xf>
    <xf numFmtId="37" fontId="21" fillId="0" borderId="0" xfId="7" applyNumberFormat="1" applyFont="1" applyFill="1" applyAlignment="1">
      <alignment horizontal="center"/>
    </xf>
    <xf numFmtId="0" fontId="29" fillId="0" borderId="0" xfId="0" applyFont="1" applyFill="1" applyBorder="1" applyAlignment="1">
      <alignment horizontal="left"/>
    </xf>
    <xf numFmtId="49" fontId="21" fillId="0" borderId="0" xfId="0" applyNumberFormat="1" applyFont="1" applyFill="1" applyAlignment="1">
      <alignment horizontal="center"/>
    </xf>
    <xf numFmtId="0" fontId="21" fillId="0" borderId="2" xfId="0" applyFont="1" applyFill="1" applyBorder="1" applyAlignment="1">
      <alignment horizontal="left"/>
    </xf>
    <xf numFmtId="49" fontId="21" fillId="0" borderId="2" xfId="0" applyNumberFormat="1" applyFont="1" applyFill="1" applyBorder="1" applyAlignment="1">
      <alignment horizontal="center"/>
    </xf>
    <xf numFmtId="0" fontId="21" fillId="0" borderId="2" xfId="0" applyFont="1" applyFill="1" applyBorder="1" applyAlignment="1">
      <alignment horizontal="center"/>
    </xf>
    <xf numFmtId="37" fontId="21" fillId="0" borderId="2" xfId="7" applyNumberFormat="1" applyFont="1" applyFill="1" applyBorder="1" applyAlignment="1">
      <alignment horizontal="center"/>
    </xf>
    <xf numFmtId="49" fontId="21" fillId="0" borderId="0" xfId="0" applyNumberFormat="1" applyFont="1" applyFill="1" applyBorder="1" applyAlignment="1">
      <alignment horizontal="center"/>
    </xf>
    <xf numFmtId="37" fontId="21" fillId="0" borderId="0" xfId="7" applyNumberFormat="1" applyFont="1" applyFill="1" applyBorder="1" applyAlignment="1">
      <alignment horizontal="center"/>
    </xf>
    <xf numFmtId="0" fontId="21" fillId="0" borderId="0" xfId="0" applyFont="1" applyFill="1" applyBorder="1" applyAlignment="1">
      <alignment horizontal="left"/>
    </xf>
    <xf numFmtId="169" fontId="21" fillId="0" borderId="0" xfId="7" applyNumberFormat="1" applyFont="1" applyFill="1" applyBorder="1" applyAlignment="1"/>
    <xf numFmtId="169" fontId="21" fillId="0" borderId="0" xfId="7" applyNumberFormat="1" applyFont="1" applyFill="1" applyAlignment="1"/>
    <xf numFmtId="37" fontId="21" fillId="0" borderId="0" xfId="7" applyNumberFormat="1" applyFont="1" applyFill="1" applyBorder="1"/>
    <xf numFmtId="169" fontId="21" fillId="0" borderId="0" xfId="7" applyNumberFormat="1" applyFont="1" applyFill="1"/>
    <xf numFmtId="0" fontId="31" fillId="0" borderId="0" xfId="0" applyFont="1" applyFill="1" applyBorder="1" applyAlignment="1">
      <alignment horizontal="center"/>
    </xf>
    <xf numFmtId="5" fontId="21" fillId="0" borderId="0" xfId="0" applyNumberFormat="1" applyFont="1" applyFill="1" applyBorder="1" applyAlignment="1"/>
    <xf numFmtId="37" fontId="21" fillId="0" borderId="0" xfId="0" applyNumberFormat="1" applyFont="1" applyFill="1" applyBorder="1" applyAlignment="1"/>
    <xf numFmtId="164" fontId="21" fillId="0" borderId="0" xfId="1" applyNumberFormat="1" applyFont="1" applyFill="1" applyBorder="1" applyAlignment="1"/>
    <xf numFmtId="37" fontId="21" fillId="0" borderId="0" xfId="1" applyNumberFormat="1" applyFont="1" applyFill="1"/>
    <xf numFmtId="37" fontId="21" fillId="0" borderId="0" xfId="1" applyNumberFormat="1" applyFont="1" applyFill="1" applyBorder="1"/>
    <xf numFmtId="164" fontId="21" fillId="0" borderId="0" xfId="1" applyNumberFormat="1" applyFont="1" applyFill="1" applyAlignment="1"/>
    <xf numFmtId="0" fontId="21" fillId="0" borderId="0" xfId="0" applyFont="1" applyFill="1" applyAlignment="1">
      <alignment horizontal="left"/>
    </xf>
    <xf numFmtId="37" fontId="21" fillId="0" borderId="0" xfId="1" applyNumberFormat="1" applyFont="1" applyFill="1" applyBorder="1" applyAlignment="1">
      <alignment wrapText="1"/>
    </xf>
    <xf numFmtId="37" fontId="21" fillId="0" borderId="0" xfId="0" applyNumberFormat="1" applyFont="1" applyFill="1"/>
    <xf numFmtId="49" fontId="21" fillId="0" borderId="0" xfId="0" quotePrefix="1" applyNumberFormat="1" applyFont="1" applyFill="1" applyBorder="1" applyAlignment="1">
      <alignment horizontal="center"/>
    </xf>
    <xf numFmtId="0" fontId="21" fillId="0" borderId="0" xfId="0" applyFont="1" applyFill="1" applyBorder="1"/>
    <xf numFmtId="37" fontId="21" fillId="0" borderId="0" xfId="0" applyNumberFormat="1" applyFont="1" applyFill="1" applyBorder="1"/>
    <xf numFmtId="37" fontId="21" fillId="0" borderId="0" xfId="0" applyNumberFormat="1" applyFont="1" applyFill="1" applyBorder="1" applyAlignment="1">
      <alignment horizontal="right"/>
    </xf>
    <xf numFmtId="169" fontId="21" fillId="0" borderId="0" xfId="7" applyNumberFormat="1" applyFont="1" applyFill="1" applyBorder="1"/>
    <xf numFmtId="170" fontId="21" fillId="0" borderId="0" xfId="8" applyFont="1" applyFill="1" applyAlignment="1">
      <alignment horizontal="left"/>
    </xf>
    <xf numFmtId="164" fontId="31" fillId="0" borderId="5" xfId="0" applyNumberFormat="1" applyFont="1" applyFill="1" applyBorder="1" applyAlignment="1">
      <alignment horizontal="right"/>
    </xf>
    <xf numFmtId="0" fontId="31" fillId="0" borderId="0" xfId="0" applyFont="1" applyFill="1" applyAlignment="1">
      <alignment horizontal="left"/>
    </xf>
    <xf numFmtId="49" fontId="31" fillId="0" borderId="0" xfId="0" applyNumberFormat="1" applyFont="1" applyFill="1"/>
    <xf numFmtId="169" fontId="31" fillId="0" borderId="0" xfId="0" applyNumberFormat="1" applyFont="1" applyFill="1" applyAlignment="1">
      <alignment horizontal="center"/>
    </xf>
    <xf numFmtId="5" fontId="21" fillId="0" borderId="0" xfId="0" applyNumberFormat="1" applyFont="1" applyFill="1" applyBorder="1" applyAlignment="1">
      <alignment horizontal="right"/>
    </xf>
    <xf numFmtId="168" fontId="21" fillId="0" borderId="0" xfId="2" applyNumberFormat="1" applyFont="1" applyFill="1"/>
    <xf numFmtId="164" fontId="21" fillId="0" borderId="0" xfId="0" applyNumberFormat="1" applyFont="1" applyFill="1" applyBorder="1"/>
    <xf numFmtId="171" fontId="21" fillId="0" borderId="0" xfId="1" applyNumberFormat="1" applyFont="1" applyFill="1" applyBorder="1" applyAlignment="1">
      <alignment horizontal="right"/>
    </xf>
    <xf numFmtId="10" fontId="21" fillId="0" borderId="0" xfId="2" applyNumberFormat="1" applyFont="1" applyFill="1" applyBorder="1" applyAlignment="1"/>
    <xf numFmtId="0" fontId="31" fillId="0" borderId="3" xfId="0" applyFont="1" applyFill="1" applyBorder="1" applyAlignment="1">
      <alignment horizontal="left"/>
    </xf>
    <xf numFmtId="49" fontId="31" fillId="0" borderId="3" xfId="0" applyNumberFormat="1" applyFont="1" applyFill="1" applyBorder="1"/>
    <xf numFmtId="164" fontId="31" fillId="0" borderId="3" xfId="0" applyNumberFormat="1" applyFont="1" applyFill="1" applyBorder="1" applyAlignment="1">
      <alignment horizontal="center"/>
    </xf>
    <xf numFmtId="164" fontId="31" fillId="0" borderId="3" xfId="1" applyNumberFormat="1" applyFont="1" applyFill="1" applyBorder="1" applyAlignment="1">
      <alignment horizontal="center"/>
    </xf>
    <xf numFmtId="5" fontId="31" fillId="0" borderId="3" xfId="0" applyNumberFormat="1" applyFont="1" applyFill="1" applyBorder="1" applyAlignment="1">
      <alignment horizontal="right"/>
    </xf>
    <xf numFmtId="0" fontId="32" fillId="0" borderId="0" xfId="0" applyFont="1" applyFill="1" applyAlignment="1">
      <alignment horizontal="left"/>
    </xf>
    <xf numFmtId="0" fontId="33" fillId="0" borderId="0" xfId="0" applyFont="1" applyFill="1" applyAlignment="1">
      <alignment horizontal="left"/>
    </xf>
    <xf numFmtId="10" fontId="33" fillId="0" borderId="0" xfId="2" applyNumberFormat="1" applyFont="1" applyFill="1"/>
    <xf numFmtId="165" fontId="33" fillId="0" borderId="0" xfId="2" applyNumberFormat="1" applyFont="1" applyFill="1"/>
    <xf numFmtId="168" fontId="33" fillId="0" borderId="0" xfId="2" applyNumberFormat="1" applyFont="1" applyFill="1"/>
    <xf numFmtId="37" fontId="33" fillId="0" borderId="0" xfId="2" applyNumberFormat="1" applyFont="1" applyFill="1"/>
    <xf numFmtId="0" fontId="33" fillId="0" borderId="2" xfId="0" applyFont="1" applyFill="1" applyBorder="1" applyAlignment="1" applyProtection="1">
      <alignment horizontal="left"/>
    </xf>
    <xf numFmtId="10" fontId="33" fillId="0" borderId="2" xfId="2" applyNumberFormat="1" applyFont="1" applyFill="1" applyBorder="1"/>
    <xf numFmtId="165" fontId="33" fillId="0" borderId="2" xfId="2" applyNumberFormat="1" applyFont="1" applyFill="1" applyBorder="1"/>
    <xf numFmtId="168" fontId="33" fillId="0" borderId="2" xfId="2" applyNumberFormat="1" applyFont="1" applyFill="1" applyBorder="1"/>
    <xf numFmtId="0" fontId="33" fillId="0" borderId="0" xfId="0" applyFont="1" applyFill="1" applyAlignment="1" applyProtection="1">
      <alignment horizontal="left"/>
    </xf>
    <xf numFmtId="10" fontId="21" fillId="0" borderId="0" xfId="0" applyNumberFormat="1" applyFont="1" applyFill="1"/>
    <xf numFmtId="167" fontId="21" fillId="0" borderId="0" xfId="2" applyNumberFormat="1" applyFont="1" applyFill="1" applyBorder="1" applyAlignment="1">
      <alignment horizontal="right"/>
    </xf>
    <xf numFmtId="9" fontId="21" fillId="0" borderId="0" xfId="2" applyFont="1" applyFill="1" applyBorder="1" applyAlignment="1">
      <alignment horizontal="right"/>
    </xf>
    <xf numFmtId="0" fontId="31" fillId="0" borderId="0" xfId="1" applyNumberFormat="1" applyFont="1" applyAlignment="1">
      <alignment horizontal="centerContinuous"/>
    </xf>
    <xf numFmtId="0" fontId="21" fillId="0" borderId="0" xfId="0" applyNumberFormat="1" applyFont="1" applyAlignment="1">
      <alignment horizontal="centerContinuous"/>
    </xf>
    <xf numFmtId="0" fontId="21" fillId="0" borderId="0" xfId="0" applyFont="1"/>
    <xf numFmtId="0" fontId="21" fillId="0" borderId="0" xfId="0" applyFont="1" applyFill="1" applyBorder="1" applyAlignment="1"/>
    <xf numFmtId="49" fontId="21" fillId="0" borderId="0" xfId="0" applyNumberFormat="1" applyFont="1" applyFill="1" applyBorder="1" applyAlignment="1"/>
    <xf numFmtId="43" fontId="21" fillId="0" borderId="0" xfId="1" applyFont="1" applyFill="1"/>
    <xf numFmtId="164" fontId="21" fillId="0" borderId="0" xfId="1" applyNumberFormat="1" applyFont="1" applyFill="1"/>
    <xf numFmtId="0" fontId="23" fillId="0" borderId="0" xfId="0" applyFont="1" applyFill="1" applyBorder="1"/>
    <xf numFmtId="0" fontId="31" fillId="0" borderId="0" xfId="1" applyNumberFormat="1" applyFont="1" applyFill="1" applyBorder="1" applyAlignment="1">
      <alignment horizontal="centerContinuous"/>
    </xf>
    <xf numFmtId="0" fontId="21" fillId="0" borderId="0" xfId="1" applyNumberFormat="1" applyFont="1" applyFill="1" applyAlignment="1">
      <alignment horizontal="centerContinuous"/>
    </xf>
    <xf numFmtId="0" fontId="21" fillId="0" borderId="0" xfId="1" applyNumberFormat="1" applyFont="1" applyFill="1" applyBorder="1" applyAlignment="1">
      <alignment horizontal="centerContinuous"/>
    </xf>
    <xf numFmtId="0" fontId="31" fillId="0" borderId="0" xfId="1" applyNumberFormat="1" applyFont="1" applyFill="1" applyAlignment="1">
      <alignment horizontal="centerContinuous"/>
    </xf>
    <xf numFmtId="164" fontId="21" fillId="0" borderId="0" xfId="1" applyNumberFormat="1" applyFont="1" applyFill="1" applyBorder="1"/>
    <xf numFmtId="164" fontId="34" fillId="0" borderId="0" xfId="1" applyNumberFormat="1" applyFont="1" applyFill="1" applyBorder="1" applyAlignment="1">
      <alignment horizontal="left"/>
    </xf>
    <xf numFmtId="164" fontId="31" fillId="0" borderId="0" xfId="1" applyNumberFormat="1" applyFont="1" applyFill="1" applyAlignment="1">
      <alignment horizontal="left"/>
    </xf>
    <xf numFmtId="164" fontId="31" fillId="0" borderId="0" xfId="1" applyNumberFormat="1" applyFont="1" applyFill="1" applyBorder="1"/>
    <xf numFmtId="164" fontId="35" fillId="0" borderId="0" xfId="1" applyNumberFormat="1" applyFont="1" applyFill="1" applyBorder="1" applyAlignment="1">
      <alignment horizontal="center" wrapText="1"/>
    </xf>
    <xf numFmtId="164" fontId="31" fillId="0" borderId="36" xfId="1" applyNumberFormat="1" applyFont="1" applyFill="1" applyBorder="1"/>
    <xf numFmtId="164" fontId="31" fillId="0" borderId="36" xfId="1" applyNumberFormat="1" applyFont="1" applyFill="1" applyBorder="1" applyAlignment="1">
      <alignment horizontal="centerContinuous"/>
    </xf>
    <xf numFmtId="0" fontId="31" fillId="0" borderId="22" xfId="1" applyNumberFormat="1" applyFont="1" applyFill="1" applyBorder="1" applyAlignment="1">
      <alignment horizontal="centerContinuous"/>
    </xf>
    <xf numFmtId="0" fontId="31" fillId="0" borderId="23" xfId="1" applyNumberFormat="1" applyFont="1" applyFill="1" applyBorder="1" applyAlignment="1">
      <alignment horizontal="centerContinuous"/>
    </xf>
    <xf numFmtId="0" fontId="31" fillId="0" borderId="21" xfId="1" applyNumberFormat="1" applyFont="1" applyFill="1" applyBorder="1" applyAlignment="1">
      <alignment horizontal="centerContinuous" readingOrder="1"/>
    </xf>
    <xf numFmtId="0" fontId="31" fillId="0" borderId="22" xfId="1" applyNumberFormat="1" applyFont="1" applyFill="1" applyBorder="1" applyAlignment="1">
      <alignment horizontal="centerContinuous" readingOrder="1"/>
    </xf>
    <xf numFmtId="164" fontId="31" fillId="0" borderId="21" xfId="1" applyNumberFormat="1" applyFont="1" applyFill="1" applyBorder="1" applyAlignment="1">
      <alignment horizontal="centerContinuous"/>
    </xf>
    <xf numFmtId="164" fontId="21" fillId="0" borderId="23" xfId="1" applyNumberFormat="1" applyFont="1" applyFill="1" applyBorder="1" applyAlignment="1">
      <alignment horizontal="centerContinuous"/>
    </xf>
    <xf numFmtId="164" fontId="31" fillId="0" borderId="0" xfId="1" applyNumberFormat="1" applyFont="1" applyFill="1"/>
    <xf numFmtId="164" fontId="21" fillId="0" borderId="24" xfId="1" applyNumberFormat="1" applyFont="1" applyFill="1" applyBorder="1"/>
    <xf numFmtId="164" fontId="21" fillId="0" borderId="24" xfId="1" quotePrefix="1" applyNumberFormat="1" applyFont="1" applyFill="1" applyBorder="1" applyAlignment="1" applyProtection="1">
      <alignment horizontal="center"/>
      <protection locked="0"/>
    </xf>
    <xf numFmtId="164" fontId="21" fillId="0" borderId="0" xfId="1" quotePrefix="1" applyNumberFormat="1" applyFont="1" applyFill="1" applyBorder="1" applyAlignment="1" applyProtection="1">
      <alignment horizontal="center"/>
      <protection locked="0"/>
    </xf>
    <xf numFmtId="164" fontId="21" fillId="0" borderId="11" xfId="1" quotePrefix="1" applyNumberFormat="1" applyFont="1" applyFill="1" applyBorder="1" applyAlignment="1" applyProtection="1">
      <alignment horizontal="center"/>
      <protection locked="0"/>
    </xf>
    <xf numFmtId="164" fontId="21" fillId="0" borderId="33" xfId="1" quotePrefix="1" applyNumberFormat="1" applyFont="1" applyFill="1" applyBorder="1" applyAlignment="1" applyProtection="1">
      <alignment horizontal="center"/>
      <protection locked="0"/>
    </xf>
    <xf numFmtId="164" fontId="21" fillId="0" borderId="34" xfId="1" quotePrefix="1" applyNumberFormat="1" applyFont="1" applyFill="1" applyBorder="1" applyAlignment="1" applyProtection="1">
      <alignment horizontal="center"/>
      <protection locked="0"/>
    </xf>
    <xf numFmtId="164" fontId="21" fillId="0" borderId="10" xfId="1" quotePrefix="1" applyNumberFormat="1" applyFont="1" applyFill="1" applyBorder="1" applyAlignment="1" applyProtection="1">
      <alignment horizontal="center"/>
      <protection locked="0"/>
    </xf>
    <xf numFmtId="164" fontId="31" fillId="0" borderId="26" xfId="1" applyNumberFormat="1" applyFont="1" applyFill="1" applyBorder="1" applyAlignment="1">
      <alignment horizontal="center" vertical="center"/>
    </xf>
    <xf numFmtId="164" fontId="31" fillId="0" borderId="26" xfId="1" applyNumberFormat="1" applyFont="1" applyFill="1" applyBorder="1" applyAlignment="1" applyProtection="1">
      <alignment horizontal="center" vertical="center" wrapText="1"/>
      <protection locked="0"/>
    </xf>
    <xf numFmtId="164" fontId="31" fillId="0" borderId="2" xfId="1" applyNumberFormat="1" applyFont="1" applyFill="1" applyBorder="1" applyAlignment="1" applyProtection="1">
      <alignment horizontal="center" vertical="center" wrapText="1"/>
      <protection locked="0"/>
    </xf>
    <xf numFmtId="164" fontId="31" fillId="0" borderId="15" xfId="1" applyNumberFormat="1" applyFont="1" applyFill="1" applyBorder="1" applyAlignment="1" applyProtection="1">
      <alignment horizontal="center" vertical="center" wrapText="1"/>
      <protection locked="0"/>
    </xf>
    <xf numFmtId="164" fontId="31" fillId="0" borderId="14" xfId="1" applyNumberFormat="1" applyFont="1" applyFill="1" applyBorder="1" applyAlignment="1" applyProtection="1">
      <alignment horizontal="center" vertical="center" wrapText="1"/>
      <protection locked="0"/>
    </xf>
    <xf numFmtId="164" fontId="31" fillId="0" borderId="0" xfId="1" applyNumberFormat="1" applyFont="1" applyFill="1" applyAlignment="1">
      <alignment vertical="center"/>
    </xf>
    <xf numFmtId="164" fontId="21" fillId="0" borderId="24" xfId="1" applyNumberFormat="1" applyFont="1" applyFill="1" applyBorder="1" applyAlignment="1" applyProtection="1">
      <alignment horizontal="center"/>
      <protection locked="0"/>
    </xf>
    <xf numFmtId="164" fontId="21" fillId="0" borderId="0" xfId="1" applyNumberFormat="1" applyFont="1" applyFill="1" applyBorder="1" applyProtection="1">
      <protection locked="0"/>
    </xf>
    <xf numFmtId="164" fontId="21" fillId="0" borderId="11" xfId="1" applyNumberFormat="1" applyFont="1" applyFill="1" applyBorder="1" applyProtection="1">
      <protection locked="0"/>
    </xf>
    <xf numFmtId="164" fontId="21" fillId="0" borderId="10" xfId="1" applyNumberFormat="1" applyFont="1" applyFill="1" applyBorder="1" applyProtection="1">
      <protection locked="0"/>
    </xf>
    <xf numFmtId="164" fontId="21" fillId="0" borderId="0" xfId="1" applyNumberFormat="1" applyFont="1" applyFill="1" applyBorder="1" applyAlignment="1" applyProtection="1">
      <alignment horizontal="center"/>
      <protection locked="0"/>
    </xf>
    <xf numFmtId="164" fontId="21" fillId="0" borderId="11" xfId="1" applyNumberFormat="1" applyFont="1" applyFill="1" applyBorder="1" applyAlignment="1" applyProtection="1">
      <alignment horizontal="center"/>
      <protection locked="0"/>
    </xf>
    <xf numFmtId="164" fontId="31" fillId="0" borderId="24" xfId="1" applyNumberFormat="1" applyFont="1" applyFill="1" applyBorder="1" applyAlignment="1">
      <alignment vertical="center"/>
    </xf>
    <xf numFmtId="164" fontId="21" fillId="0" borderId="24" xfId="1" applyNumberFormat="1" applyFont="1" applyFill="1" applyBorder="1" applyProtection="1">
      <protection locked="0"/>
    </xf>
    <xf numFmtId="164" fontId="21" fillId="0" borderId="24" xfId="1" quotePrefix="1" applyNumberFormat="1" applyFont="1" applyFill="1" applyBorder="1" applyAlignment="1" applyProtection="1">
      <alignment horizontal="left"/>
      <protection locked="0"/>
    </xf>
    <xf numFmtId="164" fontId="21" fillId="0" borderId="0" xfId="1" quotePrefix="1" applyNumberFormat="1" applyFont="1" applyFill="1" applyBorder="1" applyAlignment="1" applyProtection="1">
      <alignment horizontal="left"/>
      <protection locked="0"/>
    </xf>
    <xf numFmtId="164" fontId="21" fillId="0" borderId="11" xfId="1" quotePrefix="1" applyNumberFormat="1" applyFont="1" applyFill="1" applyBorder="1" applyAlignment="1" applyProtection="1">
      <alignment horizontal="left"/>
      <protection locked="0"/>
    </xf>
    <xf numFmtId="164" fontId="21" fillId="0" borderId="10" xfId="1" quotePrefix="1" applyNumberFormat="1" applyFont="1" applyFill="1" applyBorder="1" applyAlignment="1" applyProtection="1">
      <alignment horizontal="left"/>
      <protection locked="0"/>
    </xf>
    <xf numFmtId="164" fontId="21" fillId="0" borderId="0" xfId="1" applyNumberFormat="1" applyFont="1" applyFill="1" applyBorder="1" applyAlignment="1" applyProtection="1">
      <alignment horizontal="left"/>
      <protection locked="0"/>
    </xf>
    <xf numFmtId="164" fontId="31" fillId="0" borderId="25" xfId="1" applyNumberFormat="1" applyFont="1" applyFill="1" applyBorder="1" applyAlignment="1">
      <alignment vertical="center"/>
    </xf>
    <xf numFmtId="164" fontId="21" fillId="0" borderId="25" xfId="1" applyNumberFormat="1" applyFont="1" applyFill="1" applyBorder="1" applyProtection="1">
      <protection locked="0"/>
    </xf>
    <xf numFmtId="164" fontId="21" fillId="0" borderId="1" xfId="1" applyNumberFormat="1" applyFont="1" applyFill="1" applyBorder="1" applyProtection="1">
      <protection locked="0"/>
    </xf>
    <xf numFmtId="164" fontId="21" fillId="0" borderId="13" xfId="1" applyNumberFormat="1" applyFont="1" applyFill="1" applyBorder="1" applyProtection="1">
      <protection locked="0"/>
    </xf>
    <xf numFmtId="164" fontId="21" fillId="0" borderId="12" xfId="1" applyNumberFormat="1" applyFont="1" applyFill="1" applyBorder="1" applyProtection="1">
      <protection locked="0"/>
    </xf>
    <xf numFmtId="164" fontId="21" fillId="0" borderId="28" xfId="1" applyNumberFormat="1" applyFont="1" applyFill="1" applyBorder="1" applyProtection="1">
      <protection locked="0"/>
    </xf>
    <xf numFmtId="164" fontId="21" fillId="0" borderId="4" xfId="1" applyNumberFormat="1" applyFont="1" applyFill="1" applyBorder="1" applyProtection="1">
      <protection locked="0"/>
    </xf>
    <xf numFmtId="164" fontId="21" fillId="0" borderId="31" xfId="1" applyNumberFormat="1" applyFont="1" applyFill="1" applyBorder="1" applyProtection="1">
      <protection locked="0"/>
    </xf>
    <xf numFmtId="164" fontId="21" fillId="0" borderId="30" xfId="1" applyNumberFormat="1" applyFont="1" applyFill="1" applyBorder="1" applyProtection="1">
      <protection locked="0"/>
    </xf>
    <xf numFmtId="164" fontId="31" fillId="0" borderId="28" xfId="1" applyNumberFormat="1" applyFont="1" applyFill="1" applyBorder="1" applyAlignment="1">
      <alignment vertical="center"/>
    </xf>
    <xf numFmtId="164" fontId="31" fillId="0" borderId="27" xfId="1" applyNumberFormat="1" applyFont="1" applyFill="1" applyBorder="1" applyAlignment="1">
      <alignment vertical="center"/>
    </xf>
    <xf numFmtId="164" fontId="21" fillId="0" borderId="27" xfId="1" applyNumberFormat="1" applyFont="1" applyFill="1" applyBorder="1" applyAlignment="1"/>
    <xf numFmtId="164" fontId="21" fillId="0" borderId="3" xfId="1" applyNumberFormat="1" applyFont="1" applyFill="1" applyBorder="1" applyAlignment="1"/>
    <xf numFmtId="164" fontId="21" fillId="0" borderId="17" xfId="1" applyNumberFormat="1" applyFont="1" applyFill="1" applyBorder="1" applyAlignment="1"/>
    <xf numFmtId="164" fontId="21" fillId="0" borderId="16" xfId="1" applyNumberFormat="1" applyFont="1" applyFill="1" applyBorder="1" applyAlignment="1"/>
    <xf numFmtId="164" fontId="21" fillId="0" borderId="25" xfId="1" quotePrefix="1" applyNumberFormat="1" applyFont="1" applyFill="1" applyBorder="1" applyAlignment="1" applyProtection="1">
      <alignment horizontal="left"/>
      <protection locked="0"/>
    </xf>
    <xf numFmtId="164" fontId="21" fillId="0" borderId="1" xfId="1" quotePrefix="1" applyNumberFormat="1" applyFont="1" applyFill="1" applyBorder="1" applyAlignment="1" applyProtection="1">
      <alignment horizontal="left"/>
      <protection locked="0"/>
    </xf>
    <xf numFmtId="164" fontId="21" fillId="0" borderId="13" xfId="1" quotePrefix="1" applyNumberFormat="1" applyFont="1" applyFill="1" applyBorder="1" applyAlignment="1" applyProtection="1">
      <alignment horizontal="left"/>
      <protection locked="0"/>
    </xf>
    <xf numFmtId="164" fontId="21" fillId="0" borderId="12" xfId="1" quotePrefix="1" applyNumberFormat="1" applyFont="1" applyFill="1" applyBorder="1" applyAlignment="1" applyProtection="1">
      <alignment horizontal="left"/>
      <protection locked="0"/>
    </xf>
    <xf numFmtId="164" fontId="21" fillId="0" borderId="27" xfId="1" applyNumberFormat="1" applyFont="1" applyFill="1" applyBorder="1" applyAlignment="1">
      <alignment vertical="center"/>
    </xf>
    <xf numFmtId="164" fontId="21" fillId="0" borderId="3" xfId="1" applyNumberFormat="1" applyFont="1" applyFill="1" applyBorder="1" applyAlignment="1">
      <alignment vertical="center"/>
    </xf>
    <xf numFmtId="164" fontId="21" fillId="0" borderId="17" xfId="1" applyNumberFormat="1" applyFont="1" applyFill="1" applyBorder="1" applyAlignment="1">
      <alignment vertical="center"/>
    </xf>
    <xf numFmtId="164" fontId="21" fillId="0" borderId="16" xfId="1" applyNumberFormat="1" applyFont="1" applyFill="1" applyBorder="1" applyAlignment="1">
      <alignment vertical="center"/>
    </xf>
    <xf numFmtId="164" fontId="21" fillId="0" borderId="3" xfId="1" applyNumberFormat="1" applyFont="1" applyFill="1" applyBorder="1" applyProtection="1">
      <protection locked="0"/>
    </xf>
    <xf numFmtId="164" fontId="21" fillId="0" borderId="16" xfId="1" applyNumberFormat="1" applyFont="1" applyFill="1" applyBorder="1" applyProtection="1">
      <protection locked="0"/>
    </xf>
    <xf numFmtId="164" fontId="21" fillId="0" borderId="17" xfId="1" applyNumberFormat="1" applyFont="1" applyFill="1" applyBorder="1" applyProtection="1">
      <protection locked="0"/>
    </xf>
    <xf numFmtId="10" fontId="21" fillId="0" borderId="24" xfId="2" applyNumberFormat="1" applyFont="1" applyFill="1" applyBorder="1" applyAlignment="1">
      <alignment vertical="center"/>
    </xf>
    <xf numFmtId="10" fontId="21" fillId="0" borderId="0" xfId="2" applyNumberFormat="1" applyFont="1" applyFill="1" applyBorder="1" applyAlignment="1">
      <alignment vertical="center"/>
    </xf>
    <xf numFmtId="10" fontId="21" fillId="0" borderId="11" xfId="2" applyNumberFormat="1" applyFont="1" applyFill="1" applyBorder="1" applyAlignment="1">
      <alignment vertical="center"/>
    </xf>
    <xf numFmtId="10" fontId="21" fillId="0" borderId="10" xfId="2" applyNumberFormat="1" applyFont="1" applyFill="1" applyBorder="1" applyAlignment="1">
      <alignment vertical="center"/>
    </xf>
    <xf numFmtId="164" fontId="21" fillId="0" borderId="24" xfId="0" applyNumberFormat="1" applyFont="1" applyFill="1" applyBorder="1"/>
    <xf numFmtId="164" fontId="21" fillId="0" borderId="11" xfId="0" applyNumberFormat="1" applyFont="1" applyFill="1" applyBorder="1"/>
    <xf numFmtId="164" fontId="21" fillId="0" borderId="10" xfId="0" applyNumberFormat="1" applyFont="1" applyFill="1" applyBorder="1"/>
    <xf numFmtId="165" fontId="21" fillId="0" borderId="24" xfId="2" applyNumberFormat="1" applyFont="1" applyFill="1" applyBorder="1" applyAlignment="1">
      <alignment vertical="center"/>
    </xf>
    <xf numFmtId="165" fontId="21" fillId="0" borderId="0" xfId="2" applyNumberFormat="1" applyFont="1" applyFill="1" applyBorder="1" applyAlignment="1">
      <alignment vertical="center"/>
    </xf>
    <xf numFmtId="165" fontId="21" fillId="0" borderId="11" xfId="2" applyNumberFormat="1" applyFont="1" applyFill="1" applyBorder="1" applyAlignment="1">
      <alignment vertical="center"/>
    </xf>
    <xf numFmtId="165" fontId="21" fillId="0" borderId="10" xfId="2" applyNumberFormat="1" applyFont="1" applyFill="1" applyBorder="1" applyAlignment="1">
      <alignment vertical="center"/>
    </xf>
    <xf numFmtId="164" fontId="21" fillId="0" borderId="28" xfId="1" applyNumberFormat="1" applyFont="1" applyFill="1" applyBorder="1" applyAlignment="1">
      <alignment vertical="center"/>
    </xf>
    <xf numFmtId="164" fontId="21" fillId="0" borderId="4" xfId="1" applyNumberFormat="1" applyFont="1" applyFill="1" applyBorder="1" applyAlignment="1">
      <alignment vertical="center"/>
    </xf>
    <xf numFmtId="164" fontId="21" fillId="0" borderId="31" xfId="1" applyNumberFormat="1" applyFont="1" applyFill="1" applyBorder="1" applyAlignment="1">
      <alignment vertical="center"/>
    </xf>
    <xf numFmtId="164" fontId="21" fillId="0" borderId="30" xfId="1" applyNumberFormat="1" applyFont="1" applyFill="1" applyBorder="1" applyAlignment="1">
      <alignment vertical="center"/>
    </xf>
    <xf numFmtId="164" fontId="31" fillId="0" borderId="29" xfId="1" applyNumberFormat="1" applyFont="1" applyFill="1" applyBorder="1" applyAlignment="1">
      <alignment vertical="center"/>
    </xf>
    <xf numFmtId="164" fontId="21" fillId="0" borderId="29" xfId="1" applyNumberFormat="1" applyFont="1" applyFill="1" applyBorder="1"/>
    <xf numFmtId="164" fontId="21" fillId="0" borderId="19" xfId="1" applyNumberFormat="1" applyFont="1" applyFill="1" applyBorder="1" applyProtection="1">
      <protection locked="0"/>
    </xf>
    <xf numFmtId="164" fontId="21" fillId="0" borderId="20" xfId="1" applyNumberFormat="1" applyFont="1" applyFill="1" applyBorder="1" applyProtection="1">
      <protection locked="0"/>
    </xf>
    <xf numFmtId="164" fontId="21" fillId="0" borderId="18" xfId="1" applyNumberFormat="1" applyFont="1" applyFill="1" applyBorder="1" applyProtection="1">
      <protection locked="0"/>
    </xf>
    <xf numFmtId="164" fontId="31" fillId="0" borderId="0" xfId="1" applyNumberFormat="1" applyFont="1" applyFill="1" applyBorder="1" applyAlignment="1">
      <alignment vertical="center"/>
    </xf>
    <xf numFmtId="164" fontId="21" fillId="0" borderId="0" xfId="1" applyNumberFormat="1" applyFont="1" applyFill="1" applyBorder="1" applyAlignment="1">
      <alignment vertical="center"/>
    </xf>
    <xf numFmtId="164" fontId="31" fillId="0" borderId="0" xfId="1" quotePrefix="1" applyNumberFormat="1" applyFont="1" applyFill="1" applyBorder="1" applyAlignment="1">
      <alignment horizontal="left" vertical="center"/>
    </xf>
    <xf numFmtId="0" fontId="27" fillId="0" borderId="0" xfId="0" applyFont="1"/>
    <xf numFmtId="0" fontId="23" fillId="0" borderId="0" xfId="0" applyFont="1" applyAlignment="1">
      <alignment horizontal="center"/>
    </xf>
    <xf numFmtId="0" fontId="23" fillId="0" borderId="0" xfId="0" applyNumberFormat="1" applyFont="1" applyAlignment="1">
      <alignment horizontal="center"/>
    </xf>
    <xf numFmtId="0" fontId="36" fillId="0" borderId="0" xfId="0" applyFont="1" applyAlignment="1">
      <alignment horizontal="center"/>
    </xf>
    <xf numFmtId="0" fontId="36" fillId="0" borderId="0" xfId="0" applyNumberFormat="1" applyFont="1" applyAlignment="1">
      <alignment horizontal="center"/>
    </xf>
    <xf numFmtId="0" fontId="23" fillId="0" borderId="0" xfId="0" applyFont="1" applyBorder="1"/>
    <xf numFmtId="0" fontId="27" fillId="0" borderId="0" xfId="0" applyFont="1" applyBorder="1" applyAlignment="1">
      <alignment horizontal="left"/>
    </xf>
    <xf numFmtId="0" fontId="23" fillId="0" borderId="0" xfId="0" applyFont="1" applyBorder="1" applyAlignment="1">
      <alignment horizontal="center"/>
    </xf>
    <xf numFmtId="164" fontId="23" fillId="0" borderId="0" xfId="9" applyNumberFormat="1" applyFont="1" applyBorder="1" applyAlignment="1">
      <alignment horizontal="center"/>
    </xf>
    <xf numFmtId="0" fontId="37" fillId="0" borderId="0" xfId="0" applyFont="1" applyFill="1" applyBorder="1" applyAlignment="1" applyProtection="1">
      <alignment horizontal="left"/>
    </xf>
    <xf numFmtId="164" fontId="23" fillId="0" borderId="0" xfId="10" applyNumberFormat="1" applyFont="1"/>
    <xf numFmtId="167" fontId="23" fillId="0" borderId="0" xfId="11" applyNumberFormat="1" applyFont="1" applyAlignment="1">
      <alignment horizontal="center"/>
    </xf>
    <xf numFmtId="41" fontId="23" fillId="0" borderId="0" xfId="9" applyNumberFormat="1" applyFont="1" applyAlignment="1">
      <alignment horizontal="center"/>
    </xf>
    <xf numFmtId="0" fontId="37" fillId="2" borderId="0" xfId="0" applyFont="1" applyFill="1" applyBorder="1" applyAlignment="1" applyProtection="1">
      <alignment horizontal="left"/>
    </xf>
    <xf numFmtId="0" fontId="23" fillId="2" borderId="0" xfId="0" applyFont="1" applyFill="1" applyBorder="1"/>
    <xf numFmtId="0" fontId="23" fillId="2" borderId="0" xfId="0" applyFont="1" applyFill="1" applyBorder="1" applyAlignment="1">
      <alignment horizontal="center"/>
    </xf>
    <xf numFmtId="164" fontId="23" fillId="2" borderId="0" xfId="10" applyNumberFormat="1" applyFont="1" applyFill="1"/>
    <xf numFmtId="167" fontId="23" fillId="2" borderId="0" xfId="11" applyNumberFormat="1" applyFont="1" applyFill="1" applyAlignment="1">
      <alignment horizontal="center"/>
    </xf>
    <xf numFmtId="41" fontId="23" fillId="2" borderId="0" xfId="9" applyNumberFormat="1" applyFont="1" applyFill="1" applyAlignment="1">
      <alignment horizontal="center"/>
    </xf>
    <xf numFmtId="43" fontId="23" fillId="0" borderId="0" xfId="10" applyFont="1"/>
    <xf numFmtId="41" fontId="23" fillId="0" borderId="5" xfId="10" applyNumberFormat="1" applyFont="1" applyBorder="1" applyAlignment="1">
      <alignment horizontal="center"/>
    </xf>
    <xf numFmtId="41" fontId="23" fillId="2" borderId="5" xfId="10" applyNumberFormat="1" applyFont="1" applyFill="1" applyBorder="1" applyAlignment="1">
      <alignment horizontal="center"/>
    </xf>
    <xf numFmtId="41" fontId="23" fillId="0" borderId="0" xfId="9" applyNumberFormat="1" applyFont="1" applyBorder="1" applyAlignment="1">
      <alignment horizontal="center"/>
    </xf>
    <xf numFmtId="0" fontId="39" fillId="0" borderId="0" xfId="0" applyFont="1" applyBorder="1" applyAlignment="1">
      <alignment horizontal="left"/>
    </xf>
    <xf numFmtId="0" fontId="23" fillId="0" borderId="0" xfId="0" applyFont="1" applyBorder="1" applyAlignment="1">
      <alignment horizontal="left"/>
    </xf>
    <xf numFmtId="164" fontId="23" fillId="0" borderId="0" xfId="9" applyNumberFormat="1" applyFont="1"/>
    <xf numFmtId="0" fontId="27" fillId="0" borderId="0" xfId="0" applyFont="1" applyFill="1"/>
    <xf numFmtId="0" fontId="23" fillId="0" borderId="0" xfId="0" applyFont="1" applyFill="1" applyBorder="1" applyAlignment="1">
      <alignment horizontal="center"/>
    </xf>
    <xf numFmtId="41" fontId="23" fillId="0" borderId="0" xfId="9" applyNumberFormat="1" applyFont="1" applyFill="1" applyBorder="1" applyAlignment="1">
      <alignment horizontal="center"/>
    </xf>
    <xf numFmtId="0" fontId="23" fillId="0" borderId="0" xfId="0" applyFont="1" applyFill="1" applyBorder="1" applyAlignment="1">
      <alignment horizontal="left"/>
    </xf>
    <xf numFmtId="0" fontId="23" fillId="0" borderId="0" xfId="0" applyNumberFormat="1" applyFont="1" applyBorder="1" applyAlignment="1">
      <alignment horizontal="center"/>
    </xf>
    <xf numFmtId="0" fontId="27" fillId="0" borderId="0" xfId="0" applyFont="1" applyBorder="1"/>
    <xf numFmtId="0" fontId="23" fillId="0" borderId="0" xfId="0" quotePrefix="1" applyFont="1" applyBorder="1" applyAlignment="1">
      <alignment horizontal="left"/>
    </xf>
    <xf numFmtId="3" fontId="23" fillId="0" borderId="0" xfId="0" applyNumberFormat="1" applyFont="1" applyBorder="1" applyAlignment="1">
      <alignment horizontal="center"/>
    </xf>
    <xf numFmtId="0" fontId="36" fillId="0" borderId="0" xfId="0" applyFont="1" applyBorder="1" applyAlignment="1">
      <alignment horizontal="center"/>
    </xf>
    <xf numFmtId="0" fontId="23" fillId="0" borderId="0" xfId="0" applyFont="1" applyAlignment="1">
      <alignment horizontal="right"/>
    </xf>
    <xf numFmtId="0" fontId="21" fillId="0" borderId="0" xfId="12" applyFont="1"/>
    <xf numFmtId="0" fontId="31" fillId="0" borderId="0" xfId="12" applyFont="1"/>
    <xf numFmtId="0" fontId="21" fillId="0" borderId="0" xfId="12" applyFont="1" applyAlignment="1">
      <alignment horizontal="center"/>
    </xf>
    <xf numFmtId="0" fontId="21" fillId="0" borderId="0" xfId="12" applyFont="1" applyBorder="1"/>
    <xf numFmtId="0" fontId="29" fillId="0" borderId="0" xfId="12" applyFont="1" applyAlignment="1">
      <alignment horizontal="center"/>
    </xf>
    <xf numFmtId="0" fontId="21" fillId="0" borderId="0" xfId="12" applyFont="1" applyBorder="1" applyAlignment="1">
      <alignment horizontal="right"/>
    </xf>
    <xf numFmtId="0" fontId="31" fillId="0" borderId="0" xfId="12" applyFont="1" applyBorder="1" applyAlignment="1">
      <alignment horizontal="left"/>
    </xf>
    <xf numFmtId="0" fontId="21" fillId="0" borderId="0" xfId="12" applyFont="1" applyBorder="1" applyAlignment="1">
      <alignment horizontal="center"/>
    </xf>
    <xf numFmtId="164" fontId="21" fillId="0" borderId="0" xfId="1" applyNumberFormat="1" applyFont="1" applyBorder="1" applyAlignment="1">
      <alignment horizontal="center"/>
    </xf>
    <xf numFmtId="0" fontId="21" fillId="0" borderId="0" xfId="12" applyFont="1" applyFill="1" applyAlignment="1">
      <alignment horizontal="left"/>
    </xf>
    <xf numFmtId="0" fontId="21" fillId="0" borderId="0" xfId="12" applyFont="1" applyFill="1" applyBorder="1"/>
    <xf numFmtId="0" fontId="21" fillId="0" borderId="0" xfId="12" applyFont="1" applyFill="1" applyBorder="1" applyAlignment="1">
      <alignment horizontal="center"/>
    </xf>
    <xf numFmtId="41" fontId="21" fillId="0" borderId="0" xfId="1" applyNumberFormat="1" applyFont="1" applyFill="1" applyBorder="1" applyAlignment="1">
      <alignment horizontal="center"/>
    </xf>
    <xf numFmtId="167" fontId="21" fillId="0" borderId="0" xfId="2" applyNumberFormat="1" applyFont="1" applyFill="1" applyAlignment="1">
      <alignment horizontal="center"/>
    </xf>
    <xf numFmtId="41" fontId="21" fillId="0" borderId="0" xfId="1" applyNumberFormat="1" applyFont="1" applyFill="1" applyAlignment="1">
      <alignment horizontal="right"/>
    </xf>
    <xf numFmtId="0" fontId="21" fillId="0" borderId="0" xfId="12" applyFont="1" applyFill="1"/>
    <xf numFmtId="164" fontId="21" fillId="0" borderId="0" xfId="1" applyNumberFormat="1" applyFont="1" applyBorder="1"/>
    <xf numFmtId="164" fontId="40" fillId="0" borderId="0" xfId="1" applyNumberFormat="1" applyFont="1" applyBorder="1"/>
    <xf numFmtId="0" fontId="21" fillId="2" borderId="0" xfId="12" applyFont="1" applyFill="1" applyBorder="1" applyAlignment="1">
      <alignment horizontal="left"/>
    </xf>
    <xf numFmtId="0" fontId="21" fillId="2" borderId="0" xfId="12" applyFont="1" applyFill="1" applyBorder="1"/>
    <xf numFmtId="0" fontId="21" fillId="2" borderId="0" xfId="12" applyFont="1" applyFill="1" applyBorder="1" applyAlignment="1">
      <alignment horizontal="center"/>
    </xf>
    <xf numFmtId="41" fontId="21" fillId="2" borderId="0" xfId="1" applyNumberFormat="1" applyFont="1" applyFill="1" applyBorder="1" applyAlignment="1">
      <alignment horizontal="center"/>
    </xf>
    <xf numFmtId="167" fontId="21" fillId="0" borderId="0" xfId="2" applyNumberFormat="1" applyFont="1" applyFill="1" applyBorder="1" applyAlignment="1">
      <alignment horizontal="center"/>
    </xf>
    <xf numFmtId="41" fontId="21" fillId="2" borderId="0" xfId="1" applyNumberFormat="1" applyFont="1" applyFill="1" applyBorder="1" applyAlignment="1">
      <alignment horizontal="right"/>
    </xf>
    <xf numFmtId="9" fontId="21" fillId="0" borderId="0" xfId="2" applyNumberFormat="1" applyFont="1" applyFill="1" applyAlignment="1">
      <alignment horizontal="center"/>
    </xf>
    <xf numFmtId="41" fontId="21" fillId="0" borderId="5" xfId="12" applyNumberFormat="1" applyFont="1" applyBorder="1"/>
    <xf numFmtId="0" fontId="21" fillId="0" borderId="0" xfId="12" applyFont="1" applyFill="1" applyBorder="1" applyAlignment="1">
      <alignment horizontal="left"/>
    </xf>
    <xf numFmtId="9" fontId="21" fillId="0" borderId="0" xfId="2" applyNumberFormat="1" applyFont="1" applyFill="1" applyBorder="1" applyAlignment="1">
      <alignment horizontal="center"/>
    </xf>
    <xf numFmtId="41" fontId="21" fillId="0" borderId="0" xfId="1" applyNumberFormat="1" applyFont="1" applyFill="1" applyBorder="1" applyAlignment="1">
      <alignment horizontal="right"/>
    </xf>
    <xf numFmtId="164" fontId="21" fillId="0" borderId="0" xfId="12" applyNumberFormat="1" applyFont="1" applyFill="1" applyBorder="1" applyAlignment="1">
      <alignment horizontal="right"/>
    </xf>
    <xf numFmtId="164" fontId="21" fillId="0" borderId="0" xfId="12" applyNumberFormat="1" applyFont="1" applyBorder="1" applyAlignment="1">
      <alignment horizontal="right"/>
    </xf>
    <xf numFmtId="164" fontId="40" fillId="0" borderId="0" xfId="1" applyNumberFormat="1" applyFont="1" applyBorder="1" applyAlignment="1">
      <alignment horizontal="right"/>
    </xf>
    <xf numFmtId="164" fontId="21" fillId="0" borderId="0" xfId="12" applyNumberFormat="1" applyFont="1" applyBorder="1"/>
    <xf numFmtId="164" fontId="21" fillId="0" borderId="0" xfId="12" applyNumberFormat="1" applyFont="1" applyFill="1" applyBorder="1"/>
    <xf numFmtId="164" fontId="21" fillId="0" borderId="0" xfId="12" applyNumberFormat="1" applyFont="1" applyFill="1"/>
    <xf numFmtId="164" fontId="21" fillId="0" borderId="0" xfId="12" applyNumberFormat="1" applyFont="1"/>
    <xf numFmtId="164" fontId="40" fillId="0" borderId="0" xfId="1" applyNumberFormat="1" applyFont="1"/>
    <xf numFmtId="164" fontId="41" fillId="0" borderId="0" xfId="12" applyNumberFormat="1" applyFont="1" applyBorder="1"/>
    <xf numFmtId="0" fontId="31" fillId="0" borderId="0" xfId="12" applyFont="1" applyFill="1" applyBorder="1" applyAlignment="1">
      <alignment horizontal="left"/>
    </xf>
    <xf numFmtId="164" fontId="21" fillId="0" borderId="0" xfId="12" applyNumberFormat="1" applyFont="1" applyFill="1" applyAlignment="1">
      <alignment horizontal="right"/>
    </xf>
    <xf numFmtId="164" fontId="21" fillId="0" borderId="0" xfId="12" applyNumberFormat="1" applyFont="1" applyAlignment="1">
      <alignment horizontal="right"/>
    </xf>
    <xf numFmtId="164" fontId="40" fillId="0" borderId="0" xfId="1" applyNumberFormat="1" applyFont="1" applyAlignment="1">
      <alignment horizontal="right"/>
    </xf>
    <xf numFmtId="0" fontId="21" fillId="0" borderId="0" xfId="12" applyFont="1" applyFill="1" applyBorder="1" applyAlignment="1">
      <alignment horizontal="left" indent="1"/>
    </xf>
    <xf numFmtId="41" fontId="21" fillId="0" borderId="1" xfId="1" applyNumberFormat="1" applyFont="1" applyFill="1" applyBorder="1" applyAlignment="1">
      <alignment horizontal="center"/>
    </xf>
    <xf numFmtId="164" fontId="41" fillId="0" borderId="0" xfId="12" applyNumberFormat="1" applyFont="1" applyFill="1"/>
    <xf numFmtId="164" fontId="41" fillId="0" borderId="0" xfId="12" applyNumberFormat="1" applyFont="1"/>
    <xf numFmtId="164" fontId="40" fillId="0" borderId="0" xfId="12" applyNumberFormat="1" applyFont="1"/>
    <xf numFmtId="0" fontId="21" fillId="0" borderId="0" xfId="0" applyFont="1" applyFill="1" applyBorder="1" applyAlignment="1">
      <alignment wrapText="1"/>
    </xf>
    <xf numFmtId="0" fontId="21" fillId="0" borderId="0" xfId="12" quotePrefix="1" applyFont="1" applyFill="1" applyBorder="1" applyAlignment="1">
      <alignment horizontal="left"/>
    </xf>
    <xf numFmtId="41" fontId="21" fillId="0" borderId="0" xfId="1" applyNumberFormat="1" applyFont="1" applyFill="1" applyAlignment="1">
      <alignment horizontal="center"/>
    </xf>
    <xf numFmtId="41" fontId="21" fillId="0" borderId="0" xfId="1" applyNumberFormat="1" applyFont="1" applyBorder="1" applyAlignment="1">
      <alignment horizontal="center"/>
    </xf>
    <xf numFmtId="0" fontId="21" fillId="0" borderId="0" xfId="13" applyFont="1"/>
    <xf numFmtId="0" fontId="31" fillId="0" borderId="0" xfId="13" applyFont="1"/>
    <xf numFmtId="0" fontId="21" fillId="0" borderId="0" xfId="13" applyFont="1" applyAlignment="1">
      <alignment horizontal="center"/>
    </xf>
    <xf numFmtId="0" fontId="29" fillId="0" borderId="0" xfId="13" applyFont="1" applyAlignment="1">
      <alignment horizontal="center"/>
    </xf>
    <xf numFmtId="0" fontId="21" fillId="0" borderId="0" xfId="13" applyFont="1" applyBorder="1"/>
    <xf numFmtId="0" fontId="31" fillId="0" borderId="0" xfId="13" applyFont="1" applyBorder="1" applyAlignment="1">
      <alignment horizontal="left"/>
    </xf>
    <xf numFmtId="0" fontId="21" fillId="0" borderId="0" xfId="13" applyFont="1" applyBorder="1" applyAlignment="1">
      <alignment horizontal="center"/>
    </xf>
    <xf numFmtId="164" fontId="21" fillId="0" borderId="0" xfId="9" applyNumberFormat="1" applyFont="1" applyBorder="1" applyAlignment="1">
      <alignment horizontal="center"/>
    </xf>
    <xf numFmtId="164" fontId="21" fillId="0" borderId="0" xfId="9" applyNumberFormat="1" applyFont="1" applyFill="1"/>
    <xf numFmtId="165" fontId="21" fillId="0" borderId="0" xfId="5" applyNumberFormat="1" applyFont="1" applyAlignment="1">
      <alignment horizontal="center"/>
    </xf>
    <xf numFmtId="41" fontId="21" fillId="0" borderId="0" xfId="9" applyNumberFormat="1" applyFont="1" applyAlignment="1">
      <alignment horizontal="center"/>
    </xf>
    <xf numFmtId="41" fontId="21" fillId="0" borderId="0" xfId="9" applyNumberFormat="1" applyFont="1" applyBorder="1" applyAlignment="1">
      <alignment horizontal="center"/>
    </xf>
    <xf numFmtId="167" fontId="21" fillId="0" borderId="0" xfId="5" applyNumberFormat="1" applyFont="1" applyAlignment="1">
      <alignment horizontal="center"/>
    </xf>
    <xf numFmtId="0" fontId="31" fillId="0" borderId="0" xfId="13" applyFont="1" applyBorder="1"/>
    <xf numFmtId="0" fontId="21" fillId="0" borderId="0" xfId="13" quotePrefix="1" applyFont="1" applyBorder="1" applyAlignment="1">
      <alignment horizontal="left"/>
    </xf>
    <xf numFmtId="0" fontId="21" fillId="0" borderId="0" xfId="13" applyFont="1" applyBorder="1" applyAlignment="1">
      <alignment horizontal="left"/>
    </xf>
    <xf numFmtId="174" fontId="21" fillId="0" borderId="0" xfId="9" applyNumberFormat="1" applyFont="1" applyAlignment="1">
      <alignment horizontal="center"/>
    </xf>
    <xf numFmtId="174" fontId="21" fillId="0" borderId="0" xfId="9" applyNumberFormat="1" applyFont="1" applyBorder="1" applyAlignment="1">
      <alignment horizontal="center"/>
    </xf>
    <xf numFmtId="0" fontId="31" fillId="0" borderId="0" xfId="0" applyFont="1"/>
    <xf numFmtId="0" fontId="21" fillId="0" borderId="0" xfId="0" applyFont="1" applyAlignment="1">
      <alignment horizontal="center"/>
    </xf>
    <xf numFmtId="0" fontId="31" fillId="0" borderId="0" xfId="0" applyFont="1" applyBorder="1" applyAlignment="1">
      <alignment horizontal="left"/>
    </xf>
    <xf numFmtId="0" fontId="29" fillId="0" borderId="0" xfId="0" applyFont="1" applyAlignment="1">
      <alignment horizontal="center"/>
    </xf>
    <xf numFmtId="0" fontId="21" fillId="0" borderId="0" xfId="0" applyFont="1" applyBorder="1"/>
    <xf numFmtId="0" fontId="21" fillId="0" borderId="0" xfId="0" applyFont="1" applyBorder="1" applyAlignment="1">
      <alignment horizontal="center"/>
    </xf>
    <xf numFmtId="164" fontId="21" fillId="0" borderId="0" xfId="9" applyNumberFormat="1" applyFont="1"/>
    <xf numFmtId="167" fontId="21" fillId="0" borderId="0" xfId="11" applyNumberFormat="1" applyFont="1"/>
    <xf numFmtId="164" fontId="21" fillId="0" borderId="0" xfId="10" applyNumberFormat="1" applyFont="1" applyBorder="1"/>
    <xf numFmtId="164" fontId="21" fillId="0" borderId="0" xfId="10" applyNumberFormat="1" applyFont="1" applyBorder="1" applyAlignment="1">
      <alignment horizontal="center"/>
    </xf>
    <xf numFmtId="164" fontId="21" fillId="0" borderId="0" xfId="10" applyNumberFormat="1" applyFont="1" applyFill="1" applyBorder="1" applyAlignment="1">
      <alignment horizontal="center"/>
    </xf>
    <xf numFmtId="0" fontId="21" fillId="2" borderId="0" xfId="0" applyFont="1" applyFill="1"/>
    <xf numFmtId="0" fontId="21" fillId="2" borderId="0" xfId="0" applyFont="1" applyFill="1" applyBorder="1"/>
    <xf numFmtId="164" fontId="21" fillId="0" borderId="0" xfId="9" applyNumberFormat="1" applyFont="1" applyFill="1" applyBorder="1" applyAlignment="1">
      <alignment horizontal="center"/>
    </xf>
    <xf numFmtId="41" fontId="21" fillId="0" borderId="0" xfId="10" applyNumberFormat="1" applyFont="1" applyFill="1" applyBorder="1" applyAlignment="1">
      <alignment horizontal="center"/>
    </xf>
    <xf numFmtId="41" fontId="21" fillId="0" borderId="0" xfId="4" applyNumberFormat="1" applyFont="1" applyFill="1" applyBorder="1" applyAlignment="1">
      <alignment horizontal="center"/>
    </xf>
    <xf numFmtId="0" fontId="31" fillId="0" borderId="0" xfId="0" applyFont="1" applyAlignment="1">
      <alignment horizontal="left"/>
    </xf>
    <xf numFmtId="41" fontId="31" fillId="0" borderId="5" xfId="9" applyNumberFormat="1" applyFont="1" applyFill="1" applyBorder="1" applyAlignment="1">
      <alignment horizontal="center"/>
    </xf>
    <xf numFmtId="167" fontId="21" fillId="0" borderId="0" xfId="11" applyNumberFormat="1" applyFont="1" applyAlignment="1">
      <alignment horizontal="center"/>
    </xf>
    <xf numFmtId="41" fontId="21" fillId="0" borderId="0" xfId="9" applyNumberFormat="1" applyFont="1" applyFill="1" applyBorder="1" applyAlignment="1">
      <alignment horizontal="center"/>
    </xf>
    <xf numFmtId="0" fontId="31" fillId="0" borderId="0" xfId="14" applyFont="1" applyFill="1"/>
    <xf numFmtId="42" fontId="21" fillId="0" borderId="0" xfId="0" applyNumberFormat="1" applyFont="1" applyFill="1"/>
    <xf numFmtId="0" fontId="21" fillId="0" borderId="0" xfId="0" applyFont="1" applyFill="1" applyAlignment="1">
      <alignment horizontal="right"/>
    </xf>
    <xf numFmtId="42" fontId="21" fillId="0" borderId="0" xfId="0" applyNumberFormat="1" applyFont="1" applyFill="1" applyAlignment="1">
      <alignment horizontal="center"/>
    </xf>
    <xf numFmtId="0" fontId="29" fillId="0" borderId="0" xfId="0" quotePrefix="1" applyFont="1" applyFill="1" applyAlignment="1">
      <alignment horizontal="center"/>
    </xf>
    <xf numFmtId="42" fontId="29" fillId="0" borderId="0" xfId="0" applyNumberFormat="1" applyFont="1" applyFill="1" applyAlignment="1">
      <alignment horizontal="center"/>
    </xf>
    <xf numFmtId="0" fontId="31" fillId="0" borderId="0" xfId="0" applyFont="1" applyFill="1" applyBorder="1"/>
    <xf numFmtId="164" fontId="21" fillId="0" borderId="0" xfId="15" applyNumberFormat="1" applyFont="1" applyFill="1" applyBorder="1" applyAlignment="1"/>
    <xf numFmtId="165" fontId="21" fillId="0" borderId="0" xfId="11" applyNumberFormat="1" applyFont="1" applyFill="1" applyAlignment="1">
      <alignment horizontal="center"/>
    </xf>
    <xf numFmtId="164" fontId="21" fillId="0" borderId="0" xfId="15" applyNumberFormat="1" applyFont="1" applyFill="1" applyBorder="1" applyAlignment="1">
      <alignment horizontal="center"/>
    </xf>
    <xf numFmtId="0" fontId="21" fillId="0" borderId="0" xfId="0" applyFont="1" applyFill="1" applyBorder="1" applyAlignment="1" applyProtection="1">
      <alignment horizontal="left" indent="1"/>
      <protection locked="0"/>
    </xf>
    <xf numFmtId="0" fontId="21" fillId="0" borderId="0" xfId="16" quotePrefix="1" applyNumberFormat="1" applyFont="1" applyFill="1" applyBorder="1" applyAlignment="1">
      <alignment horizontal="center"/>
    </xf>
    <xf numFmtId="0" fontId="21" fillId="0" borderId="0" xfId="0" applyFont="1" applyFill="1" applyBorder="1" applyAlignment="1" applyProtection="1">
      <alignment horizontal="center"/>
      <protection locked="0"/>
    </xf>
    <xf numFmtId="164" fontId="21" fillId="0" borderId="0" xfId="15" applyNumberFormat="1" applyFont="1" applyFill="1" applyBorder="1" applyAlignment="1" applyProtection="1">
      <alignment horizontal="center"/>
      <protection locked="0"/>
    </xf>
    <xf numFmtId="0" fontId="21" fillId="0" borderId="0" xfId="17" applyFont="1" applyFill="1" applyBorder="1" applyAlignment="1">
      <alignment horizontal="center"/>
    </xf>
    <xf numFmtId="164" fontId="21" fillId="2" borderId="0" xfId="15" applyNumberFormat="1" applyFont="1" applyFill="1" applyBorder="1" applyAlignment="1">
      <alignment horizontal="center"/>
    </xf>
    <xf numFmtId="0" fontId="21" fillId="0" borderId="0" xfId="16" applyNumberFormat="1" applyFont="1" applyFill="1" applyBorder="1" applyAlignment="1">
      <alignment horizontal="center"/>
    </xf>
    <xf numFmtId="0" fontId="21" fillId="0" borderId="0" xfId="0" applyNumberFormat="1" applyFont="1" applyFill="1" applyBorder="1" applyAlignment="1" applyProtection="1">
      <alignment horizontal="center"/>
      <protection locked="0"/>
    </xf>
    <xf numFmtId="0" fontId="21" fillId="0" borderId="0" xfId="14" applyNumberFormat="1" applyFont="1" applyFill="1" applyBorder="1" applyAlignment="1">
      <alignment horizontal="center"/>
    </xf>
    <xf numFmtId="0" fontId="31" fillId="0" borderId="0" xfId="0" applyFont="1" applyFill="1" applyBorder="1" applyProtection="1">
      <protection locked="0"/>
    </xf>
    <xf numFmtId="0" fontId="21" fillId="0" borderId="0" xfId="0" applyFont="1" applyFill="1" applyBorder="1" applyProtection="1">
      <protection locked="0"/>
    </xf>
    <xf numFmtId="1" fontId="21" fillId="0" borderId="0" xfId="0" applyNumberFormat="1" applyFont="1" applyFill="1" applyBorder="1" applyAlignment="1" applyProtection="1">
      <alignment horizontal="center"/>
      <protection locked="0"/>
    </xf>
    <xf numFmtId="41" fontId="21" fillId="0" borderId="1" xfId="0" applyNumberFormat="1" applyFont="1" applyFill="1" applyBorder="1" applyProtection="1">
      <protection locked="0"/>
    </xf>
    <xf numFmtId="165" fontId="21" fillId="0" borderId="0" xfId="11" applyNumberFormat="1" applyFont="1" applyFill="1" applyBorder="1" applyAlignment="1">
      <alignment horizontal="center"/>
    </xf>
    <xf numFmtId="165" fontId="21" fillId="0" borderId="0" xfId="2" applyNumberFormat="1" applyFont="1" applyFill="1"/>
    <xf numFmtId="0" fontId="31" fillId="0" borderId="0" xfId="18" applyFont="1"/>
    <xf numFmtId="0" fontId="21" fillId="0" borderId="0" xfId="18" applyFont="1"/>
    <xf numFmtId="0" fontId="21" fillId="0" borderId="0" xfId="18" applyFont="1" applyAlignment="1">
      <alignment horizontal="center"/>
    </xf>
    <xf numFmtId="0" fontId="21" fillId="0" borderId="0" xfId="18" applyNumberFormat="1" applyFont="1" applyAlignment="1">
      <alignment horizontal="right"/>
    </xf>
    <xf numFmtId="0" fontId="21" fillId="0" borderId="0" xfId="18" applyNumberFormat="1" applyFont="1" applyAlignment="1">
      <alignment horizontal="center"/>
    </xf>
    <xf numFmtId="0" fontId="29" fillId="0" borderId="0" xfId="18" applyFont="1" applyAlignment="1">
      <alignment horizontal="center"/>
    </xf>
    <xf numFmtId="0" fontId="29" fillId="0" borderId="0" xfId="18" applyNumberFormat="1" applyFont="1" applyAlignment="1">
      <alignment horizontal="center"/>
    </xf>
    <xf numFmtId="0" fontId="31" fillId="0" borderId="0" xfId="18" applyFont="1" applyBorder="1" applyAlignment="1">
      <alignment horizontal="left"/>
    </xf>
    <xf numFmtId="0" fontId="21" fillId="0" borderId="0" xfId="18" applyFont="1" applyBorder="1"/>
    <xf numFmtId="0" fontId="21" fillId="0" borderId="0" xfId="18" applyFont="1" applyBorder="1" applyAlignment="1">
      <alignment horizontal="center"/>
    </xf>
    <xf numFmtId="164" fontId="21" fillId="0" borderId="0" xfId="15" applyNumberFormat="1" applyFont="1" applyBorder="1" applyAlignment="1">
      <alignment horizontal="center"/>
    </xf>
    <xf numFmtId="0" fontId="31" fillId="0" borderId="0" xfId="18" applyFont="1" applyFill="1" applyBorder="1" applyAlignment="1">
      <alignment horizontal="left"/>
    </xf>
    <xf numFmtId="0" fontId="21" fillId="0" borderId="0" xfId="18" applyFont="1" applyFill="1" applyBorder="1"/>
    <xf numFmtId="0" fontId="21" fillId="0" borderId="0" xfId="18" applyFont="1" applyFill="1" applyBorder="1" applyAlignment="1">
      <alignment horizontal="center"/>
    </xf>
    <xf numFmtId="0" fontId="42" fillId="0" borderId="0" xfId="18" applyFont="1" applyFill="1" applyBorder="1" applyAlignment="1">
      <alignment horizontal="center"/>
    </xf>
    <xf numFmtId="10" fontId="21" fillId="0" borderId="0" xfId="5" applyNumberFormat="1" applyFont="1" applyFill="1" applyBorder="1" applyAlignment="1">
      <alignment horizontal="center"/>
    </xf>
    <xf numFmtId="0" fontId="21" fillId="0" borderId="0" xfId="18" applyNumberFormat="1" applyFont="1" applyFill="1" applyAlignment="1">
      <alignment horizontal="center"/>
    </xf>
    <xf numFmtId="0" fontId="21" fillId="0" borderId="0" xfId="18" applyFont="1" applyFill="1" applyBorder="1" applyAlignment="1"/>
    <xf numFmtId="165" fontId="21" fillId="0" borderId="0" xfId="5" applyNumberFormat="1" applyFont="1" applyFill="1" applyBorder="1" applyAlignment="1">
      <alignment horizontal="center"/>
    </xf>
    <xf numFmtId="0" fontId="42" fillId="0" borderId="0" xfId="18" applyFont="1" applyFill="1" applyBorder="1" applyAlignment="1">
      <alignment horizontal="left" indent="2"/>
    </xf>
    <xf numFmtId="0" fontId="42" fillId="0" borderId="0" xfId="0" applyFont="1" applyFill="1" applyBorder="1" applyAlignment="1">
      <alignment horizontal="left"/>
    </xf>
    <xf numFmtId="0" fontId="29" fillId="0" borderId="0" xfId="18" applyFont="1" applyFill="1" applyBorder="1" applyAlignment="1">
      <alignment horizontal="left"/>
    </xf>
    <xf numFmtId="0" fontId="21" fillId="0" borderId="0" xfId="18" applyFont="1" applyFill="1"/>
    <xf numFmtId="10" fontId="21" fillId="0" borderId="0" xfId="5" applyNumberFormat="1" applyFont="1" applyFill="1"/>
    <xf numFmtId="164" fontId="21" fillId="0" borderId="0" xfId="15" applyNumberFormat="1" applyFont="1" applyFill="1" applyBorder="1"/>
    <xf numFmtId="0" fontId="21" fillId="0" borderId="0" xfId="18" applyFont="1" applyFill="1" applyBorder="1" applyAlignment="1">
      <alignment horizontal="left"/>
    </xf>
    <xf numFmtId="0" fontId="21" fillId="0" borderId="0" xfId="0" applyFont="1" applyFill="1" applyBorder="1" applyAlignment="1">
      <alignment horizontal="left" indent="1"/>
    </xf>
    <xf numFmtId="0" fontId="21" fillId="0" borderId="0" xfId="18" applyFont="1" applyFill="1" applyAlignment="1">
      <alignment horizontal="center"/>
    </xf>
    <xf numFmtId="164" fontId="21" fillId="0" borderId="0" xfId="15" applyNumberFormat="1" applyFont="1" applyFill="1"/>
    <xf numFmtId="164" fontId="21" fillId="0" borderId="1" xfId="15" applyNumberFormat="1" applyFont="1" applyFill="1" applyBorder="1"/>
    <xf numFmtId="0" fontId="21" fillId="0" borderId="0" xfId="18" applyFont="1" applyFill="1" applyBorder="1" applyAlignment="1">
      <alignment horizontal="left" indent="2"/>
    </xf>
    <xf numFmtId="0" fontId="21" fillId="0" borderId="0" xfId="0" applyFont="1" applyFill="1" applyBorder="1" applyAlignment="1">
      <alignment horizontal="left" indent="2"/>
    </xf>
    <xf numFmtId="10" fontId="21" fillId="0" borderId="0" xfId="5" applyNumberFormat="1" applyFont="1" applyFill="1" applyAlignment="1">
      <alignment horizontal="center"/>
    </xf>
    <xf numFmtId="164" fontId="21" fillId="0" borderId="1" xfId="15" applyNumberFormat="1" applyFont="1" applyFill="1" applyBorder="1" applyAlignment="1">
      <alignment horizontal="center"/>
    </xf>
    <xf numFmtId="0" fontId="21" fillId="0" borderId="0" xfId="18" applyFont="1" applyFill="1" applyBorder="1" applyAlignment="1">
      <alignment horizontal="left" indent="3"/>
    </xf>
    <xf numFmtId="0" fontId="21" fillId="0" borderId="0" xfId="0" applyFont="1" applyFill="1" applyBorder="1" applyAlignment="1">
      <alignment horizontal="left" indent="3"/>
    </xf>
    <xf numFmtId="165" fontId="21" fillId="0" borderId="0" xfId="5" applyNumberFormat="1" applyFont="1" applyBorder="1" applyAlignment="1">
      <alignment horizontal="center"/>
    </xf>
    <xf numFmtId="41" fontId="21" fillId="0" borderId="1" xfId="15" applyNumberFormat="1" applyFont="1" applyFill="1" applyBorder="1" applyAlignment="1">
      <alignment horizontal="center"/>
    </xf>
    <xf numFmtId="41" fontId="21" fillId="0" borderId="0" xfId="15" applyNumberFormat="1" applyFont="1" applyFill="1" applyBorder="1" applyAlignment="1">
      <alignment horizontal="center"/>
    </xf>
    <xf numFmtId="167" fontId="21" fillId="0" borderId="0" xfId="5" applyNumberFormat="1" applyFont="1" applyBorder="1" applyAlignment="1">
      <alignment horizontal="center"/>
    </xf>
    <xf numFmtId="41" fontId="21" fillId="0" borderId="0" xfId="15" applyNumberFormat="1" applyFont="1" applyBorder="1" applyAlignment="1">
      <alignment horizontal="center"/>
    </xf>
    <xf numFmtId="0" fontId="29" fillId="0" borderId="0" xfId="18" applyFont="1" applyBorder="1"/>
    <xf numFmtId="0" fontId="21" fillId="0" borderId="0" xfId="0" applyFont="1" applyBorder="1" applyAlignment="1">
      <alignment horizontal="left" indent="2"/>
    </xf>
    <xf numFmtId="0" fontId="42" fillId="0" borderId="0" xfId="0" applyFont="1" applyBorder="1" applyAlignment="1">
      <alignment horizontal="left"/>
    </xf>
    <xf numFmtId="0" fontId="42" fillId="0" borderId="0" xfId="0" applyFont="1" applyBorder="1"/>
    <xf numFmtId="0" fontId="42" fillId="0" borderId="0" xfId="18" applyFont="1" applyBorder="1" applyAlignment="1">
      <alignment horizontal="center"/>
    </xf>
    <xf numFmtId="0" fontId="31" fillId="0" borderId="0" xfId="0" applyFont="1" applyFill="1" applyBorder="1" applyAlignment="1">
      <alignment horizontal="left"/>
    </xf>
    <xf numFmtId="167" fontId="21" fillId="0" borderId="0" xfId="5" applyNumberFormat="1" applyFont="1" applyFill="1" applyBorder="1" applyAlignment="1">
      <alignment horizontal="center"/>
    </xf>
    <xf numFmtId="0" fontId="32" fillId="0" borderId="0" xfId="0" applyFont="1" applyFill="1" applyBorder="1"/>
    <xf numFmtId="0" fontId="31" fillId="0" borderId="0" xfId="19" applyFont="1"/>
    <xf numFmtId="0" fontId="21" fillId="0" borderId="0" xfId="20" applyFont="1"/>
    <xf numFmtId="0" fontId="21" fillId="0" borderId="0" xfId="19" applyFont="1"/>
    <xf numFmtId="0" fontId="31" fillId="0" borderId="0" xfId="19" applyFont="1" applyFill="1"/>
    <xf numFmtId="0" fontId="21" fillId="0" borderId="0" xfId="20" applyFont="1" applyFill="1"/>
    <xf numFmtId="17" fontId="21" fillId="0" borderId="2" xfId="20" applyNumberFormat="1" applyFont="1" applyFill="1" applyBorder="1" applyAlignment="1">
      <alignment horizontal="center"/>
    </xf>
    <xf numFmtId="0" fontId="29" fillId="0" borderId="0" xfId="20" applyFont="1" applyFill="1"/>
    <xf numFmtId="0" fontId="21" fillId="0" borderId="0" xfId="20" applyFont="1" applyFill="1" applyAlignment="1">
      <alignment horizontal="left"/>
    </xf>
    <xf numFmtId="164" fontId="31" fillId="0" borderId="0" xfId="15" applyNumberFormat="1" applyFont="1" applyBorder="1" applyAlignment="1">
      <alignment horizontal="center"/>
    </xf>
    <xf numFmtId="0" fontId="31" fillId="0" borderId="0" xfId="20" applyFont="1" applyFill="1"/>
    <xf numFmtId="10" fontId="21" fillId="0" borderId="2" xfId="21" applyNumberFormat="1" applyFont="1" applyFill="1" applyBorder="1"/>
    <xf numFmtId="0" fontId="21" fillId="0" borderId="0" xfId="20" applyFont="1" applyFill="1" applyAlignment="1">
      <alignment horizontal="left" indent="1"/>
    </xf>
    <xf numFmtId="164" fontId="31" fillId="0" borderId="0" xfId="20" applyNumberFormat="1" applyFont="1" applyFill="1"/>
    <xf numFmtId="164" fontId="31" fillId="0" borderId="0" xfId="20" applyNumberFormat="1" applyFont="1" applyFill="1" applyBorder="1" applyAlignment="1">
      <alignment horizontal="center"/>
    </xf>
    <xf numFmtId="0" fontId="29" fillId="0" borderId="0" xfId="20" applyFont="1" applyFill="1" applyBorder="1" applyAlignment="1">
      <alignment horizontal="center"/>
    </xf>
    <xf numFmtId="0" fontId="29" fillId="0" borderId="0" xfId="20" applyFont="1" applyFill="1" applyBorder="1" applyAlignment="1">
      <alignment horizontal="right"/>
    </xf>
    <xf numFmtId="0" fontId="28" fillId="0" borderId="0" xfId="20" applyFont="1" applyFill="1" applyBorder="1" applyAlignment="1">
      <alignment horizontal="center"/>
    </xf>
    <xf numFmtId="172" fontId="21" fillId="0" borderId="0" xfId="20" applyNumberFormat="1" applyFont="1" applyFill="1" applyAlignment="1">
      <alignment horizontal="center"/>
    </xf>
    <xf numFmtId="3" fontId="21" fillId="0" borderId="0" xfId="20" applyNumberFormat="1" applyFont="1" applyFill="1" applyBorder="1"/>
    <xf numFmtId="38" fontId="21" fillId="0" borderId="0" xfId="20" applyNumberFormat="1" applyFont="1" applyFill="1" applyBorder="1"/>
    <xf numFmtId="38" fontId="31" fillId="0" borderId="0" xfId="20" applyNumberFormat="1" applyFont="1" applyFill="1" applyBorder="1"/>
    <xf numFmtId="164" fontId="21" fillId="0" borderId="2" xfId="15" applyNumberFormat="1" applyFont="1" applyFill="1" applyBorder="1"/>
    <xf numFmtId="164" fontId="21" fillId="0" borderId="0" xfId="20" applyNumberFormat="1" applyFont="1" applyFill="1"/>
    <xf numFmtId="0" fontId="21" fillId="0" borderId="0" xfId="19" applyFont="1" applyFill="1"/>
    <xf numFmtId="0" fontId="31" fillId="0" borderId="0" xfId="20" applyFont="1" applyFill="1" applyAlignment="1">
      <alignment horizontal="center"/>
    </xf>
    <xf numFmtId="164" fontId="31" fillId="0" borderId="2" xfId="20" applyNumberFormat="1" applyFont="1" applyFill="1" applyBorder="1"/>
    <xf numFmtId="164" fontId="21" fillId="0" borderId="3" xfId="20" applyNumberFormat="1" applyFont="1" applyFill="1" applyBorder="1"/>
    <xf numFmtId="0" fontId="21" fillId="0" borderId="0" xfId="20" applyFont="1" applyFill="1" applyBorder="1"/>
    <xf numFmtId="0" fontId="31" fillId="0" borderId="0" xfId="20" applyFont="1" applyFill="1" applyBorder="1" applyAlignment="1">
      <alignment horizontal="center"/>
    </xf>
    <xf numFmtId="164" fontId="21" fillId="0" borderId="0" xfId="20" applyNumberFormat="1" applyFont="1" applyFill="1" applyBorder="1"/>
    <xf numFmtId="0" fontId="21" fillId="0" borderId="0" xfId="19" applyFont="1" applyFill="1" applyBorder="1"/>
    <xf numFmtId="10" fontId="21" fillId="0" borderId="0" xfId="21" applyNumberFormat="1" applyFont="1" applyFill="1" applyBorder="1"/>
    <xf numFmtId="0" fontId="21" fillId="0" borderId="0" xfId="20" applyFont="1" applyFill="1" applyBorder="1" applyAlignment="1">
      <alignment horizontal="left" indent="1"/>
    </xf>
    <xf numFmtId="164" fontId="31" fillId="0" borderId="0" xfId="20" applyNumberFormat="1" applyFont="1" applyFill="1" applyBorder="1"/>
    <xf numFmtId="0" fontId="31" fillId="0" borderId="0" xfId="20" applyFont="1" applyFill="1" applyBorder="1"/>
    <xf numFmtId="0" fontId="21" fillId="0" borderId="33" xfId="20" applyFont="1" applyBorder="1"/>
    <xf numFmtId="0" fontId="21" fillId="0" borderId="34" xfId="20" applyFont="1" applyBorder="1"/>
    <xf numFmtId="0" fontId="21" fillId="0" borderId="34" xfId="20" applyFont="1" applyBorder="1" applyAlignment="1">
      <alignment horizontal="right"/>
    </xf>
    <xf numFmtId="17" fontId="29" fillId="0" borderId="34" xfId="20" applyNumberFormat="1" applyFont="1" applyBorder="1" applyAlignment="1">
      <alignment horizontal="right"/>
    </xf>
    <xf numFmtId="0" fontId="29" fillId="0" borderId="35" xfId="20" applyFont="1" applyBorder="1" applyAlignment="1">
      <alignment horizontal="center"/>
    </xf>
    <xf numFmtId="0" fontId="21" fillId="0" borderId="0" xfId="20" applyFont="1" applyBorder="1"/>
    <xf numFmtId="0" fontId="21" fillId="0" borderId="10" xfId="20" applyFont="1" applyFill="1" applyBorder="1"/>
    <xf numFmtId="0" fontId="29" fillId="0" borderId="0" xfId="20" applyFont="1" applyFill="1" applyBorder="1"/>
    <xf numFmtId="0" fontId="31" fillId="0" borderId="11" xfId="20" applyFont="1" applyBorder="1" applyAlignment="1">
      <alignment horizontal="center"/>
    </xf>
    <xf numFmtId="0" fontId="21" fillId="0" borderId="0" xfId="20" applyFont="1" applyBorder="1" applyAlignment="1">
      <alignment horizontal="center"/>
    </xf>
    <xf numFmtId="0" fontId="21" fillId="0" borderId="10" xfId="20" applyFont="1" applyBorder="1"/>
    <xf numFmtId="0" fontId="43" fillId="0" borderId="0" xfId="20" applyFont="1" applyBorder="1" applyAlignment="1">
      <alignment horizontal="center"/>
    </xf>
    <xf numFmtId="164" fontId="31" fillId="0" borderId="0" xfId="15" applyNumberFormat="1" applyFont="1" applyBorder="1"/>
    <xf numFmtId="164" fontId="21" fillId="0" borderId="5" xfId="20" applyNumberFormat="1" applyFont="1" applyBorder="1"/>
    <xf numFmtId="0" fontId="21" fillId="0" borderId="11" xfId="20" applyFont="1" applyBorder="1"/>
    <xf numFmtId="0" fontId="29" fillId="0" borderId="0" xfId="20" applyFont="1" applyBorder="1" applyAlignment="1">
      <alignment horizontal="center"/>
    </xf>
    <xf numFmtId="0" fontId="31" fillId="0" borderId="10" xfId="19" applyFont="1" applyBorder="1"/>
    <xf numFmtId="0" fontId="21" fillId="0" borderId="10" xfId="19" applyFont="1" applyBorder="1"/>
    <xf numFmtId="164" fontId="31" fillId="0" borderId="2" xfId="15" applyNumberFormat="1" applyFont="1" applyBorder="1"/>
    <xf numFmtId="0" fontId="21" fillId="0" borderId="18" xfId="20" applyFont="1" applyBorder="1"/>
    <xf numFmtId="0" fontId="21" fillId="0" borderId="19" xfId="20" applyFont="1" applyBorder="1"/>
    <xf numFmtId="164" fontId="21" fillId="0" borderId="19" xfId="20" applyNumberFormat="1" applyFont="1" applyBorder="1"/>
    <xf numFmtId="0" fontId="21" fillId="0" borderId="20" xfId="20" applyFont="1" applyBorder="1"/>
    <xf numFmtId="164" fontId="21" fillId="0" borderId="0" xfId="20" applyNumberFormat="1" applyFont="1" applyBorder="1"/>
    <xf numFmtId="0" fontId="43" fillId="0" borderId="0" xfId="20" applyFont="1" applyFill="1" applyBorder="1" applyAlignment="1">
      <alignment horizontal="center"/>
    </xf>
    <xf numFmtId="0" fontId="21" fillId="0" borderId="33" xfId="20" applyFont="1" applyFill="1" applyBorder="1"/>
    <xf numFmtId="0" fontId="21" fillId="0" borderId="34" xfId="20" applyFont="1" applyFill="1" applyBorder="1"/>
    <xf numFmtId="164" fontId="21" fillId="0" borderId="34" xfId="15" applyNumberFormat="1" applyFont="1" applyFill="1" applyBorder="1"/>
    <xf numFmtId="0" fontId="21" fillId="0" borderId="35" xfId="20" applyFont="1" applyFill="1" applyBorder="1"/>
    <xf numFmtId="0" fontId="21" fillId="0" borderId="11" xfId="20" applyFont="1" applyFill="1" applyBorder="1"/>
    <xf numFmtId="6" fontId="31" fillId="0" borderId="10" xfId="19" quotePrefix="1" applyNumberFormat="1" applyFont="1" applyFill="1" applyBorder="1" applyAlignment="1">
      <alignment horizontal="centerContinuous"/>
    </xf>
    <xf numFmtId="0" fontId="31" fillId="0" borderId="0" xfId="19" applyFont="1" applyFill="1" applyBorder="1" applyAlignment="1">
      <alignment horizontal="centerContinuous"/>
    </xf>
    <xf numFmtId="0" fontId="31" fillId="0" borderId="2" xfId="19" applyFont="1" applyFill="1" applyBorder="1" applyAlignment="1">
      <alignment horizontal="centerContinuous"/>
    </xf>
    <xf numFmtId="0" fontId="31" fillId="0" borderId="0" xfId="19" applyFont="1" applyFill="1" applyBorder="1" applyAlignment="1">
      <alignment horizontal="left"/>
    </xf>
    <xf numFmtId="0" fontId="21" fillId="0" borderId="10" xfId="22" applyFont="1" applyFill="1" applyBorder="1"/>
    <xf numFmtId="0" fontId="21" fillId="0" borderId="0" xfId="22" applyFont="1" applyFill="1" applyBorder="1"/>
    <xf numFmtId="0" fontId="21" fillId="0" borderId="1" xfId="22" applyFont="1" applyFill="1" applyBorder="1" applyAlignment="1">
      <alignment horizontal="center" wrapText="1"/>
    </xf>
    <xf numFmtId="0" fontId="21" fillId="0" borderId="1" xfId="23" applyFont="1" applyFill="1" applyBorder="1" applyAlignment="1">
      <alignment horizontal="center" wrapText="1"/>
    </xf>
    <xf numFmtId="0" fontId="21" fillId="0" borderId="0" xfId="22" applyFont="1" applyFill="1" applyBorder="1" applyAlignment="1">
      <alignment horizontal="center" wrapText="1"/>
    </xf>
    <xf numFmtId="0" fontId="32" fillId="0" borderId="10" xfId="22" applyFont="1" applyFill="1" applyBorder="1"/>
    <xf numFmtId="0" fontId="32" fillId="0" borderId="0" xfId="22" applyFont="1" applyFill="1" applyBorder="1"/>
    <xf numFmtId="5" fontId="32" fillId="0" borderId="0" xfId="15" applyNumberFormat="1" applyFont="1" applyFill="1" applyBorder="1"/>
    <xf numFmtId="0" fontId="31" fillId="0" borderId="10" xfId="22" applyFont="1" applyFill="1" applyBorder="1"/>
    <xf numFmtId="164" fontId="31" fillId="0" borderId="0" xfId="15" applyNumberFormat="1" applyFont="1" applyFill="1" applyBorder="1"/>
    <xf numFmtId="5" fontId="31" fillId="0" borderId="0" xfId="15" applyNumberFormat="1" applyFont="1" applyFill="1" applyBorder="1"/>
    <xf numFmtId="5" fontId="21" fillId="0" borderId="0" xfId="15" applyNumberFormat="1" applyFont="1" applyFill="1" applyBorder="1"/>
    <xf numFmtId="0" fontId="21" fillId="0" borderId="0" xfId="19" applyFont="1" applyBorder="1"/>
    <xf numFmtId="0" fontId="31" fillId="2" borderId="10" xfId="19" applyFont="1" applyFill="1" applyBorder="1"/>
    <xf numFmtId="0" fontId="43" fillId="2" borderId="0" xfId="20" applyFont="1" applyFill="1" applyBorder="1" applyAlignment="1">
      <alignment horizontal="center"/>
    </xf>
    <xf numFmtId="164" fontId="31" fillId="2" borderId="0" xfId="15" applyNumberFormat="1" applyFont="1" applyFill="1" applyBorder="1"/>
    <xf numFmtId="0" fontId="21" fillId="0" borderId="18" xfId="22" applyFont="1" applyBorder="1"/>
    <xf numFmtId="0" fontId="21" fillId="0" borderId="19" xfId="22" applyFont="1" applyBorder="1"/>
    <xf numFmtId="0" fontId="31" fillId="0" borderId="19" xfId="22" applyFont="1" applyBorder="1" applyAlignment="1">
      <alignment horizontal="center"/>
    </xf>
    <xf numFmtId="0" fontId="21" fillId="0" borderId="19" xfId="19" applyFont="1" applyFill="1" applyBorder="1"/>
    <xf numFmtId="0" fontId="21" fillId="0" borderId="19" xfId="20" applyFont="1" applyFill="1" applyBorder="1"/>
    <xf numFmtId="0" fontId="21" fillId="0" borderId="20" xfId="20" applyFont="1" applyFill="1" applyBorder="1"/>
    <xf numFmtId="41" fontId="31" fillId="0" borderId="0" xfId="31" applyFont="1"/>
    <xf numFmtId="41" fontId="21" fillId="0" borderId="0" xfId="31" applyFont="1"/>
    <xf numFmtId="164" fontId="21" fillId="0" borderId="0" xfId="1" applyNumberFormat="1" applyFont="1"/>
    <xf numFmtId="41" fontId="21" fillId="0" borderId="0" xfId="31" applyFont="1" applyAlignment="1">
      <alignment horizontal="center"/>
    </xf>
    <xf numFmtId="164" fontId="21" fillId="0" borderId="0" xfId="1" applyNumberFormat="1" applyFont="1" applyAlignment="1">
      <alignment horizontal="center"/>
    </xf>
    <xf numFmtId="41" fontId="44" fillId="0" borderId="0" xfId="31" applyFont="1" applyAlignment="1">
      <alignment horizontal="center"/>
    </xf>
    <xf numFmtId="164" fontId="44" fillId="0" borderId="0" xfId="1" applyNumberFormat="1" applyFont="1" applyAlignment="1">
      <alignment horizontal="center"/>
    </xf>
    <xf numFmtId="41" fontId="21" fillId="0" borderId="0" xfId="31" quotePrefix="1" applyFont="1" applyAlignment="1">
      <alignment horizontal="center"/>
    </xf>
    <xf numFmtId="167" fontId="21" fillId="0" borderId="0" xfId="2" applyNumberFormat="1" applyFont="1" applyAlignment="1">
      <alignment horizontal="center"/>
    </xf>
    <xf numFmtId="164" fontId="21" fillId="0" borderId="1" xfId="1" applyNumberFormat="1" applyFont="1" applyBorder="1"/>
    <xf numFmtId="41" fontId="21" fillId="0" borderId="0" xfId="31" applyFont="1" applyAlignment="1">
      <alignment horizontal="left" indent="1"/>
    </xf>
    <xf numFmtId="0" fontId="21" fillId="0" borderId="0" xfId="0" applyFont="1" applyAlignment="1">
      <alignment horizontal="left"/>
    </xf>
    <xf numFmtId="41" fontId="31" fillId="0" borderId="1" xfId="1" applyNumberFormat="1" applyFont="1" applyBorder="1" applyAlignment="1">
      <alignment horizontal="center"/>
    </xf>
    <xf numFmtId="41" fontId="31" fillId="0" borderId="1" xfId="0" applyNumberFormat="1" applyFont="1" applyBorder="1" applyAlignment="1">
      <alignment horizontal="center"/>
    </xf>
    <xf numFmtId="41" fontId="31" fillId="0" borderId="0" xfId="1" applyNumberFormat="1" applyFont="1" applyBorder="1" applyAlignment="1">
      <alignment horizontal="center"/>
    </xf>
    <xf numFmtId="0" fontId="31" fillId="0" borderId="0" xfId="19" applyFont="1" applyFill="1" applyBorder="1"/>
    <xf numFmtId="0" fontId="5" fillId="0" borderId="22" xfId="0" applyFont="1" applyFill="1" applyBorder="1" applyAlignment="1">
      <alignment horizontal="center"/>
    </xf>
    <xf numFmtId="0" fontId="5" fillId="0" borderId="23" xfId="0" applyFont="1" applyFill="1" applyBorder="1" applyAlignment="1">
      <alignment horizontal="center"/>
    </xf>
    <xf numFmtId="164" fontId="5" fillId="0" borderId="21" xfId="1" applyNumberFormat="1" applyFont="1" applyFill="1" applyBorder="1" applyAlignment="1">
      <alignment horizontal="center"/>
    </xf>
    <xf numFmtId="164" fontId="5" fillId="0" borderId="22" xfId="1" applyNumberFormat="1" applyFont="1" applyFill="1" applyBorder="1" applyAlignment="1">
      <alignment horizontal="center"/>
    </xf>
    <xf numFmtId="164" fontId="5" fillId="0" borderId="23" xfId="1" applyNumberFormat="1" applyFont="1" applyFill="1" applyBorder="1" applyAlignment="1">
      <alignment horizontal="center"/>
    </xf>
    <xf numFmtId="0" fontId="3" fillId="0" borderId="0" xfId="0" applyFont="1" applyFill="1" applyAlignment="1">
      <alignment horizontal="left" wrapText="1"/>
    </xf>
    <xf numFmtId="0" fontId="14" fillId="0" borderId="0" xfId="6" applyFont="1" applyAlignment="1">
      <alignment horizontal="left" wrapText="1"/>
    </xf>
    <xf numFmtId="0" fontId="15" fillId="0" borderId="0" xfId="6" applyFont="1" applyAlignment="1"/>
    <xf numFmtId="164" fontId="21" fillId="0" borderId="19" xfId="1" applyNumberFormat="1" applyFont="1" applyFill="1" applyBorder="1"/>
    <xf numFmtId="164" fontId="21" fillId="0" borderId="19" xfId="1" quotePrefix="1" applyNumberFormat="1" applyFont="1" applyFill="1" applyBorder="1" applyAlignment="1" applyProtection="1">
      <alignment horizontal="center"/>
      <protection locked="0"/>
    </xf>
    <xf numFmtId="164" fontId="31" fillId="0" borderId="38" xfId="1" applyNumberFormat="1" applyFont="1" applyFill="1" applyBorder="1" applyAlignment="1" applyProtection="1">
      <alignment horizontal="center" vertical="center" wrapText="1"/>
      <protection locked="0"/>
    </xf>
    <xf numFmtId="164" fontId="21" fillId="0" borderId="24" xfId="1" applyNumberFormat="1" applyFont="1" applyFill="1" applyBorder="1" applyAlignment="1" applyProtection="1">
      <alignment horizontal="left"/>
      <protection locked="0"/>
    </xf>
    <xf numFmtId="164" fontId="21" fillId="0" borderId="29" xfId="1" applyNumberFormat="1" applyFont="1" applyFill="1" applyBorder="1" applyProtection="1">
      <protection locked="0"/>
    </xf>
  </cellXfs>
  <cellStyles count="32">
    <cellStyle name="Comma" xfId="1" builtinId="3"/>
    <cellStyle name="Comma 2" xfId="4"/>
    <cellStyle name="Comma 2 2" xfId="15"/>
    <cellStyle name="Comma 2 2 2" xfId="26"/>
    <cellStyle name="Comma 2 3" xfId="9"/>
    <cellStyle name="Comma 4" xfId="10"/>
    <cellStyle name="Currency" xfId="7" builtinId="4"/>
    <cellStyle name="Currency 2" xfId="24"/>
    <cellStyle name="Normal" xfId="0" builtinId="0"/>
    <cellStyle name="Normal 2" xfId="3"/>
    <cellStyle name="Normal 2 2" xfId="19"/>
    <cellStyle name="Normal 3" xfId="6"/>
    <cellStyle name="Normal 3 2 2" xfId="28"/>
    <cellStyle name="Normal 4" xfId="13"/>
    <cellStyle name="Normal 5 3" xfId="22"/>
    <cellStyle name="Normal 5 3 3" xfId="23"/>
    <cellStyle name="Normal 8" xfId="20"/>
    <cellStyle name="Normal 8 2 2" xfId="25"/>
    <cellStyle name="Normal_5.1 NPC Adj WA " xfId="31"/>
    <cellStyle name="Normal_Adjustment Template" xfId="17"/>
    <cellStyle name="Normal_Copy of File50007" xfId="14"/>
    <cellStyle name="Normal_Copy of File50007 (2)" xfId="18"/>
    <cellStyle name="Normal_Remove Idaho Tax Payment Surcharge" xfId="16"/>
    <cellStyle name="Normal_Trapper Mine Adj Dec 2006" xfId="12"/>
    <cellStyle name="Percent" xfId="2" builtinId="5"/>
    <cellStyle name="Percent 2" xfId="5"/>
    <cellStyle name="Percent 2 2" xfId="21"/>
    <cellStyle name="Percent 2 2 2" xfId="27"/>
    <cellStyle name="Percent 3" xfId="11"/>
    <cellStyle name="SAPBEXstdData" xfId="30"/>
    <cellStyle name="SAPBEXstdItem" xfId="29"/>
    <cellStyle name="Style 1" xfId="8"/>
  </cellStyles>
  <dxfs count="19">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CCECFF"/>
    </mruColors>
  </colors>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63" Type="http://schemas.openxmlformats.org/officeDocument/2006/relationships/externalLink" Target="externalLinks/externalLink35.xml"/><Relationship Id="rId68" Type="http://schemas.openxmlformats.org/officeDocument/2006/relationships/externalLink" Target="externalLinks/externalLink40.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53" Type="http://schemas.openxmlformats.org/officeDocument/2006/relationships/externalLink" Target="externalLinks/externalLink25.xml"/><Relationship Id="rId58" Type="http://schemas.openxmlformats.org/officeDocument/2006/relationships/externalLink" Target="externalLinks/externalLink30.xml"/><Relationship Id="rId74" Type="http://schemas.openxmlformats.org/officeDocument/2006/relationships/externalLink" Target="externalLinks/externalLink46.xml"/><Relationship Id="rId79" Type="http://schemas.openxmlformats.org/officeDocument/2006/relationships/externalLink" Target="externalLinks/externalLink51.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externalLink" Target="externalLinks/externalLink28.xml"/><Relationship Id="rId64" Type="http://schemas.openxmlformats.org/officeDocument/2006/relationships/externalLink" Target="externalLinks/externalLink36.xml"/><Relationship Id="rId69" Type="http://schemas.openxmlformats.org/officeDocument/2006/relationships/externalLink" Target="externalLinks/externalLink41.xml"/><Relationship Id="rId77" Type="http://schemas.openxmlformats.org/officeDocument/2006/relationships/externalLink" Target="externalLinks/externalLink49.xml"/><Relationship Id="rId8" Type="http://schemas.openxmlformats.org/officeDocument/2006/relationships/worksheet" Target="worksheets/sheet8.xml"/><Relationship Id="rId51" Type="http://schemas.openxmlformats.org/officeDocument/2006/relationships/externalLink" Target="externalLinks/externalLink23.xml"/><Relationship Id="rId72" Type="http://schemas.openxmlformats.org/officeDocument/2006/relationships/externalLink" Target="externalLinks/externalLink44.xml"/><Relationship Id="rId80" Type="http://schemas.openxmlformats.org/officeDocument/2006/relationships/externalLink" Target="externalLinks/externalLink52.xml"/><Relationship Id="rId85"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59" Type="http://schemas.openxmlformats.org/officeDocument/2006/relationships/externalLink" Target="externalLinks/externalLink31.xml"/><Relationship Id="rId67" Type="http://schemas.openxmlformats.org/officeDocument/2006/relationships/externalLink" Target="externalLinks/externalLink39.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62" Type="http://schemas.openxmlformats.org/officeDocument/2006/relationships/externalLink" Target="externalLinks/externalLink34.xml"/><Relationship Id="rId70" Type="http://schemas.openxmlformats.org/officeDocument/2006/relationships/externalLink" Target="externalLinks/externalLink42.xml"/><Relationship Id="rId75" Type="http://schemas.openxmlformats.org/officeDocument/2006/relationships/externalLink" Target="externalLinks/externalLink47.xml"/><Relationship Id="rId83" Type="http://schemas.openxmlformats.org/officeDocument/2006/relationships/sharedStrings" Target="sharedStrings.xml"/><Relationship Id="rId88"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externalLink" Target="externalLinks/externalLink29.xml"/><Relationship Id="rId10" Type="http://schemas.openxmlformats.org/officeDocument/2006/relationships/worksheet" Target="worksheets/sheet10.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60" Type="http://schemas.openxmlformats.org/officeDocument/2006/relationships/externalLink" Target="externalLinks/externalLink32.xml"/><Relationship Id="rId65" Type="http://schemas.openxmlformats.org/officeDocument/2006/relationships/externalLink" Target="externalLinks/externalLink37.xml"/><Relationship Id="rId73" Type="http://schemas.openxmlformats.org/officeDocument/2006/relationships/externalLink" Target="externalLinks/externalLink45.xml"/><Relationship Id="rId78" Type="http://schemas.openxmlformats.org/officeDocument/2006/relationships/externalLink" Target="externalLinks/externalLink50.xml"/><Relationship Id="rId81" Type="http://schemas.openxmlformats.org/officeDocument/2006/relationships/theme" Target="theme/theme1.xml"/><Relationship Id="rId86"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1.xml"/><Relationship Id="rId34" Type="http://schemas.openxmlformats.org/officeDocument/2006/relationships/externalLink" Target="externalLinks/externalLink6.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76" Type="http://schemas.openxmlformats.org/officeDocument/2006/relationships/externalLink" Target="externalLinks/externalLink48.xml"/><Relationship Id="rId7" Type="http://schemas.openxmlformats.org/officeDocument/2006/relationships/worksheet" Target="worksheets/sheet7.xml"/><Relationship Id="rId71" Type="http://schemas.openxmlformats.org/officeDocument/2006/relationships/externalLink" Target="externalLinks/externalLink43.xml"/><Relationship Id="rId2" Type="http://schemas.openxmlformats.org/officeDocument/2006/relationships/worksheet" Target="worksheets/sheet2.xml"/><Relationship Id="rId29" Type="http://schemas.openxmlformats.org/officeDocument/2006/relationships/externalLink" Target="externalLinks/externalLink1.xml"/><Relationship Id="rId24" Type="http://schemas.openxmlformats.org/officeDocument/2006/relationships/worksheet" Target="worksheets/sheet24.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66" Type="http://schemas.openxmlformats.org/officeDocument/2006/relationships/externalLink" Target="externalLinks/externalLink38.xml"/><Relationship Id="rId87" Type="http://schemas.openxmlformats.org/officeDocument/2006/relationships/customXml" Target="../customXml/item3.xml"/><Relationship Id="rId61" Type="http://schemas.openxmlformats.org/officeDocument/2006/relationships/externalLink" Target="externalLinks/externalLink33.xml"/><Relationship Id="rId8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SB1_GROUPS.PSB.OR.PPW/REGULATN/ER/06_08%20Washington%20GRC/Models/WA%20RAM%20JUNE%202008%20GR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CS%204.11%20Insurance%20Expens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CS%205.1_5.1.1%20Net%20Power%20Cost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CS%209.1%20Production%20Facto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odels/WA%20JAM%202011%20GR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ata/PacifiCorp/Washington/UE-111190/Co%20Supplemental%20Filing/Attachment%20ALJ%201-1/Dalley%20Workpapers/3%20-%20Revenue/RCS%203.1%20-%203.3%20WA%20Rev.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4%20-%20O&amp;M/4.7%20DSM%20Expense%20Remov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4%20-%20O&amp;M/4.2_4.3%20General%20Wage%20Increas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4%20-%20O&amp;M/4.5%20Remove%20Non-Recurring%20Entrie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5%20-%20NPC/5.3%20BPA%20Residential%20Exchang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4%20-%20O&amp;M/4.1%20Misc%20General%20Expens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dels/WA%20RAM%202011%20GR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4%20-%20O&amp;M/4.8%20Inverted%20Rates%20Advertising.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4%20-%20O&amp;M/4.12%20Advertising%20Adjustmen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ata/PacifiCorp/Washington/UE-111190/Co%20Supplemental%20Filing/Attachment%20ALJ%201-1/Dalley%20Workpapers/4%20-%20O&amp;M/RCS%204.1%20Misc%20General%20Expense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4%20-%20O&amp;M/4.9%20MEHC%20Transition%20Cost%20Amortization.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4%20-%20O&amp;M/4.10%20MEHC%20Affiliate%20Adj.%20(MEHC%20Cross%20Charge).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4%20-%20O&amp;M/4.13%20Memberships%20and%20Subscription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8%20-%20Rate%20Base/8.3%20Environmental%20Remediation.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5%20-%20NPC/5.4%20Remove%20Colstrip%20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8%20-%20Rate%20Base/8.5%20Remove%20Colstrip%20%234%20AFUDC.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8%20-%20Rate%20Base/8.9%20Trojan%20Unrecovered%20Pla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venue%20Requirement%20Summary%20Model.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7%20-%20Taxes/7.3%20Malin%20Midpoin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7%20-%20Taxes/7.6%20WA%20Flow-through%20Adjustment.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7%20-%20Taxes/7.7%20Remove%20Deferred%20State%20Tax%20Expense%20and%20Balance.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7%20-%20Taxes/7.8%20WA%20ADIT%20Balance%20Adjustment.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8%20-%20Rate%20Base/8.1%20WA%20Customer%20Service%20Deposit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8%20-%20Rate%20Base/8.2%20-%20Bridger%20Mine.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8%20-%20Rate%20Base/8.6%20Misc%20Rate%20Base.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6%20-%20Depreciation/6.1%20Hydro%20Decommissioning.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8%20-%20Rate%20Base/8.4%20Customer%20Advances.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7%20-%20Taxes/7.5%20AFUDC%20Equit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PacifiCorp/Washington/UE-111190/Party%20Testimony/Exhibit%20(MDF-2).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data/PacifiCorp/Washington/UE-111190/Co%20Supplemental%20Filing/Attachment%20ALJ%201-1/Dalley%20Workpapers/9%20-%20Production%20Factor/RCS%209.1%20Production%20Factor.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3%20-%20Revenue/RCS%203.6%20Wheeling%20Revenu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3%20-%20Revenue/RCS%20SCL%203.7%20Ancillary%20Revenue.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5%20-%20NPC/5.2%20James%20River.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8%20-%20Rate%20Base/8.8%20Reg%20Asset%20Amortization%20Adj.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ata/PacifiCorp/Washington/UE-111190/Co%20Supplemental%20Filing/Attachment%20ALJ%201-1/Dalley%20Workpapers/4%20-%20O&amp;M/RCS%204.2_4.3%20General%20Wage%20Increas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8%20-%20Rate%20Base/8.7%20Powerdale%20WA%20GRC.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8%20-%20Rate%20Base/8.10%20Condit%20Remova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4%20-%20O&amp;M/4.4%20WA%20AMR%20Program.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4%20-%20O&amp;M/4.6%20Pension%20and%20Postretirement%20Curtailment%20and%20Date%20Chang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CS%203.1%20-%203.3%20WA%20Rev.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9%20-%20Production%20Factor/9.1%20Production%20Factor.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7%20-%20Taxes/7.4%20WA%20Public%20Utility%20Tax%20Adjustment.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7%20-%20Taxes/7.2%20Renewable%20Energy%20Tax%20Credi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CS%203.6%20Wheeling%20Revenu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CS%20SCL%203.7%20Ancillary%20Revenu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CS%204.1%20Misc%20General%20Expenses%20CONFIDENTI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CS%204.2_4.3%20General%20Wage%20Increas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sheetData sheetId="1"/>
      <sheetData sheetId="2"/>
      <sheetData sheetId="3"/>
      <sheetData sheetId="4"/>
      <sheetData sheetId="5"/>
      <sheetData sheetId="6"/>
      <sheetData sheetId="7"/>
      <sheetData sheetId="8"/>
      <sheetData sheetId="9"/>
      <sheetData sheetId="10">
        <row r="2">
          <cell r="H2">
            <v>0.61922900000000003</v>
          </cell>
        </row>
        <row r="14">
          <cell r="AP14">
            <v>1</v>
          </cell>
          <cell r="AY14">
            <v>25465376.277413309</v>
          </cell>
          <cell r="AZ14">
            <v>618101548.76720929</v>
          </cell>
          <cell r="BA14">
            <v>2.2313354634285645E-2</v>
          </cell>
        </row>
        <row r="15">
          <cell r="AL15">
            <v>3</v>
          </cell>
        </row>
        <row r="25">
          <cell r="AQ25">
            <v>0.495</v>
          </cell>
          <cell r="AT25">
            <v>6.021E-2</v>
          </cell>
        </row>
        <row r="26">
          <cell r="AQ26">
            <v>4.0000000000000001E-3</v>
          </cell>
          <cell r="AT26">
            <v>5.4100000000000002E-2</v>
          </cell>
        </row>
        <row r="27">
          <cell r="AQ27">
            <v>0.501</v>
          </cell>
        </row>
      </sheetData>
      <sheetData sheetId="11"/>
      <sheetData sheetId="12"/>
      <sheetData sheetId="13"/>
      <sheetData sheetId="14"/>
      <sheetData sheetId="15"/>
      <sheetData sheetId="16">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83183125.009999812</v>
          </cell>
          <cell r="D7">
            <v>993373656.84000003</v>
          </cell>
          <cell r="E7">
            <v>246437321.489999</v>
          </cell>
          <cell r="F7">
            <v>445083073.21999991</v>
          </cell>
          <cell r="G7">
            <v>385095501.87999988</v>
          </cell>
          <cell r="H7">
            <v>1412248642.5399981</v>
          </cell>
          <cell r="I7">
            <v>193553940.7899999</v>
          </cell>
          <cell r="J7">
            <v>59987571.340000004</v>
          </cell>
          <cell r="L7">
            <v>2</v>
          </cell>
          <cell r="M7" t="str">
            <v>General Business Revenues</v>
          </cell>
          <cell r="N7">
            <v>83183125.009999812</v>
          </cell>
          <cell r="O7">
            <v>993373656.84000003</v>
          </cell>
          <cell r="P7">
            <v>246437321.489999</v>
          </cell>
          <cell r="Q7">
            <v>445083073.21999991</v>
          </cell>
          <cell r="R7">
            <v>385095501.87999988</v>
          </cell>
          <cell r="S7">
            <v>1412248642.5399981</v>
          </cell>
          <cell r="T7">
            <v>193553940.7899999</v>
          </cell>
          <cell r="U7">
            <v>59987571.340000004</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39310397.865007512</v>
          </cell>
          <cell r="D9">
            <v>618124242.45340872</v>
          </cell>
          <cell r="E9">
            <v>178104375.22158393</v>
          </cell>
          <cell r="F9">
            <v>33164.879999999997</v>
          </cell>
          <cell r="G9">
            <v>33164.879999999997</v>
          </cell>
          <cell r="H9">
            <v>0</v>
          </cell>
          <cell r="I9">
            <v>0</v>
          </cell>
          <cell r="J9">
            <v>0</v>
          </cell>
          <cell r="L9">
            <v>4</v>
          </cell>
          <cell r="M9" t="str">
            <v>Special Sales</v>
          </cell>
          <cell r="N9">
            <v>39310397.865007512</v>
          </cell>
          <cell r="O9">
            <v>618124242.45340872</v>
          </cell>
          <cell r="P9">
            <v>178104375.22158393</v>
          </cell>
          <cell r="Q9">
            <v>33164.879999999997</v>
          </cell>
          <cell r="R9">
            <v>33164.879999999997</v>
          </cell>
          <cell r="S9">
            <v>0</v>
          </cell>
          <cell r="T9">
            <v>0</v>
          </cell>
          <cell r="U9">
            <v>0</v>
          </cell>
        </row>
        <row r="10">
          <cell r="A10">
            <v>5</v>
          </cell>
          <cell r="B10" t="str">
            <v>Other Operating Revenues</v>
          </cell>
          <cell r="C10">
            <v>3129374.6757320785</v>
          </cell>
          <cell r="D10">
            <v>44787304.309563234</v>
          </cell>
          <cell r="E10">
            <v>12074828.215974312</v>
          </cell>
          <cell r="F10">
            <v>17958596.636441998</v>
          </cell>
          <cell r="G10">
            <v>15442525.091809735</v>
          </cell>
          <cell r="H10">
            <v>57704226.787249103</v>
          </cell>
          <cell r="I10">
            <v>7527471.6761645917</v>
          </cell>
          <cell r="J10">
            <v>2516071.5446322616</v>
          </cell>
          <cell r="L10">
            <v>5</v>
          </cell>
          <cell r="M10" t="str">
            <v>Other Operating Revenues</v>
          </cell>
          <cell r="N10">
            <v>3129374.675892855</v>
          </cell>
          <cell r="O10">
            <v>44787304.307373337</v>
          </cell>
          <cell r="P10">
            <v>12074828.215200946</v>
          </cell>
          <cell r="Q10">
            <v>17958596.636718635</v>
          </cell>
          <cell r="R10">
            <v>15442525.092052221</v>
          </cell>
          <cell r="S10">
            <v>57704226.789684422</v>
          </cell>
          <cell r="T10">
            <v>7527471.6762563065</v>
          </cell>
          <cell r="U10">
            <v>2516071.5446664141</v>
          </cell>
        </row>
        <row r="11">
          <cell r="A11">
            <v>6</v>
          </cell>
          <cell r="B11" t="str">
            <v xml:space="preserve">   Total Operating Revenues</v>
          </cell>
          <cell r="C11">
            <v>125622897.55073941</v>
          </cell>
          <cell r="D11">
            <v>1656285203.602972</v>
          </cell>
          <cell r="E11">
            <v>436616524.92755723</v>
          </cell>
          <cell r="F11">
            <v>463074834.73644191</v>
          </cell>
          <cell r="G11">
            <v>400571191.85180962</v>
          </cell>
          <cell r="H11">
            <v>1469952869.3272471</v>
          </cell>
          <cell r="I11">
            <v>201081412.4661645</v>
          </cell>
          <cell r="J11">
            <v>62503642.884632267</v>
          </cell>
          <cell r="L11">
            <v>6</v>
          </cell>
          <cell r="M11" t="str">
            <v xml:space="preserve">   Total Operating Revenues</v>
          </cell>
          <cell r="N11">
            <v>125622897.55090019</v>
          </cell>
          <cell r="O11">
            <v>1656285203.6007822</v>
          </cell>
          <cell r="P11">
            <v>436616524.92678386</v>
          </cell>
          <cell r="Q11">
            <v>463074834.73671854</v>
          </cell>
          <cell r="R11">
            <v>400571191.85205209</v>
          </cell>
          <cell r="S11">
            <v>1469952869.3296826</v>
          </cell>
          <cell r="T11">
            <v>201081412.4662562</v>
          </cell>
          <cell r="U11">
            <v>62503642.884666421</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9814202.4565289859</v>
          </cell>
          <cell r="D14">
            <v>149773307.47830266</v>
          </cell>
          <cell r="E14">
            <v>43298300.177284896</v>
          </cell>
          <cell r="F14">
            <v>47420059.191665381</v>
          </cell>
          <cell r="G14">
            <v>41134357.139952593</v>
          </cell>
          <cell r="H14">
            <v>138686736.549292</v>
          </cell>
          <cell r="I14">
            <v>19517757.106272735</v>
          </cell>
          <cell r="J14">
            <v>6285702.0517127905</v>
          </cell>
          <cell r="L14">
            <v>9</v>
          </cell>
          <cell r="M14" t="str">
            <v>Steam Production</v>
          </cell>
          <cell r="N14">
            <v>9814202.4565289859</v>
          </cell>
          <cell r="O14">
            <v>149773307.47830266</v>
          </cell>
          <cell r="P14">
            <v>43298300.177284896</v>
          </cell>
          <cell r="Q14">
            <v>47420059.191665381</v>
          </cell>
          <cell r="R14">
            <v>41134357.139952593</v>
          </cell>
          <cell r="S14">
            <v>138686736.549292</v>
          </cell>
          <cell r="T14">
            <v>19517757.106272735</v>
          </cell>
          <cell r="U14">
            <v>6285702.0517127905</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1022916.5897913858</v>
          </cell>
          <cell r="D16">
            <v>16059473.154595006</v>
          </cell>
          <cell r="E16">
            <v>4634547.8556136005</v>
          </cell>
          <cell r="F16">
            <v>2903149.8887448744</v>
          </cell>
          <cell r="G16">
            <v>2518335.4565604585</v>
          </cell>
          <cell r="H16">
            <v>8491039.9904328883</v>
          </cell>
          <cell r="I16">
            <v>1194932.3641294558</v>
          </cell>
          <cell r="J16">
            <v>384814.43218441569</v>
          </cell>
          <cell r="L16">
            <v>11</v>
          </cell>
          <cell r="M16" t="str">
            <v>Hydro Production</v>
          </cell>
          <cell r="N16">
            <v>1022916.5897913858</v>
          </cell>
          <cell r="O16">
            <v>16059473.154595006</v>
          </cell>
          <cell r="P16">
            <v>4634547.8556136005</v>
          </cell>
          <cell r="Q16">
            <v>2903149.8887448744</v>
          </cell>
          <cell r="R16">
            <v>2518335.4565604585</v>
          </cell>
          <cell r="S16">
            <v>8491039.9904328883</v>
          </cell>
          <cell r="T16">
            <v>1194932.3641294558</v>
          </cell>
          <cell r="U16">
            <v>384814.43218441569</v>
          </cell>
        </row>
        <row r="17">
          <cell r="A17">
            <v>12</v>
          </cell>
          <cell r="B17" t="str">
            <v>Other Power Supply</v>
          </cell>
          <cell r="C17">
            <v>55649044.286849491</v>
          </cell>
          <cell r="D17">
            <v>870656633.86181653</v>
          </cell>
          <cell r="E17">
            <v>253545147.16122916</v>
          </cell>
          <cell r="F17">
            <v>16047970.678930271</v>
          </cell>
          <cell r="G17">
            <v>13910330.552413058</v>
          </cell>
          <cell r="H17">
            <v>46730338.07257387</v>
          </cell>
          <cell r="I17">
            <v>6608344.8451751405</v>
          </cell>
          <cell r="J17">
            <v>2137640.1265172148</v>
          </cell>
          <cell r="L17">
            <v>12</v>
          </cell>
          <cell r="M17" t="str">
            <v>Other Power Supply</v>
          </cell>
          <cell r="N17">
            <v>55649044.286849491</v>
          </cell>
          <cell r="O17">
            <v>870656633.86181653</v>
          </cell>
          <cell r="P17">
            <v>253545147.16122916</v>
          </cell>
          <cell r="Q17">
            <v>16047970.678930271</v>
          </cell>
          <cell r="R17">
            <v>13910330.552413058</v>
          </cell>
          <cell r="S17">
            <v>46730338.07257387</v>
          </cell>
          <cell r="T17">
            <v>6608344.8451751405</v>
          </cell>
          <cell r="U17">
            <v>2137640.1265172148</v>
          </cell>
        </row>
        <row r="18">
          <cell r="A18">
            <v>13</v>
          </cell>
          <cell r="B18" t="str">
            <v>Transmission</v>
          </cell>
          <cell r="C18">
            <v>4593284.6759204203</v>
          </cell>
          <cell r="D18">
            <v>71981028.977797985</v>
          </cell>
          <cell r="E18">
            <v>20810063.863494288</v>
          </cell>
          <cell r="F18">
            <v>7164632.7587076072</v>
          </cell>
          <cell r="G18">
            <v>6209504.4067674922</v>
          </cell>
          <cell r="H18">
            <v>20847506.622740816</v>
          </cell>
          <cell r="I18">
            <v>2967693.4218012225</v>
          </cell>
          <cell r="J18">
            <v>955128.35194011475</v>
          </cell>
          <cell r="L18">
            <v>13</v>
          </cell>
          <cell r="M18" t="str">
            <v>Transmission</v>
          </cell>
          <cell r="N18">
            <v>4593284.6759204203</v>
          </cell>
          <cell r="O18">
            <v>71981028.977797985</v>
          </cell>
          <cell r="P18">
            <v>20810063.863494288</v>
          </cell>
          <cell r="Q18">
            <v>7164632.7587076072</v>
          </cell>
          <cell r="R18">
            <v>6209504.4067674922</v>
          </cell>
          <cell r="S18">
            <v>20847506.622740816</v>
          </cell>
          <cell r="T18">
            <v>2967693.4218012225</v>
          </cell>
          <cell r="U18">
            <v>955128.35194011475</v>
          </cell>
        </row>
        <row r="19">
          <cell r="A19">
            <v>14</v>
          </cell>
          <cell r="B19" t="str">
            <v>Distribution</v>
          </cell>
          <cell r="C19">
            <v>12075114.033972474</v>
          </cell>
          <cell r="D19">
            <v>71061447.641564712</v>
          </cell>
          <cell r="E19">
            <v>13877910.489037171</v>
          </cell>
          <cell r="F19">
            <v>19746061.040123675</v>
          </cell>
          <cell r="G19">
            <v>17144372.990740594</v>
          </cell>
          <cell r="H19">
            <v>91606105.768322304</v>
          </cell>
          <cell r="I19">
            <v>10353531.906979438</v>
          </cell>
          <cell r="J19">
            <v>2601688.049383081</v>
          </cell>
          <cell r="L19">
            <v>14</v>
          </cell>
          <cell r="M19" t="str">
            <v>Distribution</v>
          </cell>
          <cell r="N19">
            <v>12075114.033972474</v>
          </cell>
          <cell r="O19">
            <v>71061447.641564712</v>
          </cell>
          <cell r="P19">
            <v>13877910.489037171</v>
          </cell>
          <cell r="Q19">
            <v>19746061.040123675</v>
          </cell>
          <cell r="R19">
            <v>17144372.990740594</v>
          </cell>
          <cell r="S19">
            <v>91606105.768322304</v>
          </cell>
          <cell r="T19">
            <v>10353531.906979438</v>
          </cell>
          <cell r="U19">
            <v>2601688.049383081</v>
          </cell>
        </row>
        <row r="20">
          <cell r="A20">
            <v>15</v>
          </cell>
          <cell r="B20" t="str">
            <v>Customer Accounting</v>
          </cell>
          <cell r="C20">
            <v>2332027.9998118654</v>
          </cell>
          <cell r="D20">
            <v>32515929.91458204</v>
          </cell>
          <cell r="E20">
            <v>7667033.219568898</v>
          </cell>
          <cell r="F20">
            <v>7622445.2691864362</v>
          </cell>
          <cell r="G20">
            <v>6809721.5917297499</v>
          </cell>
          <cell r="H20">
            <v>38772856.521554686</v>
          </cell>
          <cell r="I20">
            <v>4294075.7952959491</v>
          </cell>
          <cell r="J20">
            <v>812723.67745668651</v>
          </cell>
          <cell r="L20">
            <v>15</v>
          </cell>
          <cell r="M20" t="str">
            <v>Customer Accounting</v>
          </cell>
          <cell r="N20">
            <v>2332027.9998118654</v>
          </cell>
          <cell r="O20">
            <v>32515929.91458204</v>
          </cell>
          <cell r="P20">
            <v>7667033.219568898</v>
          </cell>
          <cell r="Q20">
            <v>7622445.2691864362</v>
          </cell>
          <cell r="R20">
            <v>6809721.5917297499</v>
          </cell>
          <cell r="S20">
            <v>38772856.521554686</v>
          </cell>
          <cell r="T20">
            <v>4294075.7952959491</v>
          </cell>
          <cell r="U20">
            <v>812723.67745668651</v>
          </cell>
        </row>
        <row r="21">
          <cell r="A21">
            <v>16</v>
          </cell>
          <cell r="B21" t="str">
            <v>Customer Service &amp; Info</v>
          </cell>
          <cell r="C21">
            <v>444397.9727179184</v>
          </cell>
          <cell r="D21">
            <v>3815172.1110386685</v>
          </cell>
          <cell r="E21">
            <v>2721935.7823128244</v>
          </cell>
          <cell r="F21">
            <v>1367447.8864710606</v>
          </cell>
          <cell r="G21">
            <v>1298493.6568853322</v>
          </cell>
          <cell r="H21">
            <v>21895096.676711783</v>
          </cell>
          <cell r="I21">
            <v>2970759.4407476452</v>
          </cell>
          <cell r="J21">
            <v>68954.229585728492</v>
          </cell>
          <cell r="L21">
            <v>16</v>
          </cell>
          <cell r="M21" t="str">
            <v>Customer Service &amp; Info</v>
          </cell>
          <cell r="N21">
            <v>444397.9727179184</v>
          </cell>
          <cell r="O21">
            <v>3815172.1110386685</v>
          </cell>
          <cell r="P21">
            <v>2721935.7823128244</v>
          </cell>
          <cell r="Q21">
            <v>1367447.8864710606</v>
          </cell>
          <cell r="R21">
            <v>1298493.6568853322</v>
          </cell>
          <cell r="S21">
            <v>21895096.676711783</v>
          </cell>
          <cell r="T21">
            <v>2970759.4407476452</v>
          </cell>
          <cell r="U21">
            <v>68954.229585728492</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3543244.511689743</v>
          </cell>
          <cell r="D23">
            <v>50836586.189107366</v>
          </cell>
          <cell r="E23">
            <v>11946954.066133363</v>
          </cell>
          <cell r="F23">
            <v>23097341.402147297</v>
          </cell>
          <cell r="G23">
            <v>20185964.23675796</v>
          </cell>
          <cell r="H23">
            <v>72011676.830063581</v>
          </cell>
          <cell r="I23">
            <v>9680711.3956312388</v>
          </cell>
          <cell r="J23">
            <v>2911377.1653893376</v>
          </cell>
          <cell r="L23">
            <v>18</v>
          </cell>
          <cell r="M23" t="str">
            <v>Administrative &amp; General</v>
          </cell>
          <cell r="N23">
            <v>3543244.5273854798</v>
          </cell>
          <cell r="O23">
            <v>50836585.975319989</v>
          </cell>
          <cell r="P23">
            <v>11946953.990633933</v>
          </cell>
          <cell r="Q23">
            <v>23097341.429153875</v>
          </cell>
          <cell r="R23">
            <v>20185964.260430437</v>
          </cell>
          <cell r="S23">
            <v>72011677.067809641</v>
          </cell>
          <cell r="T23">
            <v>9680711.4045848921</v>
          </cell>
          <cell r="U23">
            <v>2911377.1687234375</v>
          </cell>
        </row>
        <row r="24">
          <cell r="A24">
            <v>19</v>
          </cell>
          <cell r="B24" t="str">
            <v xml:space="preserve">   Total O&amp;M Expenses</v>
          </cell>
          <cell r="C24">
            <v>89474232.527282283</v>
          </cell>
          <cell r="D24">
            <v>1266699579.328805</v>
          </cell>
          <cell r="E24">
            <v>358501892.61467421</v>
          </cell>
          <cell r="F24">
            <v>125369108.1159766</v>
          </cell>
          <cell r="G24">
            <v>109211080.03180723</v>
          </cell>
          <cell r="H24">
            <v>439041357.03169197</v>
          </cell>
          <cell r="I24">
            <v>57587806.276032828</v>
          </cell>
          <cell r="J24">
            <v>16158028.084169369</v>
          </cell>
          <cell r="L24">
            <v>19</v>
          </cell>
          <cell r="M24" t="str">
            <v xml:space="preserve">   Total O&amp;M Expenses</v>
          </cell>
          <cell r="N24">
            <v>89474232.542978019</v>
          </cell>
          <cell r="O24">
            <v>1266699579.1150177</v>
          </cell>
          <cell r="P24">
            <v>358501892.53917474</v>
          </cell>
          <cell r="Q24">
            <v>125369108.14298317</v>
          </cell>
          <cell r="R24">
            <v>109211080.05547971</v>
          </cell>
          <cell r="S24">
            <v>439041357.26943803</v>
          </cell>
          <cell r="T24">
            <v>57587806.284986481</v>
          </cell>
          <cell r="U24">
            <v>16158028.087503469</v>
          </cell>
        </row>
        <row r="25">
          <cell r="A25">
            <v>20</v>
          </cell>
          <cell r="B25" t="str">
            <v>Depreciation</v>
          </cell>
          <cell r="C25">
            <v>11176666.61273925</v>
          </cell>
          <cell r="D25">
            <v>114931886.32403468</v>
          </cell>
          <cell r="E25">
            <v>31323517.206304189</v>
          </cell>
          <cell r="F25">
            <v>56012641.384772636</v>
          </cell>
          <cell r="G25">
            <v>48086727.18837323</v>
          </cell>
          <cell r="H25">
            <v>173950226.46281102</v>
          </cell>
          <cell r="I25">
            <v>23878070.231717888</v>
          </cell>
          <cell r="J25">
            <v>7925914.1963994084</v>
          </cell>
          <cell r="L25">
            <v>20</v>
          </cell>
          <cell r="M25" t="str">
            <v>Depreciation</v>
          </cell>
          <cell r="N25">
            <v>11176666.614527365</v>
          </cell>
          <cell r="O25">
            <v>114931886.29967923</v>
          </cell>
          <cell r="P25">
            <v>31323517.197703015</v>
          </cell>
          <cell r="Q25">
            <v>56012641.387849331</v>
          </cell>
          <cell r="R25">
            <v>48086727.191070087</v>
          </cell>
          <cell r="S25">
            <v>173950226.48989594</v>
          </cell>
          <cell r="T25">
            <v>23878070.232737921</v>
          </cell>
          <cell r="U25">
            <v>7925914.1967792409</v>
          </cell>
        </row>
        <row r="26">
          <cell r="A26">
            <v>21</v>
          </cell>
          <cell r="B26" t="str">
            <v xml:space="preserve">Amortization </v>
          </cell>
          <cell r="C26">
            <v>1199131.3829695871</v>
          </cell>
          <cell r="D26">
            <v>16060581.810398454</v>
          </cell>
          <cell r="E26">
            <v>3948170.7348690755</v>
          </cell>
          <cell r="F26">
            <v>6996362.1315277601</v>
          </cell>
          <cell r="G26">
            <v>6088254.5999687873</v>
          </cell>
          <cell r="H26">
            <v>21726141.791198239</v>
          </cell>
          <cell r="I26">
            <v>2905599.2145175068</v>
          </cell>
          <cell r="J26">
            <v>908107.53155897243</v>
          </cell>
          <cell r="L26">
            <v>21</v>
          </cell>
          <cell r="M26" t="str">
            <v xml:space="preserve">Amortization </v>
          </cell>
          <cell r="N26">
            <v>1199131.3858157741</v>
          </cell>
          <cell r="O26">
            <v>16060581.771631308</v>
          </cell>
          <cell r="P26">
            <v>3948170.7211783836</v>
          </cell>
          <cell r="Q26">
            <v>6996362.1364249969</v>
          </cell>
          <cell r="R26">
            <v>6088254.6042614356</v>
          </cell>
          <cell r="S26">
            <v>21726141.834309928</v>
          </cell>
          <cell r="T26">
            <v>2905599.2161411177</v>
          </cell>
          <cell r="U26">
            <v>908107.53216356155</v>
          </cell>
        </row>
        <row r="27">
          <cell r="A27">
            <v>22</v>
          </cell>
          <cell r="B27" t="str">
            <v>Taxes Other Than Income</v>
          </cell>
          <cell r="C27">
            <v>2744174.601187129</v>
          </cell>
          <cell r="D27">
            <v>41511915.862366401</v>
          </cell>
          <cell r="E27">
            <v>14275507.24940067</v>
          </cell>
          <cell r="F27">
            <v>11290505.298101205</v>
          </cell>
          <cell r="G27">
            <v>9888624.2848295234</v>
          </cell>
          <cell r="H27">
            <v>31915058.929111194</v>
          </cell>
          <cell r="I27">
            <v>4332830.2073689345</v>
          </cell>
          <cell r="J27">
            <v>1401881.0132716829</v>
          </cell>
          <cell r="L27">
            <v>22</v>
          </cell>
          <cell r="M27" t="str">
            <v>Taxes Other Than Income</v>
          </cell>
          <cell r="N27">
            <v>2744174.2459703428</v>
          </cell>
          <cell r="O27">
            <v>41511920.700678051</v>
          </cell>
          <cell r="P27">
            <v>14275508.958059788</v>
          </cell>
          <cell r="Q27">
            <v>11290504.686904153</v>
          </cell>
          <cell r="R27">
            <v>9888623.7490878738</v>
          </cell>
          <cell r="S27">
            <v>31915053.54858068</v>
          </cell>
          <cell r="T27">
            <v>4332830.0047350619</v>
          </cell>
          <cell r="U27">
            <v>1401880.9378162795</v>
          </cell>
        </row>
        <row r="28">
          <cell r="A28">
            <v>23</v>
          </cell>
          <cell r="B28" t="str">
            <v>Income Taxes - Federal</v>
          </cell>
          <cell r="C28">
            <v>1987639.8302503028</v>
          </cell>
          <cell r="D28">
            <v>4591935.55015855</v>
          </cell>
          <cell r="E28">
            <v>-10899821.455124436</v>
          </cell>
          <cell r="F28">
            <v>54239428.797799461</v>
          </cell>
          <cell r="G28">
            <v>45381142.976545826</v>
          </cell>
          <cell r="H28">
            <v>182394451.11082336</v>
          </cell>
          <cell r="I28">
            <v>26158785.102395564</v>
          </cell>
          <cell r="J28">
            <v>8858285.821253635</v>
          </cell>
          <cell r="L28">
            <v>23</v>
          </cell>
          <cell r="M28" t="str">
            <v>Income Taxes - Federal</v>
          </cell>
          <cell r="N28">
            <v>1987639.4722036484</v>
          </cell>
          <cell r="O28">
            <v>4591940.427015122</v>
          </cell>
          <cell r="P28">
            <v>-10899819.650943227</v>
          </cell>
          <cell r="Q28">
            <v>54239428.181733243</v>
          </cell>
          <cell r="R28">
            <v>45381142.436536133</v>
          </cell>
          <cell r="S28">
            <v>182394445.68742815</v>
          </cell>
          <cell r="T28">
            <v>26158784.898147378</v>
          </cell>
          <cell r="U28">
            <v>8858285.7451971099</v>
          </cell>
        </row>
        <row r="29">
          <cell r="A29">
            <v>24</v>
          </cell>
          <cell r="B29" t="str">
            <v>Income Taxes - State</v>
          </cell>
          <cell r="C29">
            <v>270087.24160714663</v>
          </cell>
          <cell r="D29">
            <v>623967.77701115864</v>
          </cell>
          <cell r="E29">
            <v>0</v>
          </cell>
          <cell r="F29">
            <v>7370237.5487716496</v>
          </cell>
          <cell r="G29">
            <v>6166543.6267552022</v>
          </cell>
          <cell r="H29">
            <v>24784376.64371429</v>
          </cell>
          <cell r="I29">
            <v>3554544.4423954948</v>
          </cell>
          <cell r="J29">
            <v>1203693.9220164469</v>
          </cell>
          <cell r="L29">
            <v>24</v>
          </cell>
          <cell r="M29" t="str">
            <v>Income Taxes - State</v>
          </cell>
          <cell r="N29">
            <v>270087.19295455288</v>
          </cell>
          <cell r="O29">
            <v>623968.4396949705</v>
          </cell>
          <cell r="P29">
            <v>0</v>
          </cell>
          <cell r="Q29">
            <v>7370237.4650584832</v>
          </cell>
          <cell r="R29">
            <v>6166543.5533768544</v>
          </cell>
          <cell r="S29">
            <v>24784375.906764958</v>
          </cell>
          <cell r="T29">
            <v>3554544.4146415587</v>
          </cell>
          <cell r="U29">
            <v>1203693.9116816283</v>
          </cell>
        </row>
        <row r="30">
          <cell r="A30">
            <v>25</v>
          </cell>
          <cell r="B30" t="str">
            <v>Income Taxes - Def Net</v>
          </cell>
          <cell r="C30">
            <v>4812346.2730059596</v>
          </cell>
          <cell r="D30">
            <v>57345591.631099194</v>
          </cell>
          <cell r="E30">
            <v>14681371.069543174</v>
          </cell>
          <cell r="F30">
            <v>34532959.646298386</v>
          </cell>
          <cell r="G30">
            <v>32069282.664572112</v>
          </cell>
          <cell r="H30">
            <v>59863822.9939439</v>
          </cell>
          <cell r="I30">
            <v>9453143.5240170863</v>
          </cell>
          <cell r="J30">
            <v>2463676.9817262772</v>
          </cell>
          <cell r="L30">
            <v>25</v>
          </cell>
          <cell r="M30" t="str">
            <v>Income Taxes - Def Net</v>
          </cell>
          <cell r="N30">
            <v>4812347.0805898057</v>
          </cell>
          <cell r="O30">
            <v>57345580.631218269</v>
          </cell>
          <cell r="P30">
            <v>14681371.397010637</v>
          </cell>
          <cell r="Q30">
            <v>34532961.035852268</v>
          </cell>
          <cell r="R30">
            <v>32069283.882578455</v>
          </cell>
          <cell r="S30">
            <v>59863835.226557069</v>
          </cell>
          <cell r="T30">
            <v>9453143.9847043306</v>
          </cell>
          <cell r="U30">
            <v>2463677.1532738139</v>
          </cell>
        </row>
        <row r="31">
          <cell r="A31">
            <v>26</v>
          </cell>
          <cell r="B31" t="str">
            <v>Investment Tax Credit Adj.</v>
          </cell>
          <cell r="C31">
            <v>0</v>
          </cell>
          <cell r="D31">
            <v>0</v>
          </cell>
          <cell r="E31">
            <v>0</v>
          </cell>
          <cell r="F31">
            <v>-897401.65566157573</v>
          </cell>
          <cell r="G31">
            <v>-778450.4744278494</v>
          </cell>
          <cell r="H31">
            <v>-2624691.6754950746</v>
          </cell>
          <cell r="I31">
            <v>-369369.24480911979</v>
          </cell>
          <cell r="J31">
            <v>-118951.18123372628</v>
          </cell>
          <cell r="L31">
            <v>26</v>
          </cell>
          <cell r="M31" t="str">
            <v>Investment Tax Credit Adj.</v>
          </cell>
          <cell r="N31">
            <v>0</v>
          </cell>
          <cell r="O31">
            <v>0</v>
          </cell>
          <cell r="P31">
            <v>0</v>
          </cell>
          <cell r="Q31">
            <v>-897401.65566157573</v>
          </cell>
          <cell r="R31">
            <v>-778450.4744278494</v>
          </cell>
          <cell r="S31">
            <v>-2624691.6754950746</v>
          </cell>
          <cell r="T31">
            <v>-369369.24480911979</v>
          </cell>
          <cell r="U31">
            <v>-118951.18123372628</v>
          </cell>
        </row>
        <row r="32">
          <cell r="A32">
            <v>27</v>
          </cell>
          <cell r="B32" t="str">
            <v>Misc Revenue &amp; Expense</v>
          </cell>
          <cell r="C32">
            <v>-104153.41588502293</v>
          </cell>
          <cell r="D32">
            <v>-1775820.0821072604</v>
          </cell>
          <cell r="E32">
            <v>-679488.76952298172</v>
          </cell>
          <cell r="F32">
            <v>-1080451.0177393486</v>
          </cell>
          <cell r="G32">
            <v>-928837.70212050446</v>
          </cell>
          <cell r="H32">
            <v>-2662999.4965363201</v>
          </cell>
          <cell r="I32">
            <v>-417891.18353987287</v>
          </cell>
          <cell r="J32">
            <v>-151613.31561884424</v>
          </cell>
          <cell r="L32">
            <v>27</v>
          </cell>
          <cell r="M32" t="str">
            <v>Misc Revenue &amp; Expense</v>
          </cell>
          <cell r="N32">
            <v>-104153.41565857115</v>
          </cell>
          <cell r="O32">
            <v>-1775820.0851916987</v>
          </cell>
          <cell r="P32">
            <v>-679488.77061225707</v>
          </cell>
          <cell r="Q32">
            <v>-1080451.0173497088</v>
          </cell>
          <cell r="R32">
            <v>-928837.70177896752</v>
          </cell>
          <cell r="S32">
            <v>-2662999.4931062153</v>
          </cell>
          <cell r="T32">
            <v>-417891.18341069319</v>
          </cell>
          <cell r="U32">
            <v>-151613.31557074119</v>
          </cell>
        </row>
        <row r="33">
          <cell r="A33">
            <v>28</v>
          </cell>
          <cell r="B33" t="str">
            <v xml:space="preserve">   Total Operating Expenses:</v>
          </cell>
          <cell r="C33">
            <v>111560125.05315664</v>
          </cell>
          <cell r="D33">
            <v>1499989638.201766</v>
          </cell>
          <cell r="E33">
            <v>411151148.65014392</v>
          </cell>
          <cell r="F33">
            <v>293833390.24984682</v>
          </cell>
          <cell r="G33">
            <v>255184367.19630358</v>
          </cell>
          <cell r="H33">
            <v>928387743.79126275</v>
          </cell>
          <cell r="I33">
            <v>127083518.57009631</v>
          </cell>
          <cell r="J33">
            <v>38649023.053543225</v>
          </cell>
          <cell r="L33">
            <v>28</v>
          </cell>
          <cell r="M33" t="str">
            <v xml:space="preserve">   Total Operating Expenses:</v>
          </cell>
          <cell r="N33">
            <v>111560125.11938091</v>
          </cell>
          <cell r="O33">
            <v>1499989637.2997427</v>
          </cell>
          <cell r="P33">
            <v>411151152.3915711</v>
          </cell>
          <cell r="Q33">
            <v>293833390.36379433</v>
          </cell>
          <cell r="R33">
            <v>255184367.29618371</v>
          </cell>
          <cell r="S33">
            <v>928387744.79437339</v>
          </cell>
          <cell r="T33">
            <v>127083518.60787404</v>
          </cell>
          <cell r="U33">
            <v>38649023.067610636</v>
          </cell>
        </row>
        <row r="34">
          <cell r="A34">
            <v>29</v>
          </cell>
          <cell r="L34">
            <v>29</v>
          </cell>
        </row>
        <row r="35">
          <cell r="A35">
            <v>30</v>
          </cell>
          <cell r="B35" t="str">
            <v xml:space="preserve">   Operating Rev For Return:</v>
          </cell>
          <cell r="C35">
            <v>14062772.497582763</v>
          </cell>
          <cell r="D35">
            <v>156295565.40120602</v>
          </cell>
          <cell r="E35">
            <v>25465376.277413309</v>
          </cell>
          <cell r="F35">
            <v>169241444.48659509</v>
          </cell>
          <cell r="G35">
            <v>145386824.65550604</v>
          </cell>
          <cell r="H35">
            <v>541565125.5359844</v>
          </cell>
          <cell r="I35">
            <v>73997893.896068186</v>
          </cell>
          <cell r="J35">
            <v>23854619.831089042</v>
          </cell>
          <cell r="L35">
            <v>30</v>
          </cell>
          <cell r="M35" t="str">
            <v xml:space="preserve">   Operating Rev For Return:</v>
          </cell>
          <cell r="N35">
            <v>14062772.431519285</v>
          </cell>
          <cell r="O35">
            <v>156295566.30103946</v>
          </cell>
          <cell r="P35">
            <v>25465372.535212755</v>
          </cell>
          <cell r="Q35">
            <v>169241444.37292418</v>
          </cell>
          <cell r="R35">
            <v>145386824.55586839</v>
          </cell>
          <cell r="S35">
            <v>541565124.5353092</v>
          </cell>
          <cell r="T35">
            <v>73997893.858382165</v>
          </cell>
          <cell r="U35">
            <v>23854619.817055784</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381219212.2022748</v>
          </cell>
          <cell r="D38">
            <v>4360392345.1151505</v>
          </cell>
          <cell r="E38">
            <v>1165713304.3043392</v>
          </cell>
          <cell r="F38">
            <v>2232737348.3255143</v>
          </cell>
          <cell r="G38">
            <v>1918622533.3399415</v>
          </cell>
          <cell r="H38">
            <v>7157003220.9037676</v>
          </cell>
          <cell r="I38">
            <v>972387478.50520468</v>
          </cell>
          <cell r="J38">
            <v>314114814.98557293</v>
          </cell>
          <cell r="L38">
            <v>33</v>
          </cell>
          <cell r="M38" t="str">
            <v>Electric Plant In Service</v>
          </cell>
          <cell r="N38">
            <v>381219212.26865935</v>
          </cell>
          <cell r="O38">
            <v>4360392344.2109432</v>
          </cell>
          <cell r="P38">
            <v>1165713303.9850171</v>
          </cell>
          <cell r="Q38">
            <v>2232737348.4397378</v>
          </cell>
          <cell r="R38">
            <v>1918622533.4400635</v>
          </cell>
          <cell r="S38">
            <v>7157003221.9093065</v>
          </cell>
          <cell r="T38">
            <v>972387478.54307377</v>
          </cell>
          <cell r="U38">
            <v>314114814.99967444</v>
          </cell>
        </row>
        <row r="39">
          <cell r="A39">
            <v>34</v>
          </cell>
          <cell r="B39" t="str">
            <v>Plant Held for Future Use</v>
          </cell>
          <cell r="C39">
            <v>22671.644040263593</v>
          </cell>
          <cell r="D39">
            <v>635788.19251786673</v>
          </cell>
          <cell r="E39">
            <v>102718.85344186971</v>
          </cell>
          <cell r="F39">
            <v>1800017.7868809509</v>
          </cell>
          <cell r="G39">
            <v>1559138.9835814147</v>
          </cell>
          <cell r="H39">
            <v>6619846.9768716563</v>
          </cell>
          <cell r="I39">
            <v>736503.56102110702</v>
          </cell>
          <cell r="J39">
            <v>240878.80329953617</v>
          </cell>
          <cell r="L39">
            <v>34</v>
          </cell>
          <cell r="M39" t="str">
            <v>Plant Held for Future Use</v>
          </cell>
          <cell r="N39">
            <v>22671.644040263593</v>
          </cell>
          <cell r="O39">
            <v>635788.19251786673</v>
          </cell>
          <cell r="P39">
            <v>102718.85344186971</v>
          </cell>
          <cell r="Q39">
            <v>1800017.7868809509</v>
          </cell>
          <cell r="R39">
            <v>1559138.9835814147</v>
          </cell>
          <cell r="S39">
            <v>6619846.9768716563</v>
          </cell>
          <cell r="T39">
            <v>736503.56102110702</v>
          </cell>
          <cell r="U39">
            <v>240878.80329953617</v>
          </cell>
        </row>
        <row r="40">
          <cell r="A40">
            <v>35</v>
          </cell>
          <cell r="B40" t="str">
            <v>Misc Deferred Debits</v>
          </cell>
          <cell r="C40">
            <v>4800133.9472253881</v>
          </cell>
          <cell r="D40">
            <v>32488648.903170817</v>
          </cell>
          <cell r="E40">
            <v>8368048.5908725131</v>
          </cell>
          <cell r="F40">
            <v>10234366.313895602</v>
          </cell>
          <cell r="G40">
            <v>8851815.9544209987</v>
          </cell>
          <cell r="H40">
            <v>32763207.944892142</v>
          </cell>
          <cell r="I40">
            <v>3977597.3927184255</v>
          </cell>
          <cell r="J40">
            <v>1382550.3594746024</v>
          </cell>
          <cell r="L40">
            <v>35</v>
          </cell>
          <cell r="M40" t="str">
            <v>Misc Deferred Debits</v>
          </cell>
          <cell r="N40">
            <v>4800133.947975711</v>
          </cell>
          <cell r="O40">
            <v>32488648.892950866</v>
          </cell>
          <cell r="P40">
            <v>8368048.5872633168</v>
          </cell>
          <cell r="Q40">
            <v>10234366.315186631</v>
          </cell>
          <cell r="R40">
            <v>8851815.955552645</v>
          </cell>
          <cell r="S40">
            <v>32763207.956257425</v>
          </cell>
          <cell r="T40">
            <v>3977597.3931464492</v>
          </cell>
          <cell r="U40">
            <v>1382550.3596339866</v>
          </cell>
        </row>
        <row r="41">
          <cell r="A41">
            <v>36</v>
          </cell>
          <cell r="B41" t="str">
            <v>Elec Plant Acq Adj</v>
          </cell>
          <cell r="C41">
            <v>0</v>
          </cell>
          <cell r="D41">
            <v>0</v>
          </cell>
          <cell r="E41">
            <v>0</v>
          </cell>
          <cell r="F41">
            <v>16540197.978727881</v>
          </cell>
          <cell r="G41">
            <v>14347783.829504002</v>
          </cell>
          <cell r="H41">
            <v>48376242.312371247</v>
          </cell>
          <cell r="I41">
            <v>6807921.9576345561</v>
          </cell>
          <cell r="J41">
            <v>2192414.149223878</v>
          </cell>
          <cell r="L41">
            <v>36</v>
          </cell>
          <cell r="M41" t="str">
            <v>Elec Plant Acq Adj</v>
          </cell>
          <cell r="N41">
            <v>0</v>
          </cell>
          <cell r="O41">
            <v>0</v>
          </cell>
          <cell r="P41">
            <v>0</v>
          </cell>
          <cell r="Q41">
            <v>16540197.978727881</v>
          </cell>
          <cell r="R41">
            <v>14347783.829504002</v>
          </cell>
          <cell r="S41">
            <v>48376242.312371247</v>
          </cell>
          <cell r="T41">
            <v>6807921.9576345561</v>
          </cell>
          <cell r="U41">
            <v>2192414.149223878</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805045.38622974581</v>
          </cell>
          <cell r="D43">
            <v>11254085.47298635</v>
          </cell>
          <cell r="E43">
            <v>2587030.9013679707</v>
          </cell>
          <cell r="F43">
            <v>4861623.1323852269</v>
          </cell>
          <cell r="G43">
            <v>4192265.0818970851</v>
          </cell>
          <cell r="H43">
            <v>17196758.442474011</v>
          </cell>
          <cell r="I43">
            <v>2217417.0248360462</v>
          </cell>
          <cell r="J43">
            <v>669358.05048814206</v>
          </cell>
          <cell r="L43">
            <v>38</v>
          </cell>
          <cell r="M43" t="str">
            <v>Prepayments</v>
          </cell>
          <cell r="N43">
            <v>805045.37281655683</v>
          </cell>
          <cell r="O43">
            <v>11254085.655683765</v>
          </cell>
          <cell r="P43">
            <v>2587030.9658879163</v>
          </cell>
          <cell r="Q43">
            <v>4861623.1093060775</v>
          </cell>
          <cell r="R43">
            <v>4192265.0616671746</v>
          </cell>
          <cell r="S43">
            <v>17196758.239302102</v>
          </cell>
          <cell r="T43">
            <v>2217417.017184475</v>
          </cell>
          <cell r="U43">
            <v>669358.04763890291</v>
          </cell>
        </row>
        <row r="44">
          <cell r="A44">
            <v>39</v>
          </cell>
          <cell r="B44" t="str">
            <v>Fuel Stock</v>
          </cell>
          <cell r="C44">
            <v>575838.12682024785</v>
          </cell>
          <cell r="D44">
            <v>8700195.8507311381</v>
          </cell>
          <cell r="E44">
            <v>2516743.8687479584</v>
          </cell>
          <cell r="F44">
            <v>17243905.931475069</v>
          </cell>
          <cell r="G44">
            <v>14795101.254695127</v>
          </cell>
          <cell r="H44">
            <v>43610400.749598995</v>
          </cell>
          <cell r="I44">
            <v>6784852.8414635612</v>
          </cell>
          <cell r="J44">
            <v>2448804.6767799417</v>
          </cell>
          <cell r="L44">
            <v>39</v>
          </cell>
          <cell r="M44" t="str">
            <v>Fuel Stock</v>
          </cell>
          <cell r="N44">
            <v>575838.12682024785</v>
          </cell>
          <cell r="O44">
            <v>8700195.8507311381</v>
          </cell>
          <cell r="P44">
            <v>2516743.8687479584</v>
          </cell>
          <cell r="Q44">
            <v>17243905.931475069</v>
          </cell>
          <cell r="R44">
            <v>14795101.254695127</v>
          </cell>
          <cell r="S44">
            <v>43610400.749598995</v>
          </cell>
          <cell r="T44">
            <v>6784852.8414635612</v>
          </cell>
          <cell r="U44">
            <v>2448804.6767799417</v>
          </cell>
        </row>
        <row r="45">
          <cell r="A45">
            <v>40</v>
          </cell>
          <cell r="B45" t="str">
            <v>Material &amp; Supplies</v>
          </cell>
          <cell r="C45">
            <v>1422984.2406823987</v>
          </cell>
          <cell r="D45">
            <v>31349694.812603019</v>
          </cell>
          <cell r="E45">
            <v>6381359.7166541256</v>
          </cell>
          <cell r="F45">
            <v>23837683.258490477</v>
          </cell>
          <cell r="G45">
            <v>20704701.182149883</v>
          </cell>
          <cell r="H45">
            <v>76108721.919313893</v>
          </cell>
          <cell r="I45">
            <v>11054792.260024125</v>
          </cell>
          <cell r="J45">
            <v>3132982.0763405925</v>
          </cell>
          <cell r="L45">
            <v>40</v>
          </cell>
          <cell r="M45" t="str">
            <v>Material &amp; Supplies</v>
          </cell>
          <cell r="N45">
            <v>1422984.2406841528</v>
          </cell>
          <cell r="O45">
            <v>31349694.812579129</v>
          </cell>
          <cell r="P45">
            <v>6381359.7166456878</v>
          </cell>
          <cell r="Q45">
            <v>23837683.258493494</v>
          </cell>
          <cell r="R45">
            <v>20704701.182152528</v>
          </cell>
          <cell r="S45">
            <v>76108721.919340476</v>
          </cell>
          <cell r="T45">
            <v>11054792.260025123</v>
          </cell>
          <cell r="U45">
            <v>3132982.076340965</v>
          </cell>
        </row>
        <row r="46">
          <cell r="A46">
            <v>41</v>
          </cell>
          <cell r="B46" t="str">
            <v>Working Capital</v>
          </cell>
          <cell r="C46">
            <v>4294579.2374047153</v>
          </cell>
          <cell r="D46">
            <v>47874674.220685929</v>
          </cell>
          <cell r="E46">
            <v>12445163.90265738</v>
          </cell>
          <cell r="F46">
            <v>18919612.31177371</v>
          </cell>
          <cell r="G46">
            <v>16441830.604929775</v>
          </cell>
          <cell r="H46">
            <v>66633439.256949611</v>
          </cell>
          <cell r="I46">
            <v>8662200.2236287463</v>
          </cell>
          <cell r="J46">
            <v>2477781.7068439336</v>
          </cell>
          <cell r="L46">
            <v>41</v>
          </cell>
          <cell r="M46" t="str">
            <v>Working Capital</v>
          </cell>
          <cell r="N46">
            <v>4294579.1596392496</v>
          </cell>
          <cell r="O46">
            <v>47874675.27990827</v>
          </cell>
          <cell r="P46">
            <v>12445164.2767238</v>
          </cell>
          <cell r="Q46">
            <v>18919612.177968025</v>
          </cell>
          <cell r="R46">
            <v>16441830.487643089</v>
          </cell>
          <cell r="S46">
            <v>66633438.079022579</v>
          </cell>
          <cell r="T46">
            <v>8662200.1792673357</v>
          </cell>
          <cell r="U46">
            <v>2477781.6903249379</v>
          </cell>
        </row>
        <row r="47">
          <cell r="A47">
            <v>42</v>
          </cell>
          <cell r="B47" t="str">
            <v>Weatherization</v>
          </cell>
          <cell r="C47">
            <v>408768.05909039249</v>
          </cell>
          <cell r="D47">
            <v>-659.5662392542107</v>
          </cell>
          <cell r="E47">
            <v>2100038.729370412</v>
          </cell>
          <cell r="F47">
            <v>416267.61062684224</v>
          </cell>
          <cell r="G47">
            <v>396339.43058786425</v>
          </cell>
          <cell r="H47">
            <v>6556322.3983415449</v>
          </cell>
          <cell r="I47">
            <v>5594051.5457947832</v>
          </cell>
          <cell r="J47">
            <v>19928.180038978011</v>
          </cell>
          <cell r="L47">
            <v>42</v>
          </cell>
          <cell r="M47" t="str">
            <v>Weatherization</v>
          </cell>
          <cell r="N47">
            <v>408768.05909013504</v>
          </cell>
          <cell r="O47">
            <v>-659.56623574720356</v>
          </cell>
          <cell r="P47">
            <v>2100038.7293716506</v>
          </cell>
          <cell r="Q47">
            <v>416267.61062639923</v>
          </cell>
          <cell r="R47">
            <v>396339.43058747589</v>
          </cell>
          <cell r="S47">
            <v>6556322.3983376445</v>
          </cell>
          <cell r="T47">
            <v>5594051.545794636</v>
          </cell>
          <cell r="U47">
            <v>19928.180038923318</v>
          </cell>
        </row>
        <row r="48">
          <cell r="A48">
            <v>43</v>
          </cell>
          <cell r="B48" t="str">
            <v xml:space="preserve">Misc Rate Base </v>
          </cell>
          <cell r="C48">
            <v>294257.54585847346</v>
          </cell>
          <cell r="D48">
            <v>4380157.0086926091</v>
          </cell>
          <cell r="E48">
            <v>474771.24544890749</v>
          </cell>
          <cell r="F48">
            <v>0</v>
          </cell>
          <cell r="G48">
            <v>0</v>
          </cell>
          <cell r="H48">
            <v>0</v>
          </cell>
          <cell r="I48">
            <v>0</v>
          </cell>
          <cell r="J48">
            <v>0</v>
          </cell>
          <cell r="L48">
            <v>43</v>
          </cell>
          <cell r="M48" t="str">
            <v xml:space="preserve">Misc Rate Base </v>
          </cell>
          <cell r="N48">
            <v>294257.54585847346</v>
          </cell>
          <cell r="O48">
            <v>4380157.0086926091</v>
          </cell>
          <cell r="P48">
            <v>474771.24544890749</v>
          </cell>
          <cell r="Q48">
            <v>0</v>
          </cell>
          <cell r="R48">
            <v>0</v>
          </cell>
          <cell r="S48">
            <v>0</v>
          </cell>
          <cell r="T48">
            <v>0</v>
          </cell>
          <cell r="U48">
            <v>0</v>
          </cell>
        </row>
        <row r="49">
          <cell r="A49">
            <v>44</v>
          </cell>
          <cell r="B49" t="str">
            <v xml:space="preserve">   Total Electric Plant:</v>
          </cell>
          <cell r="C49">
            <v>393843490.3896265</v>
          </cell>
          <cell r="D49">
            <v>4497074930.0102987</v>
          </cell>
          <cell r="E49">
            <v>1200689180.1129</v>
          </cell>
          <cell r="F49">
            <v>2326591022.6497698</v>
          </cell>
          <cell r="G49">
            <v>1999911509.6617074</v>
          </cell>
          <cell r="H49">
            <v>7454868160.9045801</v>
          </cell>
          <cell r="I49">
            <v>1018222815.312326</v>
          </cell>
          <cell r="J49">
            <v>326679512.9880625</v>
          </cell>
          <cell r="L49">
            <v>44</v>
          </cell>
          <cell r="M49" t="str">
            <v xml:space="preserve">   Total Electric Plant:</v>
          </cell>
          <cell r="N49">
            <v>393843490.36558419</v>
          </cell>
          <cell r="O49">
            <v>4497074930.3377714</v>
          </cell>
          <cell r="P49">
            <v>1200689180.2285483</v>
          </cell>
          <cell r="Q49">
            <v>2326591022.6084023</v>
          </cell>
          <cell r="R49">
            <v>1999911509.6254468</v>
          </cell>
          <cell r="S49">
            <v>7454868160.5404081</v>
          </cell>
          <cell r="T49">
            <v>1018222815.2986109</v>
          </cell>
          <cell r="U49">
            <v>326679512.98295552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-152826693.40285283</v>
          </cell>
          <cell r="D52">
            <v>-1691337276.8600812</v>
          </cell>
          <cell r="E52">
            <v>-455513070.3357898</v>
          </cell>
          <cell r="F52">
            <v>-879920227.28449357</v>
          </cell>
          <cell r="G52">
            <v>-756325611.01210451</v>
          </cell>
          <cell r="H52">
            <v>-2623054396.3166552</v>
          </cell>
          <cell r="I52">
            <v>-387558957.21141553</v>
          </cell>
          <cell r="J52">
            <v>-123594616.2723891</v>
          </cell>
          <cell r="L52">
            <v>47</v>
          </cell>
          <cell r="M52" t="str">
            <v>Accum Prov For Deprec</v>
          </cell>
          <cell r="N52">
            <v>-152826693.41288137</v>
          </cell>
          <cell r="O52">
            <v>-1691337276.7234855</v>
          </cell>
          <cell r="P52">
            <v>-455513070.28755075</v>
          </cell>
          <cell r="Q52">
            <v>-879920227.30174887</v>
          </cell>
          <cell r="R52">
            <v>-756325611.02722955</v>
          </cell>
          <cell r="S52">
            <v>-2623054396.4685593</v>
          </cell>
          <cell r="T52">
            <v>-387558957.21713632</v>
          </cell>
          <cell r="U52">
            <v>-123594616.27451937</v>
          </cell>
        </row>
        <row r="53">
          <cell r="A53">
            <v>48</v>
          </cell>
          <cell r="B53" t="str">
            <v>Accum Prov For Amort</v>
          </cell>
          <cell r="C53">
            <v>-10324749.558781337</v>
          </cell>
          <cell r="D53">
            <v>-126907044.23160407</v>
          </cell>
          <cell r="E53">
            <v>-32275734.382752582</v>
          </cell>
          <cell r="F53">
            <v>-51854664.250169158</v>
          </cell>
          <cell r="G53">
            <v>-45592413.291019194</v>
          </cell>
          <cell r="H53">
            <v>-161924813.91704053</v>
          </cell>
          <cell r="I53">
            <v>-21041538.180191319</v>
          </cell>
          <cell r="J53">
            <v>-6262250.9591499623</v>
          </cell>
          <cell r="L53">
            <v>48</v>
          </cell>
          <cell r="M53" t="str">
            <v>Accum Prov For Amort</v>
          </cell>
          <cell r="N53">
            <v>-10324749.58527774</v>
          </cell>
          <cell r="O53">
            <v>-126907043.87070373</v>
          </cell>
          <cell r="P53">
            <v>-32275734.255299926</v>
          </cell>
          <cell r="Q53">
            <v>-51854664.295759693</v>
          </cell>
          <cell r="R53">
            <v>-45592413.330981344</v>
          </cell>
          <cell r="S53">
            <v>-161924814.3183862</v>
          </cell>
          <cell r="T53">
            <v>-21041538.195306227</v>
          </cell>
          <cell r="U53">
            <v>-6262250.9647783469</v>
          </cell>
        </row>
        <row r="54">
          <cell r="A54">
            <v>49</v>
          </cell>
          <cell r="B54" t="str">
            <v>Accum Def Income Tax</v>
          </cell>
          <cell r="C54">
            <v>-34476087.710398182</v>
          </cell>
          <cell r="D54">
            <v>-371666371.24572831</v>
          </cell>
          <cell r="E54">
            <v>-88855751.974293724</v>
          </cell>
          <cell r="F54">
            <v>-155919475.5337016</v>
          </cell>
          <cell r="G54">
            <v>-130232952.77661256</v>
          </cell>
          <cell r="H54">
            <v>-565555973.71251786</v>
          </cell>
          <cell r="I54">
            <v>-80027600.830526143</v>
          </cell>
          <cell r="J54">
            <v>-25686522.757089026</v>
          </cell>
          <cell r="L54">
            <v>49</v>
          </cell>
          <cell r="M54" t="str">
            <v>Accum Def Income Tax</v>
          </cell>
          <cell r="N54">
            <v>-34476087.604964301</v>
          </cell>
          <cell r="O54">
            <v>-371666372.68181461</v>
          </cell>
          <cell r="P54">
            <v>-88855752.481450364</v>
          </cell>
          <cell r="Q54">
            <v>-155919475.35228878</v>
          </cell>
          <cell r="R54">
            <v>-130232952.61759609</v>
          </cell>
          <cell r="S54">
            <v>-565555972.11549258</v>
          </cell>
          <cell r="T54">
            <v>-80027600.770381257</v>
          </cell>
          <cell r="U54">
            <v>-25686522.734692682</v>
          </cell>
        </row>
        <row r="55">
          <cell r="A55">
            <v>50</v>
          </cell>
          <cell r="B55" t="str">
            <v>Unamortized ITC</v>
          </cell>
          <cell r="C55">
            <v>-485987.87262933265</v>
          </cell>
          <cell r="D55">
            <v>-7045038.4936113218</v>
          </cell>
          <cell r="E55">
            <v>-1439630.7646533309</v>
          </cell>
          <cell r="F55">
            <v>-1400533.0246153311</v>
          </cell>
          <cell r="G55">
            <v>-1349474.934647331</v>
          </cell>
          <cell r="H55">
            <v>-177010.35437666654</v>
          </cell>
          <cell r="I55">
            <v>-52729.176629999958</v>
          </cell>
          <cell r="J55">
            <v>-51058.089967999957</v>
          </cell>
          <cell r="L55">
            <v>50</v>
          </cell>
          <cell r="M55" t="str">
            <v>Unamortized ITC</v>
          </cell>
          <cell r="N55">
            <v>-485987.87262933265</v>
          </cell>
          <cell r="O55">
            <v>-7045038.4936113218</v>
          </cell>
          <cell r="P55">
            <v>-1439630.7646533309</v>
          </cell>
          <cell r="Q55">
            <v>-1400533.0246153311</v>
          </cell>
          <cell r="R55">
            <v>-1349474.934647331</v>
          </cell>
          <cell r="S55">
            <v>-177010.35437666654</v>
          </cell>
          <cell r="T55">
            <v>-52729.176629999958</v>
          </cell>
          <cell r="U55">
            <v>-51058.089967999957</v>
          </cell>
        </row>
        <row r="56">
          <cell r="A56">
            <v>51</v>
          </cell>
          <cell r="B56" t="str">
            <v>Customer Adv For Const</v>
          </cell>
          <cell r="C56">
            <v>72279.237831746432</v>
          </cell>
          <cell r="D56">
            <v>-77901.235620867694</v>
          </cell>
          <cell r="E56">
            <v>206261.66434642594</v>
          </cell>
          <cell r="F56">
            <v>-4383409.1810825616</v>
          </cell>
          <cell r="G56">
            <v>-3334655.9585801507</v>
          </cell>
          <cell r="H56">
            <v>-12435484.812841244</v>
          </cell>
          <cell r="I56">
            <v>-242622.92722368348</v>
          </cell>
          <cell r="J56">
            <v>-1048753.2225024106</v>
          </cell>
          <cell r="L56">
            <v>51</v>
          </cell>
          <cell r="M56" t="str">
            <v>Customer Adv For Const</v>
          </cell>
          <cell r="N56">
            <v>72279.237831746432</v>
          </cell>
          <cell r="O56">
            <v>-77901.235620867694</v>
          </cell>
          <cell r="P56">
            <v>206261.66434642594</v>
          </cell>
          <cell r="Q56">
            <v>-4383409.1810825616</v>
          </cell>
          <cell r="R56">
            <v>-3334655.9585801507</v>
          </cell>
          <cell r="S56">
            <v>-12435484.812841244</v>
          </cell>
          <cell r="T56">
            <v>-242622.92722368348</v>
          </cell>
          <cell r="U56">
            <v>-1048753.2225024106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-1430169.9373617629</v>
          </cell>
          <cell r="D58">
            <v>-17743277.177475363</v>
          </cell>
          <cell r="E58">
            <v>-4709705.5525476784</v>
          </cell>
          <cell r="F58">
            <v>-8538060.2133495994</v>
          </cell>
          <cell r="G58">
            <v>-7377891.3918645233</v>
          </cell>
          <cell r="H58">
            <v>-25857754.228133671</v>
          </cell>
          <cell r="I58">
            <v>-3707991.0236406168</v>
          </cell>
          <cell r="J58">
            <v>-1160168.8214850761</v>
          </cell>
          <cell r="L58">
            <v>53</v>
          </cell>
          <cell r="M58" t="str">
            <v>Misc Rate Base Deductions</v>
          </cell>
          <cell r="N58">
            <v>-1430169.9403596641</v>
          </cell>
          <cell r="O58">
            <v>-17743277.136641763</v>
          </cell>
          <cell r="P58">
            <v>-4709705.5381272128</v>
          </cell>
          <cell r="Q58">
            <v>-8538060.2185078822</v>
          </cell>
          <cell r="R58">
            <v>-7377891.3963859901</v>
          </cell>
          <cell r="S58">
            <v>-25857754.273543406</v>
          </cell>
          <cell r="T58">
            <v>-3707991.0253507737</v>
          </cell>
          <cell r="U58">
            <v>-1160168.8221218926</v>
          </cell>
        </row>
        <row r="59">
          <cell r="A59">
            <v>54</v>
          </cell>
          <cell r="L59">
            <v>54</v>
          </cell>
        </row>
        <row r="60">
          <cell r="A60">
            <v>55</v>
          </cell>
          <cell r="B60" t="str">
            <v xml:space="preserve">     Total Rate Base Deductions</v>
          </cell>
          <cell r="C60">
            <v>-199471409.24419174</v>
          </cell>
          <cell r="D60">
            <v>-2214776909.2441216</v>
          </cell>
          <cell r="E60">
            <v>-582587631.34569073</v>
          </cell>
          <cell r="F60">
            <v>-1102016369.4874117</v>
          </cell>
          <cell r="G60">
            <v>-944212999.36482823</v>
          </cell>
          <cell r="H60">
            <v>-3389005433.3415651</v>
          </cell>
          <cell r="I60">
            <v>-492631439.34962738</v>
          </cell>
          <cell r="J60">
            <v>-157803370.12258357</v>
          </cell>
          <cell r="L60">
            <v>55</v>
          </cell>
          <cell r="M60" t="str">
            <v xml:space="preserve">     Total Rate Base Deductions</v>
          </cell>
          <cell r="N60">
            <v>-199471409.17828068</v>
          </cell>
          <cell r="O60">
            <v>-2214776910.1418781</v>
          </cell>
          <cell r="P60">
            <v>-582587631.6627351</v>
          </cell>
          <cell r="Q60">
            <v>-1102016369.3740032</v>
          </cell>
          <cell r="R60">
            <v>-944212999.26542044</v>
          </cell>
          <cell r="S60">
            <v>-3389005432.3431997</v>
          </cell>
          <cell r="T60">
            <v>-492631439.31202829</v>
          </cell>
          <cell r="U60">
            <v>-157803370.10858271</v>
          </cell>
        </row>
        <row r="61">
          <cell r="A61">
            <v>56</v>
          </cell>
          <cell r="L61">
            <v>56</v>
          </cell>
        </row>
        <row r="62">
          <cell r="A62">
            <v>57</v>
          </cell>
          <cell r="B62" t="str">
            <v xml:space="preserve">   Total Rate Base:</v>
          </cell>
          <cell r="C62">
            <v>194372081.14543477</v>
          </cell>
          <cell r="D62">
            <v>2282298020.7661772</v>
          </cell>
          <cell r="E62">
            <v>618101548.76720929</v>
          </cell>
          <cell r="F62">
            <v>1224574653.162358</v>
          </cell>
          <cell r="G62">
            <v>1055698510.2968792</v>
          </cell>
          <cell r="H62">
            <v>4065862727.563015</v>
          </cell>
          <cell r="I62">
            <v>525591375.96269858</v>
          </cell>
          <cell r="J62">
            <v>168876142.86547893</v>
          </cell>
          <cell r="L62">
            <v>57</v>
          </cell>
          <cell r="M62" t="str">
            <v xml:space="preserve">   Total Rate Base:</v>
          </cell>
          <cell r="N62">
            <v>194372081.18730351</v>
          </cell>
          <cell r="O62">
            <v>2282298020.1958933</v>
          </cell>
          <cell r="P62">
            <v>618101548.56581318</v>
          </cell>
          <cell r="Q62">
            <v>1224574653.2343991</v>
          </cell>
          <cell r="R62">
            <v>1055698510.3600264</v>
          </cell>
          <cell r="S62">
            <v>4065862728.1972084</v>
          </cell>
          <cell r="T62">
            <v>525591375.98658264</v>
          </cell>
          <cell r="U62">
            <v>168876142.87437281</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-1010225.8338528962</v>
          </cell>
          <cell r="D70">
            <v>-11776814.227473551</v>
          </cell>
          <cell r="E70">
            <v>-3140568.8482446959</v>
          </cell>
          <cell r="F70">
            <v>0</v>
          </cell>
          <cell r="G70">
            <v>-5173271.3538428014</v>
          </cell>
          <cell r="H70">
            <v>-20253940.402032237</v>
          </cell>
          <cell r="I70">
            <v>-2611812.7273674929</v>
          </cell>
          <cell r="J70">
            <v>-853597.66627608298</v>
          </cell>
          <cell r="L70">
            <v>65</v>
          </cell>
          <cell r="M70" t="str">
            <v>Interest (AFUDC)</v>
          </cell>
          <cell r="N70">
            <v>-1010225.6662520111</v>
          </cell>
          <cell r="O70">
            <v>-11776816.51031982</v>
          </cell>
          <cell r="P70">
            <v>-3140569.6544362712</v>
          </cell>
          <cell r="Q70">
            <v>0</v>
          </cell>
          <cell r="R70">
            <v>-5173271.1010654038</v>
          </cell>
          <cell r="S70">
            <v>-20253937.863352448</v>
          </cell>
          <cell r="T70">
            <v>-2611812.631759353</v>
          </cell>
          <cell r="U70">
            <v>-853597.63067418325</v>
          </cell>
        </row>
        <row r="71">
          <cell r="A71">
            <v>66</v>
          </cell>
          <cell r="B71" t="str">
            <v>Interest</v>
          </cell>
          <cell r="C71">
            <v>6643947.660578521</v>
          </cell>
          <cell r="D71">
            <v>77452520.727245912</v>
          </cell>
          <cell r="E71">
            <v>20654564.903177373</v>
          </cell>
          <cell r="F71">
            <v>39636882.155463427</v>
          </cell>
          <cell r="G71">
            <v>34023030.254348725</v>
          </cell>
          <cell r="H71">
            <v>133203997.99949452</v>
          </cell>
          <cell r="I71">
            <v>17177096.920676526</v>
          </cell>
          <cell r="J71">
            <v>5613851.9011147013</v>
          </cell>
          <cell r="L71">
            <v>66</v>
          </cell>
          <cell r="M71" t="str">
            <v>Interest</v>
          </cell>
          <cell r="N71">
            <v>6643946.5583185395</v>
          </cell>
          <cell r="O71">
            <v>77452535.74083063</v>
          </cell>
          <cell r="P71">
            <v>20654570.205253847</v>
          </cell>
          <cell r="Q71">
            <v>39636880.258880608</v>
          </cell>
          <cell r="R71">
            <v>34023028.59190876</v>
          </cell>
          <cell r="S71">
            <v>133203981.30337067</v>
          </cell>
          <cell r="T71">
            <v>17177096.291890908</v>
          </cell>
          <cell r="U71">
            <v>5613851.6669718483</v>
          </cell>
        </row>
        <row r="72">
          <cell r="A72">
            <v>67</v>
          </cell>
          <cell r="B72" t="str">
            <v>Schedule "M" Additions</v>
          </cell>
          <cell r="C72">
            <v>22947151.732648492</v>
          </cell>
          <cell r="D72">
            <v>246882958.28201783</v>
          </cell>
          <cell r="E72">
            <v>64341037.979238182</v>
          </cell>
          <cell r="F72">
            <v>105406342.36138505</v>
          </cell>
          <cell r="G72">
            <v>89953732.030348033</v>
          </cell>
          <cell r="H72">
            <v>340376814.80604202</v>
          </cell>
          <cell r="I72">
            <v>44987118.898922272</v>
          </cell>
          <cell r="J72">
            <v>15452610.331037022</v>
          </cell>
          <cell r="L72">
            <v>67</v>
          </cell>
          <cell r="M72" t="str">
            <v>Schedule "M" Additions</v>
          </cell>
          <cell r="N72">
            <v>22947148.722242586</v>
          </cell>
          <cell r="O72">
            <v>246882999.28594142</v>
          </cell>
          <cell r="P72">
            <v>64341052.459853157</v>
          </cell>
          <cell r="Q72">
            <v>105406337.18158698</v>
          </cell>
          <cell r="R72">
            <v>89953727.490022525</v>
          </cell>
          <cell r="S72">
            <v>340376769.20689952</v>
          </cell>
          <cell r="T72">
            <v>44987117.181632355</v>
          </cell>
          <cell r="U72">
            <v>15452609.691564448</v>
          </cell>
        </row>
        <row r="73">
          <cell r="A73">
            <v>68</v>
          </cell>
          <cell r="B73" t="str">
            <v>Schedule "M" Deductions</v>
          </cell>
          <cell r="C73">
            <v>32497217.563189611</v>
          </cell>
          <cell r="D73">
            <v>386320528.50711328</v>
          </cell>
          <cell r="E73">
            <v>107216314.83077878</v>
          </cell>
          <cell r="F73">
            <v>173942963.93593055</v>
          </cell>
          <cell r="G73">
            <v>153502364.44762158</v>
          </cell>
          <cell r="H73">
            <v>487498462.00005543</v>
          </cell>
          <cell r="I73">
            <v>64922901.976440474</v>
          </cell>
          <cell r="J73">
            <v>20440599.488308955</v>
          </cell>
          <cell r="L73">
            <v>68</v>
          </cell>
          <cell r="M73" t="str">
            <v>Schedule "M" Deductions</v>
          </cell>
          <cell r="N73">
            <v>32497216.89390694</v>
          </cell>
          <cell r="O73">
            <v>386320537.62323135</v>
          </cell>
          <cell r="P73">
            <v>107216318.05015349</v>
          </cell>
          <cell r="Q73">
            <v>173942962.78434196</v>
          </cell>
          <cell r="R73">
            <v>153502363.4382025</v>
          </cell>
          <cell r="S73">
            <v>487498451.86231428</v>
          </cell>
          <cell r="T73">
            <v>64922901.594647318</v>
          </cell>
          <cell r="U73">
            <v>20440599.34613945</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83183125.009999812</v>
          </cell>
          <cell r="O89">
            <v>993373656.84000003</v>
          </cell>
          <cell r="P89">
            <v>246437321.489999</v>
          </cell>
          <cell r="Q89">
            <v>445083073.21999991</v>
          </cell>
          <cell r="R89">
            <v>385095501.87999988</v>
          </cell>
          <cell r="S89">
            <v>1412248642.5399981</v>
          </cell>
          <cell r="T89">
            <v>193553940.7899999</v>
          </cell>
          <cell r="U89">
            <v>59987571.340000004</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10384933.169734715</v>
          </cell>
          <cell r="O91">
            <v>160233763.70778292</v>
          </cell>
          <cell r="P91">
            <v>44979709.331817433</v>
          </cell>
          <cell r="Q91">
            <v>84083829.765487134</v>
          </cell>
          <cell r="R91">
            <v>72264806.969171271</v>
          </cell>
          <cell r="S91">
            <v>240454977.79424739</v>
          </cell>
          <cell r="T91">
            <v>35013573.905771606</v>
          </cell>
          <cell r="U91">
            <v>11819022.796315864</v>
          </cell>
        </row>
        <row r="92">
          <cell r="L92">
            <v>5</v>
          </cell>
          <cell r="M92" t="str">
            <v>Other Operating Revenues</v>
          </cell>
          <cell r="N92">
            <v>2988016.6140542636</v>
          </cell>
          <cell r="O92">
            <v>41993157.580928877</v>
          </cell>
          <cell r="P92">
            <v>11074711.922040647</v>
          </cell>
          <cell r="Q92">
            <v>18978369.46775452</v>
          </cell>
          <cell r="R92">
            <v>16215863.242192483</v>
          </cell>
          <cell r="S92">
            <v>59874169.878358766</v>
          </cell>
          <cell r="T92">
            <v>8015862.2018711399</v>
          </cell>
          <cell r="U92">
            <v>2762506.2255620379</v>
          </cell>
        </row>
        <row r="93">
          <cell r="L93">
            <v>6</v>
          </cell>
          <cell r="M93" t="str">
            <v xml:space="preserve">   Total Operating Revenues</v>
          </cell>
          <cell r="N93">
            <v>96556074.793788791</v>
          </cell>
          <cell r="O93">
            <v>1195600578.1287117</v>
          </cell>
          <cell r="P93">
            <v>302491742.74385709</v>
          </cell>
          <cell r="Q93">
            <v>548145272.45324159</v>
          </cell>
          <cell r="R93">
            <v>473576172.09136367</v>
          </cell>
          <cell r="S93">
            <v>1712577790.2126043</v>
          </cell>
          <cell r="T93">
            <v>236583376.89764264</v>
          </cell>
          <cell r="U93">
            <v>74569100.361877903</v>
          </cell>
        </row>
        <row r="94">
          <cell r="L94">
            <v>7</v>
          </cell>
        </row>
        <row r="95">
          <cell r="L95">
            <v>8</v>
          </cell>
          <cell r="M95" t="str">
            <v xml:space="preserve">   Operating Expenses:</v>
          </cell>
        </row>
        <row r="96">
          <cell r="L96">
            <v>9</v>
          </cell>
          <cell r="M96" t="str">
            <v>Steam Production</v>
          </cell>
          <cell r="N96">
            <v>6769208.6266581584</v>
          </cell>
          <cell r="O96">
            <v>103346376.49525154</v>
          </cell>
          <cell r="P96">
            <v>29509827.428791579</v>
          </cell>
          <cell r="Q96">
            <v>60415790.341877945</v>
          </cell>
          <cell r="R96">
            <v>50041652.183942169</v>
          </cell>
          <cell r="S96">
            <v>195323102.07861701</v>
          </cell>
          <cell r="T96">
            <v>29674995.171134055</v>
          </cell>
          <cell r="U96">
            <v>10374138.157935776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957213.09645254002</v>
          </cell>
          <cell r="O98">
            <v>14680487.2614381</v>
          </cell>
          <cell r="P98">
            <v>4145926.2321034302</v>
          </cell>
          <cell r="Q98">
            <v>6979619.6575433761</v>
          </cell>
          <cell r="R98">
            <v>6657825.5878938362</v>
          </cell>
          <cell r="S98">
            <v>6546817.5504340352</v>
          </cell>
          <cell r="T98">
            <v>953307.27711476351</v>
          </cell>
          <cell r="U98">
            <v>321794.06964954012</v>
          </cell>
        </row>
        <row r="99">
          <cell r="L99">
            <v>12</v>
          </cell>
          <cell r="M99" t="str">
            <v>Other Power Supply</v>
          </cell>
          <cell r="N99">
            <v>18520947.396995224</v>
          </cell>
          <cell r="O99">
            <v>283340264.53644967</v>
          </cell>
          <cell r="P99">
            <v>82500074.171580359</v>
          </cell>
          <cell r="Q99">
            <v>154760051.65963107</v>
          </cell>
          <cell r="R99">
            <v>132943382.97072144</v>
          </cell>
          <cell r="S99">
            <v>429453621.72400331</v>
          </cell>
          <cell r="T99">
            <v>63630028.128937498</v>
          </cell>
          <cell r="U99">
            <v>21816668.688909635</v>
          </cell>
        </row>
        <row r="100">
          <cell r="L100">
            <v>13</v>
          </cell>
          <cell r="M100" t="str">
            <v>Transmission</v>
          </cell>
          <cell r="N100">
            <v>2695433.4824386421</v>
          </cell>
          <cell r="O100">
            <v>41070510.658809491</v>
          </cell>
          <cell r="P100">
            <v>11783338.635968046</v>
          </cell>
          <cell r="Q100">
            <v>23804917.540318865</v>
          </cell>
          <cell r="R100">
            <v>20435155.230287153</v>
          </cell>
          <cell r="S100">
            <v>62662621.776134141</v>
          </cell>
          <cell r="T100">
            <v>9586487.8786566649</v>
          </cell>
          <cell r="U100">
            <v>3369762.3100317121</v>
          </cell>
        </row>
        <row r="101">
          <cell r="L101">
            <v>14</v>
          </cell>
          <cell r="M101" t="str">
            <v>Distribution</v>
          </cell>
          <cell r="N101">
            <v>12127013.504121542</v>
          </cell>
          <cell r="O101">
            <v>71285822.738781095</v>
          </cell>
          <cell r="P101">
            <v>13923214.831215207</v>
          </cell>
          <cell r="Q101">
            <v>19696997.249053542</v>
          </cell>
          <cell r="R101">
            <v>17104073.881848413</v>
          </cell>
          <cell r="S101">
            <v>91375883.949406728</v>
          </cell>
          <cell r="T101">
            <v>10311238.607421678</v>
          </cell>
          <cell r="U101">
            <v>2592923.3672051281</v>
          </cell>
        </row>
        <row r="102">
          <cell r="L102">
            <v>15</v>
          </cell>
          <cell r="M102" t="str">
            <v>Customer Accounting</v>
          </cell>
          <cell r="N102">
            <v>2332027.9998118654</v>
          </cell>
          <cell r="O102">
            <v>32515929.91458204</v>
          </cell>
          <cell r="P102">
            <v>7667033.219568898</v>
          </cell>
          <cell r="Q102">
            <v>7622445.2691864362</v>
          </cell>
          <cell r="R102">
            <v>6809721.5917297499</v>
          </cell>
          <cell r="S102">
            <v>38772856.521554686</v>
          </cell>
          <cell r="T102">
            <v>4294075.7952959491</v>
          </cell>
          <cell r="U102">
            <v>812723.67745668651</v>
          </cell>
        </row>
        <row r="103">
          <cell r="L103">
            <v>16</v>
          </cell>
          <cell r="M103" t="str">
            <v>Customer Service &amp; Info</v>
          </cell>
          <cell r="N103">
            <v>444397.9727179184</v>
          </cell>
          <cell r="O103">
            <v>3815172.1110386685</v>
          </cell>
          <cell r="P103">
            <v>2721935.7823128244</v>
          </cell>
          <cell r="Q103">
            <v>1367447.8864710606</v>
          </cell>
          <cell r="R103">
            <v>1298493.6568853322</v>
          </cell>
          <cell r="S103">
            <v>21895096.676711783</v>
          </cell>
          <cell r="T103">
            <v>2970759.4407476452</v>
          </cell>
          <cell r="U103">
            <v>68954.229585728492</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3907427.4504125775</v>
          </cell>
          <cell r="O105">
            <v>55224368.88251505</v>
          </cell>
          <cell r="P105">
            <v>13025241.22933929</v>
          </cell>
          <cell r="Q105">
            <v>22393603.242087126</v>
          </cell>
          <cell r="R105">
            <v>19573749.626280259</v>
          </cell>
          <cell r="S105">
            <v>67172404.30241783</v>
          </cell>
          <cell r="T105">
            <v>9140112.939492682</v>
          </cell>
          <cell r="U105">
            <v>2819853.6158068674</v>
          </cell>
        </row>
        <row r="106">
          <cell r="L106">
            <v>19</v>
          </cell>
        </row>
        <row r="107">
          <cell r="L107">
            <v>20</v>
          </cell>
          <cell r="M107" t="str">
            <v xml:space="preserve">   Total O&amp;M Expenses</v>
          </cell>
          <cell r="N107">
            <v>47753669.529608466</v>
          </cell>
          <cell r="O107">
            <v>605278932.59886575</v>
          </cell>
          <cell r="P107">
            <v>165276591.53087965</v>
          </cell>
          <cell r="Q107">
            <v>297040872.84616941</v>
          </cell>
          <cell r="R107">
            <v>254864054.72958836</v>
          </cell>
          <cell r="S107">
            <v>913202404.57927954</v>
          </cell>
          <cell r="T107">
            <v>130561005.23880096</v>
          </cell>
          <cell r="U107">
            <v>42176818.116581075</v>
          </cell>
        </row>
        <row r="108">
          <cell r="L108">
            <v>21</v>
          </cell>
        </row>
        <row r="109">
          <cell r="L109">
            <v>22</v>
          </cell>
          <cell r="M109" t="str">
            <v>Depreciation</v>
          </cell>
          <cell r="N109">
            <v>11895413.385738336</v>
          </cell>
          <cell r="O109">
            <v>124425072.02720067</v>
          </cell>
          <cell r="P109">
            <v>33608398.56604559</v>
          </cell>
          <cell r="Q109">
            <v>54759552.228134394</v>
          </cell>
          <cell r="R109">
            <v>46932326.716299281</v>
          </cell>
          <cell r="S109">
            <v>163027672.58508852</v>
          </cell>
          <cell r="T109">
            <v>22841944.968738243</v>
          </cell>
          <cell r="U109">
            <v>7827225.511835115</v>
          </cell>
        </row>
        <row r="110">
          <cell r="L110">
            <v>23</v>
          </cell>
          <cell r="M110" t="str">
            <v xml:space="preserve">Amortization </v>
          </cell>
          <cell r="N110">
            <v>1235439.7528678398</v>
          </cell>
          <cell r="O110">
            <v>16302526.010884471</v>
          </cell>
          <cell r="P110">
            <v>3939101.6924889921</v>
          </cell>
          <cell r="Q110">
            <v>7310685.9466454675</v>
          </cell>
          <cell r="R110">
            <v>6381477.7397001265</v>
          </cell>
          <cell r="S110">
            <v>21097088.194500536</v>
          </cell>
          <cell r="T110">
            <v>2870617.944708759</v>
          </cell>
          <cell r="U110">
            <v>929208.20694534073</v>
          </cell>
        </row>
        <row r="111">
          <cell r="L111">
            <v>24</v>
          </cell>
          <cell r="M111" t="str">
            <v>Taxes Other Than Income</v>
          </cell>
          <cell r="N111">
            <v>2925301.6600781446</v>
          </cell>
          <cell r="O111">
            <v>43720385.044919506</v>
          </cell>
          <cell r="P111">
            <v>14824567.525832109</v>
          </cell>
          <cell r="Q111">
            <v>10914958.967417149</v>
          </cell>
          <cell r="R111">
            <v>9562714.0876962561</v>
          </cell>
          <cell r="S111">
            <v>29505497.366039582</v>
          </cell>
          <cell r="T111">
            <v>4059537.4674049593</v>
          </cell>
          <cell r="U111">
            <v>1352244.8797208923</v>
          </cell>
        </row>
        <row r="112">
          <cell r="L112">
            <v>25</v>
          </cell>
          <cell r="M112" t="str">
            <v>Income Taxes - Federal</v>
          </cell>
          <cell r="N112">
            <v>9250276.8362342324</v>
          </cell>
          <cell r="O112">
            <v>101292935.68248914</v>
          </cell>
          <cell r="P112">
            <v>1802568.1543045172</v>
          </cell>
          <cell r="Q112">
            <v>67838295.135842294</v>
          </cell>
          <cell r="R112">
            <v>48553565.400620922</v>
          </cell>
          <cell r="S112">
            <v>161701770.85074285</v>
          </cell>
          <cell r="T112">
            <v>190060398.8763189</v>
          </cell>
          <cell r="U112">
            <v>19284729.735221371</v>
          </cell>
        </row>
        <row r="113">
          <cell r="L113">
            <v>26</v>
          </cell>
          <cell r="M113" t="str">
            <v>Income Taxes - State</v>
          </cell>
          <cell r="N113">
            <v>1436742.5174018354</v>
          </cell>
          <cell r="O113">
            <v>15730625.419231487</v>
          </cell>
          <cell r="P113">
            <v>283476.16809933656</v>
          </cell>
          <cell r="Q113">
            <v>10535204.029209018</v>
          </cell>
          <cell r="R113">
            <v>7540667.1337487474</v>
          </cell>
          <cell r="S113">
            <v>25088566.368405588</v>
          </cell>
          <cell r="T113">
            <v>29518254.295964748</v>
          </cell>
          <cell r="U113">
            <v>2994536.8954602703</v>
          </cell>
        </row>
        <row r="114">
          <cell r="L114">
            <v>27</v>
          </cell>
          <cell r="M114" t="str">
            <v>Income Taxes - Def Net</v>
          </cell>
          <cell r="N114">
            <v>-876161.23317237303</v>
          </cell>
          <cell r="O114">
            <v>91399905.291789487</v>
          </cell>
          <cell r="P114">
            <v>30534835.31192496</v>
          </cell>
          <cell r="Q114">
            <v>56494676.43094606</v>
          </cell>
          <cell r="R114">
            <v>63646289.405324183</v>
          </cell>
          <cell r="S114">
            <v>82210275.789523512</v>
          </cell>
          <cell r="T114">
            <v>8151764.4144744426</v>
          </cell>
          <cell r="U114">
            <v>-7151612.9743781239</v>
          </cell>
        </row>
        <row r="115">
          <cell r="L115">
            <v>28</v>
          </cell>
          <cell r="M115" t="str">
            <v>Investment Tax Credit Adj.</v>
          </cell>
          <cell r="N115">
            <v>0</v>
          </cell>
          <cell r="O115">
            <v>0</v>
          </cell>
          <cell r="P115">
            <v>0</v>
          </cell>
          <cell r="Q115">
            <v>-159091.2202468568</v>
          </cell>
          <cell r="R115">
            <v>0</v>
          </cell>
          <cell r="S115">
            <v>-3236669.942259694</v>
          </cell>
          <cell r="T115">
            <v>-471303.95582357759</v>
          </cell>
          <cell r="U115">
            <v>-159091.2202468568</v>
          </cell>
        </row>
        <row r="116">
          <cell r="L116">
            <v>29</v>
          </cell>
          <cell r="M116" t="str">
            <v>Misc Revenue &amp; Expense</v>
          </cell>
          <cell r="N116">
            <v>-98125.795669174113</v>
          </cell>
          <cell r="O116">
            <v>-1697705.3571810017</v>
          </cell>
          <cell r="P116">
            <v>-656372.57084070041</v>
          </cell>
          <cell r="Q116">
            <v>-1096784.6938362089</v>
          </cell>
          <cell r="R116">
            <v>-940939.08277364704</v>
          </cell>
          <cell r="S116">
            <v>-2737017.7019309746</v>
          </cell>
          <cell r="T116">
            <v>-433069.28734627937</v>
          </cell>
          <cell r="U116">
            <v>-155845.61106256192</v>
          </cell>
        </row>
        <row r="117">
          <cell r="L117">
            <v>30</v>
          </cell>
        </row>
        <row r="118">
          <cell r="L118">
            <v>31</v>
          </cell>
          <cell r="M118" t="str">
            <v xml:space="preserve">   Total Operating Expenses:</v>
          </cell>
          <cell r="N118">
            <v>73522556.653087303</v>
          </cell>
          <cell r="O118">
            <v>996452676.71819973</v>
          </cell>
          <cell r="P118">
            <v>249613166.37873447</v>
          </cell>
          <cell r="Q118">
            <v>503638369.67028081</v>
          </cell>
          <cell r="R118">
            <v>436540156.13020426</v>
          </cell>
          <cell r="S118">
            <v>1389859588.0893893</v>
          </cell>
          <cell r="T118">
            <v>387159149.96324104</v>
          </cell>
          <cell r="U118">
            <v>67098213.540076531</v>
          </cell>
        </row>
        <row r="119">
          <cell r="L119">
            <v>32</v>
          </cell>
        </row>
        <row r="120">
          <cell r="L120">
            <v>33</v>
          </cell>
          <cell r="M120" t="str">
            <v xml:space="preserve">   Operating Rev For Return:</v>
          </cell>
          <cell r="N120">
            <v>23033518.140701488</v>
          </cell>
          <cell r="O120">
            <v>199147901.41051197</v>
          </cell>
          <cell r="P120">
            <v>52878576.365122616</v>
          </cell>
          <cell r="Q120">
            <v>44506902.78296078</v>
          </cell>
          <cell r="R120">
            <v>37036015.961159408</v>
          </cell>
          <cell r="S120">
            <v>322718202.12321496</v>
          </cell>
          <cell r="T120">
            <v>-150575773.0655984</v>
          </cell>
          <cell r="U120">
            <v>7470886.8218013719</v>
          </cell>
        </row>
        <row r="121">
          <cell r="L121">
            <v>34</v>
          </cell>
        </row>
        <row r="122">
          <cell r="L122">
            <v>35</v>
          </cell>
        </row>
        <row r="123">
          <cell r="L123">
            <v>36</v>
          </cell>
          <cell r="M123" t="str">
            <v xml:space="preserve">   Rate Base:</v>
          </cell>
        </row>
        <row r="124">
          <cell r="L124">
            <v>37</v>
          </cell>
          <cell r="M124" t="str">
            <v>Electric Plant In Service</v>
          </cell>
          <cell r="N124">
            <v>401581255.98865986</v>
          </cell>
          <cell r="O124">
            <v>4618302168.3146343</v>
          </cell>
          <cell r="P124">
            <v>1225289687.2345366</v>
          </cell>
          <cell r="Q124">
            <v>2053842622.5817668</v>
          </cell>
          <cell r="R124">
            <v>1764192748.9209111</v>
          </cell>
          <cell r="S124">
            <v>6317648384.7700195</v>
          </cell>
          <cell r="T124">
            <v>870323354.12187529</v>
          </cell>
          <cell r="U124">
            <v>289649873.66085577</v>
          </cell>
        </row>
        <row r="125">
          <cell r="L125">
            <v>38</v>
          </cell>
          <cell r="M125" t="str">
            <v>Plant Held for Future Use</v>
          </cell>
          <cell r="N125">
            <v>20547.331798199626</v>
          </cell>
          <cell r="O125">
            <v>302901.68470859702</v>
          </cell>
          <cell r="P125">
            <v>87266.504170015818</v>
          </cell>
          <cell r="Q125">
            <v>176255.70974186464</v>
          </cell>
          <cell r="R125">
            <v>150575.5969006079</v>
          </cell>
          <cell r="S125">
            <v>3195400.8132239608</v>
          </cell>
          <cell r="T125">
            <v>71368.919350704382</v>
          </cell>
          <cell r="U125">
            <v>25680.112841256763</v>
          </cell>
        </row>
        <row r="126">
          <cell r="L126">
            <v>39</v>
          </cell>
          <cell r="M126" t="str">
            <v>Misc Deferred Debits</v>
          </cell>
          <cell r="N126">
            <v>3615729.5778764524</v>
          </cell>
          <cell r="O126">
            <v>33760284.935231231</v>
          </cell>
          <cell r="P126">
            <v>7951987.0589400027</v>
          </cell>
          <cell r="Q126">
            <v>10265127.583698526</v>
          </cell>
          <cell r="R126">
            <v>8820100.9964857176</v>
          </cell>
          <cell r="S126">
            <v>34093966.075673029</v>
          </cell>
          <cell r="T126">
            <v>3960294.3864742434</v>
          </cell>
          <cell r="U126">
            <v>1445026.587212808</v>
          </cell>
        </row>
        <row r="127">
          <cell r="L127">
            <v>40</v>
          </cell>
          <cell r="M127" t="str">
            <v>Elec Plant Acq Adj</v>
          </cell>
          <cell r="N127">
            <v>1343492.4739906483</v>
          </cell>
          <cell r="O127">
            <v>20604737.04690434</v>
          </cell>
          <cell r="P127">
            <v>5818997.5786938407</v>
          </cell>
          <cell r="Q127">
            <v>10873583.282813422</v>
          </cell>
          <cell r="R127">
            <v>9344563.5079870913</v>
          </cell>
          <cell r="S127">
            <v>31107513.906939492</v>
          </cell>
          <cell r="T127">
            <v>4529684.7135243677</v>
          </cell>
          <cell r="U127">
            <v>1529019.7748263313</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844035.96648442757</v>
          </cell>
          <cell r="O129">
            <v>11683491.676999206</v>
          </cell>
          <cell r="P129">
            <v>2605582.9621024551</v>
          </cell>
          <cell r="Q129">
            <v>4361031.1832581842</v>
          </cell>
          <cell r="R129">
            <v>3746410.483978942</v>
          </cell>
          <cell r="S129">
            <v>17016377.536400147</v>
          </cell>
          <cell r="T129">
            <v>2025251.8817885662</v>
          </cell>
          <cell r="U129">
            <v>614620.69927924196</v>
          </cell>
        </row>
        <row r="130">
          <cell r="L130">
            <v>43</v>
          </cell>
          <cell r="M130" t="str">
            <v>Fuel Stock</v>
          </cell>
          <cell r="N130">
            <v>1398781.3471350542</v>
          </cell>
          <cell r="O130">
            <v>21242559.346699387</v>
          </cell>
          <cell r="P130">
            <v>6143563.5914632399</v>
          </cell>
          <cell r="Q130">
            <v>12877726.265436551</v>
          </cell>
          <cell r="R130">
            <v>11049386.888123896</v>
          </cell>
          <cell r="S130">
            <v>32584851.766852781</v>
          </cell>
          <cell r="T130">
            <v>5106270.3588159988</v>
          </cell>
          <cell r="U130">
            <v>1828339.3773126549</v>
          </cell>
        </row>
        <row r="131">
          <cell r="L131">
            <v>44</v>
          </cell>
          <cell r="M131" t="str">
            <v>Material &amp; Supplies</v>
          </cell>
          <cell r="N131">
            <v>2223061.9970098077</v>
          </cell>
          <cell r="O131">
            <v>42517829.683028325</v>
          </cell>
          <cell r="P131">
            <v>9623301.8700704481</v>
          </cell>
          <cell r="Q131">
            <v>18886695.958392911</v>
          </cell>
          <cell r="R131">
            <v>16441916.949006658</v>
          </cell>
          <cell r="S131">
            <v>62359173.279504694</v>
          </cell>
          <cell r="T131">
            <v>9082246.8670831565</v>
          </cell>
          <cell r="U131">
            <v>2444779.0093862512</v>
          </cell>
        </row>
        <row r="132">
          <cell r="L132">
            <v>45</v>
          </cell>
          <cell r="M132" t="str">
            <v>Working Capital</v>
          </cell>
          <cell r="N132">
            <v>1550522.6262029598</v>
          </cell>
          <cell r="O132">
            <v>19340085.577705681</v>
          </cell>
          <cell r="P132">
            <v>5253078.4654786699</v>
          </cell>
          <cell r="Q132">
            <v>6713081.5870866543</v>
          </cell>
          <cell r="R132">
            <v>5686246.6276979689</v>
          </cell>
          <cell r="S132">
            <v>30889979.417202611</v>
          </cell>
          <cell r="T132">
            <v>6082727.3801285494</v>
          </cell>
          <cell r="U132">
            <v>1026834.9593886852</v>
          </cell>
        </row>
        <row r="133">
          <cell r="L133">
            <v>46</v>
          </cell>
          <cell r="M133" t="str">
            <v>Weatherization</v>
          </cell>
          <cell r="N133">
            <v>425688.76669051923</v>
          </cell>
          <cell r="O133">
            <v>-732.55173672793501</v>
          </cell>
          <cell r="P133">
            <v>2114671.1003364646</v>
          </cell>
          <cell r="Q133">
            <v>435655.61537236022</v>
          </cell>
          <cell r="R133">
            <v>410255.28008704475</v>
          </cell>
          <cell r="S133">
            <v>6947294.7866472173</v>
          </cell>
          <cell r="T133">
            <v>6130536.5279048262</v>
          </cell>
          <cell r="U133">
            <v>25400.335285315479</v>
          </cell>
        </row>
        <row r="134">
          <cell r="L134">
            <v>47</v>
          </cell>
          <cell r="M134" t="str">
            <v xml:space="preserve">Misc Rate Base </v>
          </cell>
          <cell r="N134">
            <v>212302.64218375471</v>
          </cell>
          <cell r="O134">
            <v>3009326.2867616592</v>
          </cell>
          <cell r="P134">
            <v>-67330.842732923338</v>
          </cell>
          <cell r="Q134">
            <v>1554251.5626466076</v>
          </cell>
          <cell r="R134">
            <v>1496734.359663211</v>
          </cell>
          <cell r="S134">
            <v>1100028.7336455691</v>
          </cell>
          <cell r="T134">
            <v>165676.64708917835</v>
          </cell>
          <cell r="U134">
            <v>57517.202983396557</v>
          </cell>
        </row>
        <row r="135">
          <cell r="L135">
            <v>48</v>
          </cell>
        </row>
        <row r="136">
          <cell r="L136">
            <v>49</v>
          </cell>
          <cell r="M136" t="str">
            <v xml:space="preserve">   Total Electric Plant:</v>
          </cell>
          <cell r="N136">
            <v>413215418.71803164</v>
          </cell>
          <cell r="O136">
            <v>4770762652.0009356</v>
          </cell>
          <cell r="P136">
            <v>1264820805.5230589</v>
          </cell>
          <cell r="Q136">
            <v>2119986031.330214</v>
          </cell>
          <cell r="R136">
            <v>1821338939.6108422</v>
          </cell>
          <cell r="S136">
            <v>6536942971.0861082</v>
          </cell>
          <cell r="T136">
            <v>907477411.80403495</v>
          </cell>
          <cell r="U136">
            <v>298647091.71937168</v>
          </cell>
        </row>
        <row r="137">
          <cell r="L137">
            <v>50</v>
          </cell>
        </row>
        <row r="138">
          <cell r="L138">
            <v>51</v>
          </cell>
          <cell r="M138" t="str">
            <v>Rate Base Deductions:</v>
          </cell>
        </row>
        <row r="139">
          <cell r="L139">
            <v>52</v>
          </cell>
          <cell r="M139" t="str">
            <v>Accum Prov For Deprec</v>
          </cell>
          <cell r="N139">
            <v>-163845852.30708534</v>
          </cell>
          <cell r="O139">
            <v>-1858345450.4365263</v>
          </cell>
          <cell r="P139">
            <v>-497932984.59576213</v>
          </cell>
          <cell r="Q139">
            <v>-831137174.43873882</v>
          </cell>
          <cell r="R139">
            <v>-715313016.19122219</v>
          </cell>
          <cell r="S139">
            <v>-2356074390.2279129</v>
          </cell>
          <cell r="T139">
            <v>-354610961.17235363</v>
          </cell>
          <cell r="U139">
            <v>-115824158.24751669</v>
          </cell>
        </row>
        <row r="140">
          <cell r="L140">
            <v>53</v>
          </cell>
          <cell r="M140" t="str">
            <v>Accum Prov For Amort</v>
          </cell>
          <cell r="N140">
            <v>-9978667.089073075</v>
          </cell>
          <cell r="O140">
            <v>-120232308.51489189</v>
          </cell>
          <cell r="P140">
            <v>-30115997.053364202</v>
          </cell>
          <cell r="Q140">
            <v>-51704685.604418293</v>
          </cell>
          <cell r="R140">
            <v>-45412100.966754362</v>
          </cell>
          <cell r="S140">
            <v>-155704319.32401595</v>
          </cell>
          <cell r="T140">
            <v>-20544322.449913599</v>
          </cell>
          <cell r="U140">
            <v>-6292584.6376639334</v>
          </cell>
        </row>
        <row r="141">
          <cell r="L141">
            <v>54</v>
          </cell>
          <cell r="M141" t="str">
            <v>Accum Def Income Tax</v>
          </cell>
          <cell r="N141">
            <v>-32035615.186389167</v>
          </cell>
          <cell r="O141">
            <v>-352637184.03380418</v>
          </cell>
          <cell r="P141">
            <v>-81420857.407931209</v>
          </cell>
          <cell r="Q141">
            <v>-149792001.52761921</v>
          </cell>
          <cell r="R141">
            <v>-126361660.2964336</v>
          </cell>
          <cell r="S141">
            <v>-526633061.12041563</v>
          </cell>
          <cell r="T141">
            <v>-74804411.222944036</v>
          </cell>
          <cell r="U141">
            <v>-23430341.231185619</v>
          </cell>
        </row>
        <row r="142">
          <cell r="L142">
            <v>55</v>
          </cell>
          <cell r="M142" t="str">
            <v>Unamortized ITC</v>
          </cell>
          <cell r="N142">
            <v>-511968.497714</v>
          </cell>
          <cell r="O142">
            <v>-7435151.3652519993</v>
          </cell>
          <cell r="P142">
            <v>-1518612.2619079999</v>
          </cell>
          <cell r="Q142">
            <v>-1473498.4486219999</v>
          </cell>
          <cell r="R142">
            <v>-1420990.3057579999</v>
          </cell>
          <cell r="S142">
            <v>-182037.45933000001</v>
          </cell>
          <cell r="T142">
            <v>-54226.68849</v>
          </cell>
          <cell r="U142">
            <v>-52508.142864000001</v>
          </cell>
        </row>
        <row r="143">
          <cell r="L143">
            <v>56</v>
          </cell>
          <cell r="M143" t="str">
            <v>Customer Adv For Const</v>
          </cell>
          <cell r="N143">
            <v>-43289.234162741814</v>
          </cell>
          <cell r="O143">
            <v>-952907.69054787629</v>
          </cell>
          <cell r="P143">
            <v>-180641.76176943476</v>
          </cell>
          <cell r="Q143">
            <v>-2251330.0111730294</v>
          </cell>
          <cell r="R143">
            <v>-1571838.2282699586</v>
          </cell>
          <cell r="S143">
            <v>-8961854.477613965</v>
          </cell>
          <cell r="T143">
            <v>-152535.11640252912</v>
          </cell>
          <cell r="U143">
            <v>-679491.78290307068</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-1449850.9307884783</v>
          </cell>
          <cell r="O145">
            <v>-18964525.992807724</v>
          </cell>
          <cell r="P145">
            <v>-5134994.8289773138</v>
          </cell>
          <cell r="Q145">
            <v>-8886366.0883483402</v>
          </cell>
          <cell r="R145">
            <v>-7763410.8232013173</v>
          </cell>
          <cell r="S145">
            <v>-23796258.37694316</v>
          </cell>
          <cell r="T145">
            <v>-3538138.540483742</v>
          </cell>
          <cell r="U145">
            <v>-1122955.2651470238</v>
          </cell>
        </row>
        <row r="146">
          <cell r="L146">
            <v>59</v>
          </cell>
        </row>
        <row r="147">
          <cell r="L147">
            <v>60</v>
          </cell>
          <cell r="M147" t="str">
            <v xml:space="preserve">     Total Rate Base Deductions</v>
          </cell>
          <cell r="N147">
            <v>-207865243.24521282</v>
          </cell>
          <cell r="O147">
            <v>-2358567528.0338302</v>
          </cell>
          <cell r="P147">
            <v>-616304087.90971243</v>
          </cell>
          <cell r="Q147">
            <v>-1045245056.1189196</v>
          </cell>
          <cell r="R147">
            <v>-897843016.81163931</v>
          </cell>
          <cell r="S147">
            <v>-3071351920.9862318</v>
          </cell>
          <cell r="T147">
            <v>-453704595.19058746</v>
          </cell>
          <cell r="U147">
            <v>-147402039.30728033</v>
          </cell>
        </row>
        <row r="148">
          <cell r="L148">
            <v>61</v>
          </cell>
        </row>
        <row r="149">
          <cell r="L149">
            <v>62</v>
          </cell>
          <cell r="M149" t="str">
            <v xml:space="preserve">   Total Rate Base:</v>
          </cell>
          <cell r="N149">
            <v>205350175.47281882</v>
          </cell>
          <cell r="O149">
            <v>2412195123.9671054</v>
          </cell>
          <cell r="P149">
            <v>648516717.61334646</v>
          </cell>
          <cell r="Q149">
            <v>1074740975.2112942</v>
          </cell>
          <cell r="R149">
            <v>923495922.79920292</v>
          </cell>
          <cell r="S149">
            <v>3465591050.0998764</v>
          </cell>
          <cell r="T149">
            <v>453772816.61344749</v>
          </cell>
          <cell r="U149">
            <v>151245052.41209134</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row>
        <row r="158">
          <cell r="L158">
            <v>71</v>
          </cell>
          <cell r="M158" t="str">
            <v>Interest</v>
          </cell>
          <cell r="N158">
            <v>6345234.8412789628</v>
          </cell>
          <cell r="O158">
            <v>74231724.709248871</v>
          </cell>
          <cell r="P158">
            <v>19658722.305478308</v>
          </cell>
          <cell r="Q158">
            <v>32957704.835922886</v>
          </cell>
          <cell r="R158">
            <v>28425709.959654726</v>
          </cell>
          <cell r="S158">
            <v>102953856.27889845</v>
          </cell>
          <cell r="T158">
            <v>13394957.451136254</v>
          </cell>
          <cell r="U158">
            <v>4531994.8762681605</v>
          </cell>
        </row>
        <row r="159">
          <cell r="L159">
            <v>72</v>
          </cell>
          <cell r="M159" t="str">
            <v>Schedule "M" Addition</v>
          </cell>
          <cell r="N159">
            <v>5419450.9833342414</v>
          </cell>
          <cell r="O159">
            <v>59741766.390885524</v>
          </cell>
          <cell r="P159">
            <v>13862570.399922663</v>
          </cell>
          <cell r="Q159">
            <v>88663844.648804635</v>
          </cell>
          <cell r="R159">
            <v>44989788.735160053</v>
          </cell>
          <cell r="S159">
            <v>138083220.4580397</v>
          </cell>
          <cell r="T159">
            <v>519406528.07502437</v>
          </cell>
          <cell r="U159">
            <v>43674055.913644575</v>
          </cell>
        </row>
        <row r="160">
          <cell r="L160">
            <v>73</v>
          </cell>
          <cell r="M160" t="str">
            <v>Schedule "M" Deduction</v>
          </cell>
          <cell r="N160">
            <v>4232271.0233328938</v>
          </cell>
          <cell r="O160">
            <v>89908994.165886521</v>
          </cell>
          <cell r="P160">
            <v>74308170.292738914</v>
          </cell>
          <cell r="Q160">
            <v>31880328.953448478</v>
          </cell>
          <cell r="R160">
            <v>28018520.957520735</v>
          </cell>
          <cell r="S160">
            <v>139633864.72855154</v>
          </cell>
          <cell r="T160">
            <v>13839148.487362694</v>
          </cell>
          <cell r="U160">
            <v>3861807.9959277445</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780397.5760495764</v>
          </cell>
          <cell r="O168">
            <v>10709159.374646192</v>
          </cell>
          <cell r="P168">
            <v>2999273.534884125</v>
          </cell>
          <cell r="Q168">
            <v>3102352.584305211</v>
          </cell>
          <cell r="R168">
            <v>2573889.8839197443</v>
          </cell>
          <cell r="S168">
            <v>19190256.983265389</v>
          </cell>
          <cell r="T168">
            <v>4579354.8226917861</v>
          </cell>
          <cell r="U168">
            <v>528462.70038546692</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83183125.009999812</v>
          </cell>
          <cell r="O176">
            <v>993373656.84000003</v>
          </cell>
          <cell r="P176">
            <v>246437321.489999</v>
          </cell>
          <cell r="Q176">
            <v>445083073.21999991</v>
          </cell>
          <cell r="R176">
            <v>385095501.87999988</v>
          </cell>
          <cell r="S176">
            <v>1412248642.5399981</v>
          </cell>
          <cell r="T176">
            <v>193553940.7899999</v>
          </cell>
          <cell r="U176">
            <v>59987571.340000004</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39310397.865007512</v>
          </cell>
          <cell r="O178">
            <v>618124242.45340872</v>
          </cell>
          <cell r="P178">
            <v>178104375.22158393</v>
          </cell>
          <cell r="Q178">
            <v>33164.879999999997</v>
          </cell>
          <cell r="R178">
            <v>33164.879999999997</v>
          </cell>
          <cell r="S178">
            <v>0</v>
          </cell>
          <cell r="T178">
            <v>0</v>
          </cell>
          <cell r="U178">
            <v>0</v>
          </cell>
        </row>
        <row r="179">
          <cell r="L179">
            <v>5</v>
          </cell>
          <cell r="M179" t="str">
            <v>Other Operating Revenues</v>
          </cell>
          <cell r="N179">
            <v>3129374.675892855</v>
          </cell>
          <cell r="O179">
            <v>44787304.307373337</v>
          </cell>
          <cell r="P179">
            <v>12074828.215200946</v>
          </cell>
          <cell r="Q179">
            <v>17958596.636718635</v>
          </cell>
          <cell r="R179">
            <v>15442525.092052221</v>
          </cell>
          <cell r="S179">
            <v>57704226.789684422</v>
          </cell>
          <cell r="T179">
            <v>7527471.6762563065</v>
          </cell>
          <cell r="U179">
            <v>2516071.5446664141</v>
          </cell>
        </row>
        <row r="180">
          <cell r="L180">
            <v>6</v>
          </cell>
          <cell r="M180" t="str">
            <v xml:space="preserve">   Total Operating Revenues</v>
          </cell>
          <cell r="N180">
            <v>125622897.55090019</v>
          </cell>
          <cell r="O180">
            <v>1656285203.6007822</v>
          </cell>
          <cell r="P180">
            <v>436616524.92678386</v>
          </cell>
          <cell r="Q180">
            <v>463074834.73671854</v>
          </cell>
          <cell r="R180">
            <v>400571191.85205209</v>
          </cell>
          <cell r="S180">
            <v>1469952869.3296826</v>
          </cell>
          <cell r="T180">
            <v>201081412.4662562</v>
          </cell>
          <cell r="U180">
            <v>62503642.884666421</v>
          </cell>
        </row>
        <row r="181">
          <cell r="L181">
            <v>7</v>
          </cell>
        </row>
        <row r="182">
          <cell r="L182">
            <v>8</v>
          </cell>
          <cell r="M182" t="str">
            <v xml:space="preserve">   Operating Expenses:</v>
          </cell>
        </row>
        <row r="183">
          <cell r="L183">
            <v>9</v>
          </cell>
          <cell r="M183" t="str">
            <v>Steam Production</v>
          </cell>
          <cell r="N183">
            <v>9814202.4565289859</v>
          </cell>
          <cell r="O183">
            <v>149773307.47830266</v>
          </cell>
          <cell r="P183">
            <v>43298300.177284896</v>
          </cell>
          <cell r="Q183">
            <v>47420059.191665381</v>
          </cell>
          <cell r="R183">
            <v>41134357.139952593</v>
          </cell>
          <cell r="S183">
            <v>138686736.549292</v>
          </cell>
          <cell r="T183">
            <v>19517757.106272735</v>
          </cell>
          <cell r="U183">
            <v>6285702.0517127905</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1022916.5897913858</v>
          </cell>
          <cell r="O185">
            <v>16059473.154595006</v>
          </cell>
          <cell r="P185">
            <v>4634547.8556136005</v>
          </cell>
          <cell r="Q185">
            <v>2903149.8887448744</v>
          </cell>
          <cell r="R185">
            <v>2518335.4565604585</v>
          </cell>
          <cell r="S185">
            <v>8491039.9904328883</v>
          </cell>
          <cell r="T185">
            <v>1194932.3641294558</v>
          </cell>
          <cell r="U185">
            <v>384814.43218441569</v>
          </cell>
        </row>
        <row r="186">
          <cell r="L186">
            <v>12</v>
          </cell>
          <cell r="M186" t="str">
            <v>Other Power Supply</v>
          </cell>
          <cell r="N186">
            <v>55649044.286849491</v>
          </cell>
          <cell r="O186">
            <v>870656633.86181653</v>
          </cell>
          <cell r="P186">
            <v>253545147.16122916</v>
          </cell>
          <cell r="Q186">
            <v>16047970.678930271</v>
          </cell>
          <cell r="R186">
            <v>13910330.552413058</v>
          </cell>
          <cell r="S186">
            <v>46730338.07257387</v>
          </cell>
          <cell r="T186">
            <v>6608344.8451751405</v>
          </cell>
          <cell r="U186">
            <v>2137640.1265172148</v>
          </cell>
        </row>
        <row r="187">
          <cell r="L187">
            <v>13</v>
          </cell>
          <cell r="M187" t="str">
            <v>Transmission</v>
          </cell>
          <cell r="N187">
            <v>4593284.6759204203</v>
          </cell>
          <cell r="O187">
            <v>71981028.977797985</v>
          </cell>
          <cell r="P187">
            <v>20810063.863494288</v>
          </cell>
          <cell r="Q187">
            <v>7164632.7587076072</v>
          </cell>
          <cell r="R187">
            <v>6209504.4067674922</v>
          </cell>
          <cell r="S187">
            <v>20847506.622740816</v>
          </cell>
          <cell r="T187">
            <v>2967693.4218012225</v>
          </cell>
          <cell r="U187">
            <v>955128.35194011475</v>
          </cell>
        </row>
        <row r="188">
          <cell r="L188">
            <v>14</v>
          </cell>
          <cell r="M188" t="str">
            <v>Distribution</v>
          </cell>
          <cell r="N188">
            <v>12075114.033972474</v>
          </cell>
          <cell r="O188">
            <v>71061447.641564712</v>
          </cell>
          <cell r="P188">
            <v>13877910.489037171</v>
          </cell>
          <cell r="Q188">
            <v>19746061.040123675</v>
          </cell>
          <cell r="R188">
            <v>17144372.990740594</v>
          </cell>
          <cell r="S188">
            <v>91606105.768322304</v>
          </cell>
          <cell r="T188">
            <v>10353531.906979438</v>
          </cell>
          <cell r="U188">
            <v>2601688.049383081</v>
          </cell>
        </row>
        <row r="189">
          <cell r="L189">
            <v>15</v>
          </cell>
          <cell r="M189" t="str">
            <v>Customer Accounting</v>
          </cell>
          <cell r="N189">
            <v>2332027.9998118654</v>
          </cell>
          <cell r="O189">
            <v>32515929.91458204</v>
          </cell>
          <cell r="P189">
            <v>7667033.219568898</v>
          </cell>
          <cell r="Q189">
            <v>7622445.2691864362</v>
          </cell>
          <cell r="R189">
            <v>6809721.5917297499</v>
          </cell>
          <cell r="S189">
            <v>38772856.521554686</v>
          </cell>
          <cell r="T189">
            <v>4294075.7952959491</v>
          </cell>
          <cell r="U189">
            <v>812723.67745668651</v>
          </cell>
        </row>
        <row r="190">
          <cell r="L190">
            <v>16</v>
          </cell>
          <cell r="M190" t="str">
            <v>Customer Service &amp; Info</v>
          </cell>
          <cell r="N190">
            <v>444397.9727179184</v>
          </cell>
          <cell r="O190">
            <v>3815172.1110386685</v>
          </cell>
          <cell r="P190">
            <v>2721935.7823128244</v>
          </cell>
          <cell r="Q190">
            <v>1367447.8864710606</v>
          </cell>
          <cell r="R190">
            <v>1298493.6568853322</v>
          </cell>
          <cell r="S190">
            <v>21895096.676711783</v>
          </cell>
          <cell r="T190">
            <v>2970759.4407476452</v>
          </cell>
          <cell r="U190">
            <v>68954.229585728492</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3543244.5273854798</v>
          </cell>
          <cell r="O192">
            <v>50836585.975319989</v>
          </cell>
          <cell r="P192">
            <v>11946953.990633933</v>
          </cell>
          <cell r="Q192">
            <v>23097341.429153875</v>
          </cell>
          <cell r="R192">
            <v>20185964.260430437</v>
          </cell>
          <cell r="S192">
            <v>72011677.067809641</v>
          </cell>
          <cell r="T192">
            <v>9680711.4045848921</v>
          </cell>
          <cell r="U192">
            <v>2911377.1687234375</v>
          </cell>
        </row>
        <row r="193">
          <cell r="L193">
            <v>19</v>
          </cell>
        </row>
        <row r="194">
          <cell r="L194">
            <v>20</v>
          </cell>
          <cell r="M194" t="str">
            <v xml:space="preserve">   Total O&amp;M Expenses</v>
          </cell>
          <cell r="N194">
            <v>89474232.542978019</v>
          </cell>
          <cell r="O194">
            <v>1266699579.1150177</v>
          </cell>
          <cell r="P194">
            <v>358501892.53917474</v>
          </cell>
          <cell r="Q194">
            <v>125369108.14298317</v>
          </cell>
          <cell r="R194">
            <v>109211080.05547971</v>
          </cell>
          <cell r="S194">
            <v>439041357.26943803</v>
          </cell>
          <cell r="T194">
            <v>57587806.284986481</v>
          </cell>
          <cell r="U194">
            <v>16158028.087503469</v>
          </cell>
        </row>
        <row r="195">
          <cell r="L195">
            <v>21</v>
          </cell>
        </row>
        <row r="196">
          <cell r="L196">
            <v>22</v>
          </cell>
          <cell r="M196" t="str">
            <v>Depreciation</v>
          </cell>
          <cell r="N196">
            <v>11176666.614527365</v>
          </cell>
          <cell r="O196">
            <v>114931886.29967923</v>
          </cell>
          <cell r="P196">
            <v>31323517.197703015</v>
          </cell>
          <cell r="Q196">
            <v>56012641.387849331</v>
          </cell>
          <cell r="R196">
            <v>48086727.191070087</v>
          </cell>
          <cell r="S196">
            <v>173950226.48989594</v>
          </cell>
          <cell r="T196">
            <v>23878070.232737921</v>
          </cell>
          <cell r="U196">
            <v>7925914.1967792409</v>
          </cell>
        </row>
        <row r="197">
          <cell r="L197">
            <v>23</v>
          </cell>
          <cell r="M197" t="str">
            <v xml:space="preserve">Amortization </v>
          </cell>
          <cell r="N197">
            <v>1199131.3858157741</v>
          </cell>
          <cell r="O197">
            <v>16060581.771631308</v>
          </cell>
          <cell r="P197">
            <v>3948170.7211783836</v>
          </cell>
          <cell r="Q197">
            <v>6996362.1364249969</v>
          </cell>
          <cell r="R197">
            <v>6088254.6042614356</v>
          </cell>
          <cell r="S197">
            <v>21726141.834309928</v>
          </cell>
          <cell r="T197">
            <v>2905599.2161411177</v>
          </cell>
          <cell r="U197">
            <v>908107.53216356155</v>
          </cell>
        </row>
        <row r="198">
          <cell r="L198">
            <v>24</v>
          </cell>
          <cell r="M198" t="str">
            <v>Taxes Other Than Income</v>
          </cell>
          <cell r="N198">
            <v>2744174.2459703428</v>
          </cell>
          <cell r="O198">
            <v>41511920.700678051</v>
          </cell>
          <cell r="P198">
            <v>14275508.958059788</v>
          </cell>
          <cell r="Q198">
            <v>11290504.686904153</v>
          </cell>
          <cell r="R198">
            <v>9888623.7490878738</v>
          </cell>
          <cell r="S198">
            <v>31915053.54858068</v>
          </cell>
          <cell r="T198">
            <v>4332830.0047350619</v>
          </cell>
          <cell r="U198">
            <v>1401880.9378162795</v>
          </cell>
        </row>
        <row r="199">
          <cell r="L199">
            <v>25</v>
          </cell>
          <cell r="M199" t="str">
            <v>Income Taxes - Federal</v>
          </cell>
          <cell r="N199">
            <v>1987639.4722036484</v>
          </cell>
          <cell r="O199">
            <v>4591940.427015122</v>
          </cell>
          <cell r="P199">
            <v>-10899819.650943227</v>
          </cell>
          <cell r="Q199">
            <v>54239428.181733243</v>
          </cell>
          <cell r="R199">
            <v>45381142.436536133</v>
          </cell>
          <cell r="S199">
            <v>182394445.68742815</v>
          </cell>
          <cell r="T199">
            <v>26158784.898147378</v>
          </cell>
          <cell r="U199">
            <v>8858285.7451971099</v>
          </cell>
        </row>
        <row r="200">
          <cell r="L200">
            <v>26</v>
          </cell>
          <cell r="M200" t="str">
            <v>Income Taxes - State</v>
          </cell>
          <cell r="N200">
            <v>270087.19295455288</v>
          </cell>
          <cell r="O200">
            <v>623968.4396949705</v>
          </cell>
          <cell r="P200">
            <v>0</v>
          </cell>
          <cell r="Q200">
            <v>7370237.4650584832</v>
          </cell>
          <cell r="R200">
            <v>6166543.5533768544</v>
          </cell>
          <cell r="S200">
            <v>24784375.906764958</v>
          </cell>
          <cell r="T200">
            <v>3554544.4146415587</v>
          </cell>
          <cell r="U200">
            <v>1203693.9116816283</v>
          </cell>
        </row>
        <row r="201">
          <cell r="L201">
            <v>27</v>
          </cell>
          <cell r="M201" t="str">
            <v>Income Taxes - Def Net</v>
          </cell>
          <cell r="N201">
            <v>4812347.0805898057</v>
          </cell>
          <cell r="O201">
            <v>57345580.631218269</v>
          </cell>
          <cell r="P201">
            <v>14681371.397010637</v>
          </cell>
          <cell r="Q201">
            <v>34532961.035852268</v>
          </cell>
          <cell r="R201">
            <v>32069283.882578455</v>
          </cell>
          <cell r="S201">
            <v>59863835.226557069</v>
          </cell>
          <cell r="T201">
            <v>9453143.9847043306</v>
          </cell>
          <cell r="U201">
            <v>2463677.1532738139</v>
          </cell>
        </row>
        <row r="202">
          <cell r="L202">
            <v>28</v>
          </cell>
          <cell r="M202" t="str">
            <v>Investment Tax Credit Adj.</v>
          </cell>
          <cell r="N202">
            <v>0</v>
          </cell>
          <cell r="O202">
            <v>0</v>
          </cell>
          <cell r="P202">
            <v>0</v>
          </cell>
          <cell r="Q202">
            <v>-897401.65566157573</v>
          </cell>
          <cell r="R202">
            <v>-778450.4744278494</v>
          </cell>
          <cell r="S202">
            <v>-2624691.6754950746</v>
          </cell>
          <cell r="T202">
            <v>-369369.24480911979</v>
          </cell>
          <cell r="U202">
            <v>-118951.18123372628</v>
          </cell>
        </row>
        <row r="203">
          <cell r="L203">
            <v>29</v>
          </cell>
          <cell r="M203" t="str">
            <v>Misc Revenue &amp; Expense</v>
          </cell>
          <cell r="N203">
            <v>-104153.41565857115</v>
          </cell>
          <cell r="O203">
            <v>-1775820.0851916987</v>
          </cell>
          <cell r="P203">
            <v>-679488.77061225707</v>
          </cell>
          <cell r="Q203">
            <v>-1080451.0173497088</v>
          </cell>
          <cell r="R203">
            <v>-928837.70177896752</v>
          </cell>
          <cell r="S203">
            <v>-2662999.4931062153</v>
          </cell>
          <cell r="T203">
            <v>-417891.18341069319</v>
          </cell>
          <cell r="U203">
            <v>-151613.31557074119</v>
          </cell>
        </row>
        <row r="204">
          <cell r="L204">
            <v>30</v>
          </cell>
        </row>
        <row r="205">
          <cell r="L205">
            <v>31</v>
          </cell>
          <cell r="M205" t="str">
            <v xml:space="preserve">   Total Operating Expenses:</v>
          </cell>
          <cell r="N205">
            <v>111560125.11938091</v>
          </cell>
          <cell r="O205">
            <v>1499989637.2997427</v>
          </cell>
          <cell r="P205">
            <v>411151152.3915711</v>
          </cell>
          <cell r="Q205">
            <v>293833390.36379433</v>
          </cell>
          <cell r="R205">
            <v>255184367.29618371</v>
          </cell>
          <cell r="S205">
            <v>928387744.79437339</v>
          </cell>
          <cell r="T205">
            <v>127083518.60787404</v>
          </cell>
          <cell r="U205">
            <v>38649023.067610636</v>
          </cell>
        </row>
        <row r="206">
          <cell r="L206">
            <v>32</v>
          </cell>
        </row>
        <row r="207">
          <cell r="L207">
            <v>33</v>
          </cell>
          <cell r="M207" t="str">
            <v xml:space="preserve">   Operating Rev For Return:</v>
          </cell>
          <cell r="N207">
            <v>14062772.431519285</v>
          </cell>
          <cell r="O207">
            <v>156295566.30103946</v>
          </cell>
          <cell r="P207">
            <v>25465372.535212755</v>
          </cell>
          <cell r="Q207">
            <v>169241444.37292418</v>
          </cell>
          <cell r="R207">
            <v>145386824.55586839</v>
          </cell>
          <cell r="S207">
            <v>541565124.5353092</v>
          </cell>
          <cell r="T207">
            <v>73997893.858382165</v>
          </cell>
          <cell r="U207">
            <v>23854619.817055784</v>
          </cell>
        </row>
        <row r="208">
          <cell r="L208">
            <v>34</v>
          </cell>
        </row>
        <row r="209">
          <cell r="L209">
            <v>35</v>
          </cell>
        </row>
        <row r="210">
          <cell r="L210">
            <v>36</v>
          </cell>
          <cell r="M210" t="str">
            <v xml:space="preserve">   Rate Base:</v>
          </cell>
        </row>
        <row r="211">
          <cell r="L211">
            <v>37</v>
          </cell>
          <cell r="M211" t="str">
            <v>Electric Plant In Service</v>
          </cell>
          <cell r="N211">
            <v>381219212.26865935</v>
          </cell>
          <cell r="O211">
            <v>4360392344.2109432</v>
          </cell>
          <cell r="P211">
            <v>1165713303.9850171</v>
          </cell>
          <cell r="Q211">
            <v>2232737348.4397378</v>
          </cell>
          <cell r="R211">
            <v>1918622533.4400635</v>
          </cell>
          <cell r="S211">
            <v>7157003221.9093065</v>
          </cell>
          <cell r="T211">
            <v>972387478.54307377</v>
          </cell>
          <cell r="U211">
            <v>314114814.99967444</v>
          </cell>
        </row>
        <row r="212">
          <cell r="L212">
            <v>38</v>
          </cell>
          <cell r="M212" t="str">
            <v>Plant Held for Future Use</v>
          </cell>
          <cell r="N212">
            <v>22671.644040263593</v>
          </cell>
          <cell r="O212">
            <v>635788.19251786673</v>
          </cell>
          <cell r="P212">
            <v>102718.85344186971</v>
          </cell>
          <cell r="Q212">
            <v>1800017.7868809509</v>
          </cell>
          <cell r="R212">
            <v>1559138.9835814147</v>
          </cell>
          <cell r="S212">
            <v>6619846.9768716563</v>
          </cell>
          <cell r="T212">
            <v>736503.56102110702</v>
          </cell>
          <cell r="U212">
            <v>240878.80329953617</v>
          </cell>
        </row>
        <row r="213">
          <cell r="L213">
            <v>39</v>
          </cell>
          <cell r="M213" t="str">
            <v>Misc Deferred Debits</v>
          </cell>
          <cell r="N213">
            <v>4800133.947975711</v>
          </cell>
          <cell r="O213">
            <v>32488648.892950866</v>
          </cell>
          <cell r="P213">
            <v>8368048.5872633168</v>
          </cell>
          <cell r="Q213">
            <v>10234366.315186631</v>
          </cell>
          <cell r="R213">
            <v>8851815.955552645</v>
          </cell>
          <cell r="S213">
            <v>32763207.956257425</v>
          </cell>
          <cell r="T213">
            <v>3977597.3931464492</v>
          </cell>
          <cell r="U213">
            <v>1382550.3596339866</v>
          </cell>
        </row>
        <row r="214">
          <cell r="L214">
            <v>40</v>
          </cell>
          <cell r="M214" t="str">
            <v>Elec Plant Acq Adj</v>
          </cell>
          <cell r="N214">
            <v>0</v>
          </cell>
          <cell r="O214">
            <v>0</v>
          </cell>
          <cell r="P214">
            <v>0</v>
          </cell>
          <cell r="Q214">
            <v>16540197.978727881</v>
          </cell>
          <cell r="R214">
            <v>14347783.829504002</v>
          </cell>
          <cell r="S214">
            <v>48376242.312371247</v>
          </cell>
          <cell r="T214">
            <v>6807921.9576345561</v>
          </cell>
          <cell r="U214">
            <v>2192414.149223878</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805045.37281655683</v>
          </cell>
          <cell r="O216">
            <v>11254085.655683765</v>
          </cell>
          <cell r="P216">
            <v>2587030.9658879163</v>
          </cell>
          <cell r="Q216">
            <v>4861623.1093060775</v>
          </cell>
          <cell r="R216">
            <v>4192265.0616671746</v>
          </cell>
          <cell r="S216">
            <v>17196758.239302102</v>
          </cell>
          <cell r="T216">
            <v>2217417.017184475</v>
          </cell>
          <cell r="U216">
            <v>669358.04763890291</v>
          </cell>
        </row>
        <row r="217">
          <cell r="L217">
            <v>43</v>
          </cell>
          <cell r="M217" t="str">
            <v>Fuel Stock</v>
          </cell>
          <cell r="N217">
            <v>575838.12682024785</v>
          </cell>
          <cell r="O217">
            <v>8700195.8507311381</v>
          </cell>
          <cell r="P217">
            <v>2516743.8687479584</v>
          </cell>
          <cell r="Q217">
            <v>17243905.931475069</v>
          </cell>
          <cell r="R217">
            <v>14795101.254695127</v>
          </cell>
          <cell r="S217">
            <v>43610400.749598995</v>
          </cell>
          <cell r="T217">
            <v>6784852.8414635612</v>
          </cell>
          <cell r="U217">
            <v>2448804.6767799417</v>
          </cell>
        </row>
        <row r="218">
          <cell r="L218">
            <v>44</v>
          </cell>
          <cell r="M218" t="str">
            <v>Material &amp; Supplies</v>
          </cell>
          <cell r="N218">
            <v>1422984.2406841528</v>
          </cell>
          <cell r="O218">
            <v>31349694.812579129</v>
          </cell>
          <cell r="P218">
            <v>6381359.7166456878</v>
          </cell>
          <cell r="Q218">
            <v>23837683.258493494</v>
          </cell>
          <cell r="R218">
            <v>20704701.182152528</v>
          </cell>
          <cell r="S218">
            <v>76108721.919340476</v>
          </cell>
          <cell r="T218">
            <v>11054792.260025123</v>
          </cell>
          <cell r="U218">
            <v>3132982.076340965</v>
          </cell>
        </row>
        <row r="219">
          <cell r="L219">
            <v>45</v>
          </cell>
          <cell r="M219" t="str">
            <v>Working Capital</v>
          </cell>
          <cell r="N219">
            <v>4294579.1596392496</v>
          </cell>
          <cell r="O219">
            <v>47874675.27990827</v>
          </cell>
          <cell r="P219">
            <v>12445164.2767238</v>
          </cell>
          <cell r="Q219">
            <v>18919612.177968025</v>
          </cell>
          <cell r="R219">
            <v>16441830.487643089</v>
          </cell>
          <cell r="S219">
            <v>66633438.079022579</v>
          </cell>
          <cell r="T219">
            <v>8662200.1792673357</v>
          </cell>
          <cell r="U219">
            <v>2477781.6903249379</v>
          </cell>
        </row>
        <row r="220">
          <cell r="L220">
            <v>46</v>
          </cell>
          <cell r="M220" t="str">
            <v>Weatherization</v>
          </cell>
          <cell r="N220">
            <v>408768.05909013504</v>
          </cell>
          <cell r="O220">
            <v>-659.56623574720356</v>
          </cell>
          <cell r="P220">
            <v>2100038.7293716506</v>
          </cell>
          <cell r="Q220">
            <v>416267.61062639923</v>
          </cell>
          <cell r="R220">
            <v>396339.43058747589</v>
          </cell>
          <cell r="S220">
            <v>6556322.3983376445</v>
          </cell>
          <cell r="T220">
            <v>5594051.545794636</v>
          </cell>
          <cell r="U220">
            <v>19928.180038923318</v>
          </cell>
        </row>
        <row r="221">
          <cell r="L221">
            <v>47</v>
          </cell>
          <cell r="M221" t="str">
            <v xml:space="preserve">Misc Rate Base </v>
          </cell>
          <cell r="N221">
            <v>294257.54585847346</v>
          </cell>
          <cell r="O221">
            <v>4380157.0086926091</v>
          </cell>
          <cell r="P221">
            <v>474771.24544890749</v>
          </cell>
          <cell r="Q221">
            <v>0</v>
          </cell>
          <cell r="R221">
            <v>0</v>
          </cell>
          <cell r="S221">
            <v>0</v>
          </cell>
          <cell r="T221">
            <v>0</v>
          </cell>
          <cell r="U221">
            <v>0</v>
          </cell>
        </row>
        <row r="222">
          <cell r="L222">
            <v>48</v>
          </cell>
        </row>
        <row r="223">
          <cell r="L223">
            <v>49</v>
          </cell>
          <cell r="M223" t="str">
            <v xml:space="preserve">   Total Electric Plant:</v>
          </cell>
          <cell r="N223">
            <v>393843490.36558419</v>
          </cell>
          <cell r="O223">
            <v>4497074930.3377714</v>
          </cell>
          <cell r="P223">
            <v>1200689180.2285483</v>
          </cell>
          <cell r="Q223">
            <v>2326591022.6084023</v>
          </cell>
          <cell r="R223">
            <v>1999911509.6254468</v>
          </cell>
          <cell r="S223">
            <v>7454868160.5404081</v>
          </cell>
          <cell r="T223">
            <v>1018222815.2986109</v>
          </cell>
          <cell r="U223">
            <v>326679512.98295552</v>
          </cell>
        </row>
        <row r="224">
          <cell r="L224">
            <v>50</v>
          </cell>
        </row>
        <row r="225">
          <cell r="L225">
            <v>51</v>
          </cell>
          <cell r="M225" t="str">
            <v>Rate Base Deductions:</v>
          </cell>
        </row>
        <row r="226">
          <cell r="L226">
            <v>52</v>
          </cell>
          <cell r="M226" t="str">
            <v>Accum Prov For Deprec</v>
          </cell>
          <cell r="N226">
            <v>-152826693.41288137</v>
          </cell>
          <cell r="O226">
            <v>-1691337276.7234855</v>
          </cell>
          <cell r="P226">
            <v>-455513070.28755075</v>
          </cell>
          <cell r="Q226">
            <v>-879920227.30174887</v>
          </cell>
          <cell r="R226">
            <v>-756325611.02722955</v>
          </cell>
          <cell r="S226">
            <v>-2623054396.4685593</v>
          </cell>
          <cell r="T226">
            <v>-387558957.21713632</v>
          </cell>
          <cell r="U226">
            <v>-123594616.27451937</v>
          </cell>
        </row>
        <row r="227">
          <cell r="L227">
            <v>53</v>
          </cell>
          <cell r="M227" t="str">
            <v>Accum Prov For Amort</v>
          </cell>
          <cell r="N227">
            <v>-10324749.58527774</v>
          </cell>
          <cell r="O227">
            <v>-126907043.87070373</v>
          </cell>
          <cell r="P227">
            <v>-32275734.255299926</v>
          </cell>
          <cell r="Q227">
            <v>-51854664.295759693</v>
          </cell>
          <cell r="R227">
            <v>-45592413.330981344</v>
          </cell>
          <cell r="S227">
            <v>-161924814.3183862</v>
          </cell>
          <cell r="T227">
            <v>-21041538.195306227</v>
          </cell>
          <cell r="U227">
            <v>-6262250.9647783469</v>
          </cell>
        </row>
        <row r="228">
          <cell r="L228">
            <v>54</v>
          </cell>
          <cell r="M228" t="str">
            <v>Accum Def Income Tax</v>
          </cell>
          <cell r="N228">
            <v>-34476087.604964301</v>
          </cell>
          <cell r="O228">
            <v>-371666372.68181461</v>
          </cell>
          <cell r="P228">
            <v>-88855752.481450364</v>
          </cell>
          <cell r="Q228">
            <v>-155919475.35228878</v>
          </cell>
          <cell r="R228">
            <v>-130232952.61759609</v>
          </cell>
          <cell r="S228">
            <v>-565555972.11549258</v>
          </cell>
          <cell r="T228">
            <v>-80027600.770381257</v>
          </cell>
          <cell r="U228">
            <v>-25686522.734692682</v>
          </cell>
        </row>
        <row r="229">
          <cell r="L229">
            <v>55</v>
          </cell>
          <cell r="M229" t="str">
            <v>Unamortized ITC</v>
          </cell>
          <cell r="N229">
            <v>-485987.87262933265</v>
          </cell>
          <cell r="O229">
            <v>-7045038.4936113218</v>
          </cell>
          <cell r="P229">
            <v>-1439630.7646533309</v>
          </cell>
          <cell r="Q229">
            <v>-1400533.0246153311</v>
          </cell>
          <cell r="R229">
            <v>-1349474.934647331</v>
          </cell>
          <cell r="S229">
            <v>-177010.35437666654</v>
          </cell>
          <cell r="T229">
            <v>-52729.176629999958</v>
          </cell>
          <cell r="U229">
            <v>-51058.089967999957</v>
          </cell>
        </row>
        <row r="230">
          <cell r="L230">
            <v>56</v>
          </cell>
          <cell r="M230" t="str">
            <v>Customer Adv For Const</v>
          </cell>
          <cell r="N230">
            <v>72279.237831746432</v>
          </cell>
          <cell r="O230">
            <v>-77901.235620867694</v>
          </cell>
          <cell r="P230">
            <v>206261.66434642594</v>
          </cell>
          <cell r="Q230">
            <v>-4383409.1810825616</v>
          </cell>
          <cell r="R230">
            <v>-3334655.9585801507</v>
          </cell>
          <cell r="S230">
            <v>-12435484.812841244</v>
          </cell>
          <cell r="T230">
            <v>-242622.92722368348</v>
          </cell>
          <cell r="U230">
            <v>-1048753.2225024106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-1430169.9403596641</v>
          </cell>
          <cell r="O232">
            <v>-17743277.136641763</v>
          </cell>
          <cell r="P232">
            <v>-4709705.5381272128</v>
          </cell>
          <cell r="Q232">
            <v>-8538060.2185078822</v>
          </cell>
          <cell r="R232">
            <v>-7377891.3963859901</v>
          </cell>
          <cell r="S232">
            <v>-25857754.273543406</v>
          </cell>
          <cell r="T232">
            <v>-3707991.0253507737</v>
          </cell>
          <cell r="U232">
            <v>-1160168.8221218926</v>
          </cell>
        </row>
        <row r="233">
          <cell r="L233">
            <v>59</v>
          </cell>
        </row>
        <row r="234">
          <cell r="L234">
            <v>60</v>
          </cell>
          <cell r="M234" t="str">
            <v xml:space="preserve">     Total Rate Base Deductions</v>
          </cell>
          <cell r="N234">
            <v>-199471409.17828068</v>
          </cell>
          <cell r="O234">
            <v>-2214776910.1418781</v>
          </cell>
          <cell r="P234">
            <v>-582587631.6627351</v>
          </cell>
          <cell r="Q234">
            <v>-1102016369.3740032</v>
          </cell>
          <cell r="R234">
            <v>-944212999.26542044</v>
          </cell>
          <cell r="S234">
            <v>-3389005432.3431997</v>
          </cell>
          <cell r="T234">
            <v>-492631439.31202829</v>
          </cell>
          <cell r="U234">
            <v>-157803370.10858271</v>
          </cell>
        </row>
        <row r="235">
          <cell r="L235">
            <v>61</v>
          </cell>
        </row>
        <row r="236">
          <cell r="L236">
            <v>62</v>
          </cell>
          <cell r="M236" t="str">
            <v xml:space="preserve">   Total Rate Base:</v>
          </cell>
          <cell r="N236">
            <v>194372081.18730351</v>
          </cell>
          <cell r="O236">
            <v>2282298020.1958933</v>
          </cell>
          <cell r="P236">
            <v>618101548.56581318</v>
          </cell>
          <cell r="Q236">
            <v>1224574653.2343991</v>
          </cell>
          <cell r="R236">
            <v>1055698510.3600264</v>
          </cell>
          <cell r="S236">
            <v>4065862728.1972084</v>
          </cell>
          <cell r="T236">
            <v>525591375.98658264</v>
          </cell>
          <cell r="U236">
            <v>168876142.87437281</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-1010225.6662520111</v>
          </cell>
          <cell r="O244">
            <v>-11776816.51031982</v>
          </cell>
          <cell r="P244">
            <v>-3140569.6544362712</v>
          </cell>
          <cell r="R244">
            <v>-5173271.1010654038</v>
          </cell>
          <cell r="S244">
            <v>-20253937.863352448</v>
          </cell>
          <cell r="T244">
            <v>-2611812.631759353</v>
          </cell>
          <cell r="U244">
            <v>-853597.63067418325</v>
          </cell>
        </row>
        <row r="245">
          <cell r="L245">
            <v>71</v>
          </cell>
          <cell r="M245" t="str">
            <v>Interest</v>
          </cell>
          <cell r="N245">
            <v>6643946.5583185395</v>
          </cell>
          <cell r="O245">
            <v>77452535.74083063</v>
          </cell>
          <cell r="P245">
            <v>20654570.205253847</v>
          </cell>
          <cell r="Q245">
            <v>39636880.258880608</v>
          </cell>
          <cell r="R245">
            <v>34023028.59190876</v>
          </cell>
          <cell r="S245">
            <v>133203981.30337067</v>
          </cell>
          <cell r="T245">
            <v>17177096.291890908</v>
          </cell>
          <cell r="U245">
            <v>5613851.6669718483</v>
          </cell>
        </row>
        <row r="246">
          <cell r="L246">
            <v>72</v>
          </cell>
          <cell r="M246" t="str">
            <v>Schedule "M" Addition</v>
          </cell>
          <cell r="N246">
            <v>22947148.722242586</v>
          </cell>
          <cell r="O246">
            <v>246882999.28594142</v>
          </cell>
          <cell r="P246">
            <v>64341052.459853157</v>
          </cell>
          <cell r="Q246">
            <v>105406337.18158698</v>
          </cell>
          <cell r="R246">
            <v>89953727.490022525</v>
          </cell>
          <cell r="S246">
            <v>340376769.20689952</v>
          </cell>
          <cell r="T246">
            <v>44987117.181632355</v>
          </cell>
          <cell r="U246">
            <v>15452609.691564448</v>
          </cell>
        </row>
        <row r="247">
          <cell r="L247">
            <v>73</v>
          </cell>
          <cell r="M247" t="str">
            <v>Schedule "M" Deduction</v>
          </cell>
          <cell r="N247">
            <v>32497216.89390694</v>
          </cell>
          <cell r="O247">
            <v>386320537.62323135</v>
          </cell>
          <cell r="P247">
            <v>107216318.05015349</v>
          </cell>
          <cell r="Q247">
            <v>173942962.78434196</v>
          </cell>
          <cell r="R247">
            <v>153502363.4382025</v>
          </cell>
          <cell r="S247">
            <v>487498451.86231428</v>
          </cell>
          <cell r="T247">
            <v>64922901.594647318</v>
          </cell>
          <cell r="U247">
            <v>20440599.34613945</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sheetData sheetId="18"/>
      <sheetData sheetId="19"/>
      <sheetData sheetId="20"/>
      <sheetData sheetId="21" refreshError="1"/>
      <sheetData sheetId="22"/>
      <sheetData sheetId="23"/>
      <sheetData sheetId="24"/>
      <sheetData sheetId="25" refreshError="1"/>
      <sheetData sheetId="26" refreshError="1"/>
      <sheetData sheetId="27" refreshError="1"/>
      <sheetData sheetId="28" refreshError="1"/>
      <sheetData sheetId="29"/>
      <sheetData sheetId="30"/>
      <sheetData sheetId="31"/>
      <sheetData sheetId="32"/>
      <sheetData sheetId="33"/>
      <sheetData sheetId="34" refreshError="1"/>
      <sheetData sheetId="35"/>
      <sheetData sheetId="36"/>
      <sheetData sheetId="37"/>
      <sheetData sheetId="38"/>
      <sheetData sheetId="39"/>
      <sheetData sheetId="4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4.11"/>
      <sheetName val="4.11.1 "/>
      <sheetName val="4.11.2"/>
      <sheetName val="4.11.3"/>
      <sheetName val="4.11.4"/>
    </sheetNames>
    <sheetDataSet>
      <sheetData sheetId="0">
        <row r="10">
          <cell r="H10">
            <v>-114185.2823206187</v>
          </cell>
        </row>
        <row r="18">
          <cell r="H18">
            <v>45452.295172937833</v>
          </cell>
        </row>
        <row r="24">
          <cell r="H24">
            <v>-1023385.8415474903</v>
          </cell>
        </row>
        <row r="35">
          <cell r="H35">
            <v>325000</v>
          </cell>
        </row>
        <row r="38">
          <cell r="H38">
            <v>160518.37103772757</v>
          </cell>
        </row>
        <row r="39">
          <cell r="H39">
            <v>365620.68538776349</v>
          </cell>
        </row>
        <row r="40">
          <cell r="H40">
            <v>82851.118234178648</v>
          </cell>
        </row>
        <row r="44">
          <cell r="H44">
            <v>-414270.30233260454</v>
          </cell>
        </row>
        <row r="45">
          <cell r="H45">
            <v>-1175173.0857867992</v>
          </cell>
        </row>
        <row r="47">
          <cell r="H47">
            <v>-7893.3978666886578</v>
          </cell>
        </row>
      </sheetData>
      <sheetData sheetId="1">
        <row r="14">
          <cell r="D14">
            <v>1584944.3400000005</v>
          </cell>
        </row>
        <row r="15">
          <cell r="D15">
            <v>0</v>
          </cell>
        </row>
        <row r="16">
          <cell r="E16">
            <v>0</v>
          </cell>
        </row>
        <row r="31">
          <cell r="E31">
            <v>630898.80333333334</v>
          </cell>
        </row>
      </sheetData>
      <sheetData sheetId="2">
        <row r="15">
          <cell r="D15">
            <v>5560493.4499999993</v>
          </cell>
        </row>
        <row r="16">
          <cell r="D16">
            <v>8644573.6499999985</v>
          </cell>
        </row>
        <row r="20">
          <cell r="D20">
            <v>1218738.2904109587</v>
          </cell>
        </row>
        <row r="43">
          <cell r="C43">
            <v>0</v>
          </cell>
          <cell r="D43">
            <v>325000</v>
          </cell>
          <cell r="E43">
            <v>0</v>
          </cell>
        </row>
      </sheetData>
      <sheetData sheetId="3">
        <row r="34">
          <cell r="B34">
            <v>714233.88533333328</v>
          </cell>
          <cell r="C34">
            <v>365620.68538776349</v>
          </cell>
          <cell r="D34">
            <v>368649.86666666664</v>
          </cell>
        </row>
      </sheetData>
      <sheetData sheetId="4">
        <row r="15">
          <cell r="E15">
            <v>-5750262.7095890418</v>
          </cell>
        </row>
        <row r="32">
          <cell r="F32">
            <v>16311944</v>
          </cell>
        </row>
        <row r="39">
          <cell r="F39">
            <v>109564</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Lead Sheet - Restating"/>
      <sheetName val="Lead Sheet - Proforma"/>
      <sheetName val="Summary "/>
      <sheetName val="2010 Unadjusted Results"/>
      <sheetName val="2010 Normalized Results"/>
      <sheetName val="May 2013 Proforma Results"/>
      <sheetName val="ICNU"/>
    </sheetNames>
    <sheetDataSet>
      <sheetData sheetId="0">
        <row r="10">
          <cell r="I10">
            <v>941247.8810121459</v>
          </cell>
        </row>
        <row r="19">
          <cell r="I19">
            <v>2581745.932750213</v>
          </cell>
        </row>
        <row r="27">
          <cell r="I27">
            <v>-1593220.1734711262</v>
          </cell>
        </row>
        <row r="28">
          <cell r="I28">
            <v>-1677074.3472254572</v>
          </cell>
        </row>
      </sheetData>
      <sheetData sheetId="1">
        <row r="12">
          <cell r="I12">
            <v>-32991267.499196757</v>
          </cell>
        </row>
        <row r="19">
          <cell r="I19">
            <v>-18084983.666608945</v>
          </cell>
        </row>
        <row r="24">
          <cell r="I24">
            <v>-3568926.1977596208</v>
          </cell>
        </row>
        <row r="27">
          <cell r="I27">
            <v>2371723.0291982596</v>
          </cell>
        </row>
        <row r="28">
          <cell r="I28">
            <v>-65835.119754236512</v>
          </cell>
        </row>
      </sheetData>
      <sheetData sheetId="2">
        <row r="14">
          <cell r="A14" t="str">
            <v>Sales for Resale  (Account 447)</v>
          </cell>
        </row>
        <row r="15">
          <cell r="A15" t="str">
            <v>Firm Sales</v>
          </cell>
          <cell r="B15" t="str">
            <v>447NPC</v>
          </cell>
          <cell r="C15" t="str">
            <v>CAGW</v>
          </cell>
          <cell r="Q15">
            <v>-146796164.30000001</v>
          </cell>
        </row>
        <row r="16">
          <cell r="A16" t="str">
            <v>Non-Firm Sales</v>
          </cell>
          <cell r="B16" t="str">
            <v>447NPC</v>
          </cell>
          <cell r="C16" t="str">
            <v>CAEW</v>
          </cell>
          <cell r="Q16">
            <v>0</v>
          </cell>
        </row>
        <row r="17">
          <cell r="A17" t="str">
            <v>Total Sales for Resale</v>
          </cell>
          <cell r="Q17">
            <v>-146796164.30000001</v>
          </cell>
        </row>
        <row r="19">
          <cell r="A19" t="str">
            <v>Purchased Power (Account 555)</v>
          </cell>
        </row>
        <row r="20">
          <cell r="A20" t="str">
            <v>Firm Demand</v>
          </cell>
          <cell r="B20" t="str">
            <v>555NPC</v>
          </cell>
          <cell r="C20" t="str">
            <v>CAGW</v>
          </cell>
          <cell r="Q20">
            <v>-45060803.631957173</v>
          </cell>
        </row>
        <row r="21">
          <cell r="A21" t="str">
            <v>Firm Energy</v>
          </cell>
          <cell r="B21" t="str">
            <v>555NPC</v>
          </cell>
          <cell r="C21" t="str">
            <v>CAEW</v>
          </cell>
          <cell r="Q21">
            <v>-21253060.928042836</v>
          </cell>
        </row>
        <row r="22">
          <cell r="A22" t="str">
            <v>WA Qualifying Facilities</v>
          </cell>
          <cell r="B22" t="str">
            <v>555NPC</v>
          </cell>
          <cell r="C22" t="str">
            <v>WA</v>
          </cell>
          <cell r="Q22">
            <v>-1017027.8799999999</v>
          </cell>
        </row>
        <row r="23">
          <cell r="A23" t="str">
            <v>Other Generation Expenses</v>
          </cell>
          <cell r="B23" t="str">
            <v>555NPC</v>
          </cell>
          <cell r="C23" t="str">
            <v>CAGW</v>
          </cell>
          <cell r="Q23">
            <v>-9772402.4900000002</v>
          </cell>
        </row>
        <row r="24">
          <cell r="A24" t="str">
            <v>Total Purchased Power</v>
          </cell>
          <cell r="Q24">
            <v>-77103294.930000007</v>
          </cell>
        </row>
        <row r="26">
          <cell r="A26" t="str">
            <v>Wheeling (Account 565)</v>
          </cell>
        </row>
        <row r="27">
          <cell r="A27" t="str">
            <v>Firm</v>
          </cell>
          <cell r="B27" t="str">
            <v>565NPC</v>
          </cell>
          <cell r="C27" t="str">
            <v>CAGW</v>
          </cell>
          <cell r="Q27">
            <v>-15880101.5</v>
          </cell>
        </row>
        <row r="28">
          <cell r="A28" t="str">
            <v>Non Firm</v>
          </cell>
          <cell r="B28" t="str">
            <v>565NPC</v>
          </cell>
          <cell r="C28" t="str">
            <v>CAEW</v>
          </cell>
          <cell r="Q28">
            <v>0</v>
          </cell>
        </row>
        <row r="29">
          <cell r="A29" t="str">
            <v>Total Wheeling Expense</v>
          </cell>
          <cell r="Q29">
            <v>-15880101.5</v>
          </cell>
        </row>
        <row r="31">
          <cell r="A31" t="str">
            <v>Fuel Expense (Accounts 501 and 547)</v>
          </cell>
        </row>
        <row r="32">
          <cell r="A32" t="str">
            <v>Fuel Consumed - Coal</v>
          </cell>
          <cell r="B32" t="str">
            <v>501NPC</v>
          </cell>
          <cell r="C32" t="str">
            <v>CAEW</v>
          </cell>
          <cell r="Q32">
            <v>10623879.009636223</v>
          </cell>
        </row>
        <row r="33">
          <cell r="A33" t="str">
            <v>Fuel Consumed - Natural Gas</v>
          </cell>
          <cell r="B33" t="str">
            <v>547NPC</v>
          </cell>
          <cell r="C33" t="str">
            <v>CAEW</v>
          </cell>
          <cell r="Q33">
            <v>-294901.36000001431</v>
          </cell>
        </row>
        <row r="34">
          <cell r="A34" t="str">
            <v>Total Fuel and Other Expense</v>
          </cell>
          <cell r="Q34">
            <v>10328977.649636209</v>
          </cell>
        </row>
        <row r="36">
          <cell r="Q36">
            <v>64141745.519636214</v>
          </cell>
        </row>
      </sheetData>
      <sheetData sheetId="3"/>
      <sheetData sheetId="4"/>
      <sheetData sheetId="5"/>
      <sheetData sheetId="6"/>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Lead Sheet"/>
      <sheetName val="Production Factor Adj"/>
      <sheetName val="9.1.4"/>
      <sheetName val="3.1.2_Table 1 - kWh"/>
      <sheetName val="WA Retail Sales (Mwh)"/>
    </sheetNames>
    <sheetDataSet>
      <sheetData sheetId="0"/>
      <sheetData sheetId="1">
        <row r="7">
          <cell r="A7" t="str">
            <v>Electric Plant In Service</v>
          </cell>
        </row>
        <row r="8">
          <cell r="A8" t="str">
            <v>Steam Production</v>
          </cell>
          <cell r="C8" t="str">
            <v>JBG</v>
          </cell>
          <cell r="Y8">
            <v>-3826364.0446320474</v>
          </cell>
        </row>
        <row r="9">
          <cell r="A9" t="str">
            <v>Steam Production</v>
          </cell>
          <cell r="C9" t="str">
            <v>SG</v>
          </cell>
          <cell r="Y9">
            <v>-3115.4614651482552</v>
          </cell>
        </row>
        <row r="10">
          <cell r="A10" t="str">
            <v>Steam Production</v>
          </cell>
          <cell r="C10" t="str">
            <v>CAGW</v>
          </cell>
          <cell r="Y10">
            <v>-519493.77314847335</v>
          </cell>
        </row>
        <row r="11">
          <cell r="A11" t="str">
            <v>Steam Production</v>
          </cell>
          <cell r="C11" t="str">
            <v>WA</v>
          </cell>
          <cell r="Y11">
            <v>7394.312229547766</v>
          </cell>
        </row>
        <row r="12">
          <cell r="A12" t="str">
            <v>Hydro Production</v>
          </cell>
          <cell r="C12" t="str">
            <v>CAGW</v>
          </cell>
          <cell r="Y12">
            <v>-1944578.4553485811</v>
          </cell>
        </row>
        <row r="13">
          <cell r="A13" t="str">
            <v>Other Production</v>
          </cell>
          <cell r="C13" t="str">
            <v>CAGW</v>
          </cell>
          <cell r="Y13">
            <v>-4828291.8243842721</v>
          </cell>
        </row>
        <row r="15">
          <cell r="A15" t="str">
            <v>Depreciation Reserve</v>
          </cell>
        </row>
        <row r="16">
          <cell r="A16" t="str">
            <v>Steam Production</v>
          </cell>
          <cell r="B16" t="str">
            <v>108SP</v>
          </cell>
          <cell r="C16" t="str">
            <v>CAGW</v>
          </cell>
          <cell r="Y16">
            <v>249472.06995690241</v>
          </cell>
        </row>
        <row r="17">
          <cell r="A17" t="str">
            <v>Steam Production</v>
          </cell>
          <cell r="B17" t="str">
            <v>108SP</v>
          </cell>
          <cell r="C17" t="str">
            <v>JBG</v>
          </cell>
          <cell r="Y17">
            <v>1854170.1323572695</v>
          </cell>
        </row>
        <row r="18">
          <cell r="A18" t="str">
            <v>Hydro Production</v>
          </cell>
          <cell r="B18" t="str">
            <v>108HP</v>
          </cell>
          <cell r="C18" t="str">
            <v>CAGW</v>
          </cell>
          <cell r="Y18">
            <v>787012.02643943578</v>
          </cell>
        </row>
        <row r="19">
          <cell r="A19" t="str">
            <v>Other Production</v>
          </cell>
          <cell r="B19" t="str">
            <v>108OP</v>
          </cell>
          <cell r="C19" t="str">
            <v>CAGW</v>
          </cell>
          <cell r="Y19">
            <v>712582.46819497645</v>
          </cell>
        </row>
        <row r="21">
          <cell r="A21" t="str">
            <v>Depreciation Expense</v>
          </cell>
        </row>
        <row r="22">
          <cell r="A22" t="str">
            <v>Steam Production</v>
          </cell>
          <cell r="B22" t="str">
            <v>403SP</v>
          </cell>
          <cell r="C22" t="str">
            <v>CAGW</v>
          </cell>
          <cell r="Y22">
            <v>-12924.453222563374</v>
          </cell>
        </row>
        <row r="23">
          <cell r="A23" t="str">
            <v>Steam Production</v>
          </cell>
          <cell r="B23" t="str">
            <v>403SP</v>
          </cell>
          <cell r="C23" t="str">
            <v>JBG</v>
          </cell>
          <cell r="Y23">
            <v>-75848.506929012947</v>
          </cell>
        </row>
        <row r="24">
          <cell r="A24" t="str">
            <v>Hydro Production</v>
          </cell>
          <cell r="B24" t="str">
            <v>403HP</v>
          </cell>
          <cell r="C24" t="str">
            <v>CAGW</v>
          </cell>
          <cell r="Y24">
            <v>-44000.741911954246</v>
          </cell>
        </row>
        <row r="25">
          <cell r="A25" t="str">
            <v>Other Production</v>
          </cell>
          <cell r="B25" t="str">
            <v>403OP</v>
          </cell>
          <cell r="C25" t="str">
            <v>CAGW</v>
          </cell>
          <cell r="Y25">
            <v>-166786.37569562346</v>
          </cell>
        </row>
        <row r="27">
          <cell r="A27" t="str">
            <v>Operating Expenses (Excluding Net Power Costs)</v>
          </cell>
        </row>
        <row r="28">
          <cell r="A28" t="str">
            <v>Steam Production</v>
          </cell>
          <cell r="C28" t="str">
            <v>SE</v>
          </cell>
          <cell r="Y28">
            <v>114.18726905023686</v>
          </cell>
        </row>
        <row r="29">
          <cell r="A29" t="str">
            <v>Steam Production</v>
          </cell>
          <cell r="C29" t="str">
            <v>JBE</v>
          </cell>
          <cell r="Y29">
            <v>-3712.6218972527131</v>
          </cell>
        </row>
        <row r="30">
          <cell r="A30" t="str">
            <v>Steam Production</v>
          </cell>
          <cell r="C30" t="str">
            <v>SG</v>
          </cell>
          <cell r="Y30">
            <v>-96.02451217016187</v>
          </cell>
        </row>
        <row r="31">
          <cell r="A31" t="str">
            <v>Steam Production</v>
          </cell>
          <cell r="C31" t="str">
            <v>CAGW</v>
          </cell>
          <cell r="Y31">
            <v>-31333.887434678385</v>
          </cell>
        </row>
        <row r="32">
          <cell r="A32" t="str">
            <v>Steam Production</v>
          </cell>
          <cell r="C32" t="str">
            <v>JBG</v>
          </cell>
          <cell r="Y32">
            <v>-195367.69951420277</v>
          </cell>
        </row>
        <row r="33">
          <cell r="A33" t="str">
            <v>Hydro Production</v>
          </cell>
          <cell r="C33" t="str">
            <v>CAGW</v>
          </cell>
          <cell r="Y33">
            <v>-121903.35511594545</v>
          </cell>
        </row>
        <row r="34">
          <cell r="A34" t="str">
            <v>Other Production</v>
          </cell>
          <cell r="C34" t="str">
            <v>SG</v>
          </cell>
          <cell r="Y34">
            <v>-1971.8007506708382</v>
          </cell>
        </row>
        <row r="35">
          <cell r="A35" t="str">
            <v>Other Production</v>
          </cell>
          <cell r="C35" t="str">
            <v>CAGW</v>
          </cell>
          <cell r="Y35">
            <v>-88819.194393501617</v>
          </cell>
        </row>
        <row r="36">
          <cell r="A36" t="str">
            <v>Purchased Power Non-NPC</v>
          </cell>
          <cell r="B36">
            <v>555</v>
          </cell>
          <cell r="C36" t="str">
            <v>WA</v>
          </cell>
          <cell r="Y36">
            <v>0</v>
          </cell>
        </row>
        <row r="37">
          <cell r="A37" t="str">
            <v>System Control</v>
          </cell>
          <cell r="B37">
            <v>556</v>
          </cell>
          <cell r="C37" t="str">
            <v>SG</v>
          </cell>
          <cell r="Y37">
            <v>-1248.7158322282048</v>
          </cell>
        </row>
        <row r="38">
          <cell r="A38" t="str">
            <v>Other Power Supply</v>
          </cell>
          <cell r="B38">
            <v>557</v>
          </cell>
          <cell r="C38" t="str">
            <v>WA</v>
          </cell>
          <cell r="Y38">
            <v>1695.6683760000014</v>
          </cell>
        </row>
        <row r="39">
          <cell r="A39" t="str">
            <v>Other Power Supply</v>
          </cell>
          <cell r="B39">
            <v>557</v>
          </cell>
          <cell r="C39" t="str">
            <v>SG</v>
          </cell>
          <cell r="Y39">
            <v>-54261.590929170605</v>
          </cell>
        </row>
        <row r="40">
          <cell r="A40" t="str">
            <v>Other Power Supply</v>
          </cell>
          <cell r="B40">
            <v>557</v>
          </cell>
          <cell r="C40" t="str">
            <v>CAGW</v>
          </cell>
          <cell r="Y40">
            <v>-632.60597575404972</v>
          </cell>
        </row>
        <row r="41">
          <cell r="A41" t="str">
            <v>Other Power Supply</v>
          </cell>
          <cell r="B41">
            <v>557</v>
          </cell>
          <cell r="C41" t="str">
            <v>JBG</v>
          </cell>
          <cell r="Y41">
            <v>-8551.713928021607</v>
          </cell>
        </row>
        <row r="43">
          <cell r="A43" t="str">
            <v>Net Power Costs</v>
          </cell>
        </row>
        <row r="44">
          <cell r="A44" t="str">
            <v>Sales for Resale</v>
          </cell>
          <cell r="B44" t="str">
            <v>447NPC</v>
          </cell>
          <cell r="C44" t="str">
            <v>CAGW</v>
          </cell>
          <cell r="Y44">
            <v>-742252.92049907148</v>
          </cell>
        </row>
        <row r="45">
          <cell r="A45" t="str">
            <v>Purchased Power</v>
          </cell>
          <cell r="B45" t="str">
            <v>555NPC</v>
          </cell>
          <cell r="C45" t="str">
            <v>CAGW</v>
          </cell>
          <cell r="Y45">
            <v>-1113869.7234143168</v>
          </cell>
        </row>
        <row r="46">
          <cell r="A46" t="str">
            <v>Purchased Power</v>
          </cell>
          <cell r="B46" t="str">
            <v>555NPC</v>
          </cell>
          <cell r="C46" t="str">
            <v>CAEW</v>
          </cell>
          <cell r="Y46">
            <v>-10999.109849757864</v>
          </cell>
        </row>
        <row r="47">
          <cell r="A47" t="str">
            <v>Purchased Power</v>
          </cell>
          <cell r="B47" t="str">
            <v>555NPC</v>
          </cell>
          <cell r="C47" t="str">
            <v>WA</v>
          </cell>
          <cell r="Y47">
            <v>-27112.594350000145</v>
          </cell>
        </row>
        <row r="48">
          <cell r="A48" t="str">
            <v>Wheeling Expenses</v>
          </cell>
          <cell r="B48" t="str">
            <v>565NPC</v>
          </cell>
          <cell r="C48" t="str">
            <v>CAGW</v>
          </cell>
          <cell r="Y48">
            <v>-356201.44079751149</v>
          </cell>
        </row>
        <row r="49">
          <cell r="A49" t="str">
            <v>Wheeling Expenses</v>
          </cell>
          <cell r="B49" t="str">
            <v>565NPC</v>
          </cell>
          <cell r="C49" t="str">
            <v>CAEW</v>
          </cell>
          <cell r="Y49">
            <v>0</v>
          </cell>
        </row>
        <row r="50">
          <cell r="A50" t="str">
            <v>Fuel Expenses</v>
          </cell>
          <cell r="B50" t="str">
            <v>501NPC</v>
          </cell>
          <cell r="C50" t="str">
            <v>CAEW</v>
          </cell>
          <cell r="Y50">
            <v>-733524.99701757729</v>
          </cell>
        </row>
        <row r="51">
          <cell r="A51" t="str">
            <v>Fuel Expenses</v>
          </cell>
          <cell r="B51" t="str">
            <v>547NPC</v>
          </cell>
          <cell r="C51" t="str">
            <v>CAEW</v>
          </cell>
          <cell r="Y51">
            <v>-621674.3145307228</v>
          </cell>
        </row>
        <row r="53">
          <cell r="A53" t="str">
            <v>James River Royalty Offset</v>
          </cell>
        </row>
        <row r="54">
          <cell r="A54" t="str">
            <v>Other Electric Revenue</v>
          </cell>
          <cell r="B54">
            <v>456</v>
          </cell>
          <cell r="C54" t="str">
            <v>CAGW</v>
          </cell>
          <cell r="Y54">
            <v>-19237.377670185408</v>
          </cell>
        </row>
        <row r="56">
          <cell r="A56" t="str">
            <v>Jim Bridger Mine Rate Base</v>
          </cell>
        </row>
        <row r="57">
          <cell r="A57" t="str">
            <v>Coal Mine</v>
          </cell>
          <cell r="B57">
            <v>399</v>
          </cell>
          <cell r="C57" t="str">
            <v>JBE</v>
          </cell>
          <cell r="Y57">
            <v>-1031128.6904527023</v>
          </cell>
        </row>
        <row r="58">
          <cell r="A58" t="str">
            <v>Misc. Deferred Debits</v>
          </cell>
          <cell r="B58" t="str">
            <v>186M</v>
          </cell>
          <cell r="C58" t="str">
            <v>JBE</v>
          </cell>
          <cell r="Y58">
            <v>-6730.423763757688</v>
          </cell>
        </row>
        <row r="59">
          <cell r="A59" t="str">
            <v>Mining Plant Accum. Depr.</v>
          </cell>
          <cell r="B59" t="str">
            <v>108MP</v>
          </cell>
          <cell r="C59" t="str">
            <v>JBE</v>
          </cell>
          <cell r="Y59">
            <v>468313.82178159058</v>
          </cell>
        </row>
        <row r="61">
          <cell r="A61" t="str">
            <v>SO2 Emission Allowance Sales</v>
          </cell>
        </row>
        <row r="62">
          <cell r="A62" t="str">
            <v>Gain from Emission Sales</v>
          </cell>
          <cell r="B62">
            <v>4118</v>
          </cell>
          <cell r="C62" t="str">
            <v>SE</v>
          </cell>
          <cell r="Y62">
            <v>0</v>
          </cell>
        </row>
        <row r="63">
          <cell r="A63" t="str">
            <v>Gain from Emission Sales</v>
          </cell>
          <cell r="B63">
            <v>4118</v>
          </cell>
          <cell r="C63" t="str">
            <v>WA</v>
          </cell>
          <cell r="Y63">
            <v>15951.581451000529</v>
          </cell>
        </row>
        <row r="64">
          <cell r="A64" t="str">
            <v>Regulatory Deferred Sales</v>
          </cell>
          <cell r="B64">
            <v>25398</v>
          </cell>
          <cell r="C64" t="str">
            <v>WA</v>
          </cell>
          <cell r="Y64">
            <v>56207.192047362681</v>
          </cell>
        </row>
        <row r="66">
          <cell r="A66" t="str">
            <v>Renewable Energy Tax Credits</v>
          </cell>
        </row>
        <row r="67">
          <cell r="A67" t="str">
            <v>Federal Taxes</v>
          </cell>
          <cell r="B67">
            <v>40910</v>
          </cell>
          <cell r="C67" t="str">
            <v>CAGW</v>
          </cell>
          <cell r="Y67">
            <v>100011.38873183355</v>
          </cell>
        </row>
        <row r="68">
          <cell r="A68" t="str">
            <v>Federal Taxes</v>
          </cell>
          <cell r="B68">
            <v>40910</v>
          </cell>
          <cell r="C68" t="str">
            <v>SE</v>
          </cell>
          <cell r="Y68">
            <v>22.393851700845744</v>
          </cell>
        </row>
        <row r="69">
          <cell r="A69" t="str">
            <v>Federal Taxes</v>
          </cell>
          <cell r="B69">
            <v>40910</v>
          </cell>
          <cell r="C69" t="str">
            <v>JBE</v>
          </cell>
          <cell r="Y69">
            <v>103.14439182643673</v>
          </cell>
        </row>
        <row r="70">
          <cell r="A70" t="str">
            <v>Federal Taxes</v>
          </cell>
          <cell r="B70">
            <v>40910</v>
          </cell>
          <cell r="C70" t="str">
            <v>SO</v>
          </cell>
          <cell r="Y70">
            <v>37.291107686321993</v>
          </cell>
        </row>
        <row r="71">
          <cell r="A71" t="str">
            <v>Federal Taxes</v>
          </cell>
          <cell r="B71">
            <v>40910</v>
          </cell>
          <cell r="C71" t="str">
            <v>SG</v>
          </cell>
          <cell r="Y71">
            <v>101.31847871793434</v>
          </cell>
        </row>
        <row r="73">
          <cell r="A73" t="str">
            <v>Renewable Energy Credit Sales</v>
          </cell>
        </row>
        <row r="74">
          <cell r="A74" t="str">
            <v>Other Electric Revenue</v>
          </cell>
          <cell r="B74">
            <v>456</v>
          </cell>
          <cell r="C74" t="str">
            <v>SG</v>
          </cell>
          <cell r="Y74">
            <v>0</v>
          </cell>
        </row>
      </sheetData>
      <sheetData sheetId="2"/>
      <sheetData sheetId="3"/>
      <sheetData sheetId="4"/>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Exhibit"/>
      <sheetName val="Function"/>
      <sheetName val="Function1149"/>
      <sheetName val="NPC"/>
      <sheetName val="Results"/>
      <sheetName val="Report"/>
      <sheetName val="UTCR"/>
      <sheetName val="NRO"/>
      <sheetName val="ADJ"/>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
          <cell r="B4" t="str">
            <v>SG</v>
          </cell>
          <cell r="C4">
            <v>1.6948935938442013E-2</v>
          </cell>
          <cell r="D4">
            <v>0.26329973768186932</v>
          </cell>
          <cell r="E4">
            <v>8.1413745949899169E-2</v>
          </cell>
        </row>
        <row r="5">
          <cell r="B5" t="str">
            <v>SG-P</v>
          </cell>
          <cell r="C5">
            <v>1.6948935938442013E-2</v>
          </cell>
          <cell r="D5">
            <v>0.26329973768186932</v>
          </cell>
          <cell r="E5">
            <v>8.1413745949899169E-2</v>
          </cell>
        </row>
        <row r="6">
          <cell r="B6" t="str">
            <v>SG-U</v>
          </cell>
          <cell r="C6">
            <v>1.6948935938442013E-2</v>
          </cell>
          <cell r="D6">
            <v>0.26329973768186932</v>
          </cell>
          <cell r="E6">
            <v>8.1413745949899169E-2</v>
          </cell>
        </row>
        <row r="7">
          <cell r="B7" t="str">
            <v>DGP</v>
          </cell>
          <cell r="C7">
            <v>3.44540261820932E-2</v>
          </cell>
          <cell r="D7">
            <v>0.53523926745476236</v>
          </cell>
          <cell r="E7">
            <v>0.16549896375370662</v>
          </cell>
        </row>
        <row r="8">
          <cell r="B8" t="str">
            <v>DGU</v>
          </cell>
          <cell r="C8">
            <v>0</v>
          </cell>
          <cell r="D8">
            <v>0</v>
          </cell>
          <cell r="E8">
            <v>0</v>
          </cell>
        </row>
        <row r="9">
          <cell r="B9" t="str">
            <v>SC</v>
          </cell>
          <cell r="C9">
            <v>1.7124573868659457E-2</v>
          </cell>
          <cell r="D9">
            <v>0.26739221492999349</v>
          </cell>
          <cell r="E9">
            <v>8.2929917750778334E-2</v>
          </cell>
        </row>
        <row r="10">
          <cell r="B10" t="str">
            <v>SE</v>
          </cell>
          <cell r="C10">
            <v>1.6422022147789681E-2</v>
          </cell>
          <cell r="D10">
            <v>0.25102230593749669</v>
          </cell>
          <cell r="E10">
            <v>7.6865230547261701E-2</v>
          </cell>
        </row>
        <row r="11">
          <cell r="B11" t="str">
            <v>CAEW</v>
          </cell>
          <cell r="C11">
            <v>4.7695516247097544E-2</v>
          </cell>
          <cell r="D11">
            <v>0.7290599393593693</v>
          </cell>
          <cell r="E11">
            <v>0.22324454439353322</v>
          </cell>
        </row>
        <row r="12">
          <cell r="B12" t="str">
            <v>CAEE</v>
          </cell>
          <cell r="C12">
            <v>0</v>
          </cell>
          <cell r="D12">
            <v>0</v>
          </cell>
          <cell r="E12">
            <v>0</v>
          </cell>
        </row>
        <row r="13">
          <cell r="B13" t="str">
            <v>DEP</v>
          </cell>
          <cell r="C13">
            <v>3.3664882493157147E-2</v>
          </cell>
          <cell r="D13">
            <v>0.51459170840812563</v>
          </cell>
          <cell r="E13">
            <v>0.15757249204119991</v>
          </cell>
        </row>
        <row r="14">
          <cell r="B14" t="str">
            <v>DEU</v>
          </cell>
          <cell r="C14">
            <v>0</v>
          </cell>
          <cell r="D14">
            <v>0</v>
          </cell>
          <cell r="E14">
            <v>0</v>
          </cell>
        </row>
        <row r="15">
          <cell r="B15" t="str">
            <v>SO</v>
          </cell>
          <cell r="C15">
            <v>2.1936619443200592E-2</v>
          </cell>
          <cell r="D15">
            <v>0.25522331657600589</v>
          </cell>
          <cell r="E15">
            <v>7.2043717522988007E-2</v>
          </cell>
        </row>
        <row r="16">
          <cell r="B16" t="str">
            <v>SO-P</v>
          </cell>
          <cell r="C16">
            <v>2.1936619443200592E-2</v>
          </cell>
          <cell r="D16">
            <v>0.25522331657600589</v>
          </cell>
          <cell r="E16">
            <v>7.2043717522988007E-2</v>
          </cell>
        </row>
        <row r="17">
          <cell r="B17" t="str">
            <v>SO-U</v>
          </cell>
          <cell r="C17">
            <v>2.1936619443200592E-2</v>
          </cell>
          <cell r="D17">
            <v>0.25522331657600589</v>
          </cell>
          <cell r="E17">
            <v>7.2043717522988007E-2</v>
          </cell>
        </row>
        <row r="18">
          <cell r="B18" t="str">
            <v>DOP</v>
          </cell>
          <cell r="C18">
            <v>0</v>
          </cell>
          <cell r="D18">
            <v>0</v>
          </cell>
          <cell r="E18">
            <v>0</v>
          </cell>
        </row>
        <row r="19">
          <cell r="B19" t="str">
            <v>DOU</v>
          </cell>
          <cell r="C19">
            <v>0</v>
          </cell>
          <cell r="D19">
            <v>0</v>
          </cell>
          <cell r="E19">
            <v>0</v>
          </cell>
        </row>
        <row r="20">
          <cell r="B20" t="str">
            <v>GPS</v>
          </cell>
          <cell r="C20">
            <v>2.1936619443200592E-2</v>
          </cell>
          <cell r="D20">
            <v>0.25522331657600589</v>
          </cell>
          <cell r="E20">
            <v>7.2043717522988007E-2</v>
          </cell>
        </row>
        <row r="21">
          <cell r="B21" t="str">
            <v>SGPP</v>
          </cell>
          <cell r="C21">
            <v>0</v>
          </cell>
          <cell r="D21">
            <v>0</v>
          </cell>
          <cell r="E21">
            <v>0</v>
          </cell>
        </row>
        <row r="22">
          <cell r="B22" t="str">
            <v>SGPU</v>
          </cell>
          <cell r="C22">
            <v>0</v>
          </cell>
          <cell r="D22">
            <v>0</v>
          </cell>
          <cell r="E22">
            <v>0</v>
          </cell>
        </row>
        <row r="23">
          <cell r="B23" t="str">
            <v>SNP</v>
          </cell>
          <cell r="C23">
            <v>1.9914143617927101E-2</v>
          </cell>
          <cell r="D23">
            <v>0.24048415738055803</v>
          </cell>
          <cell r="E23">
            <v>6.8132872284992665E-2</v>
          </cell>
        </row>
        <row r="24">
          <cell r="B24" t="str">
            <v>SSCCT</v>
          </cell>
          <cell r="C24">
            <v>0</v>
          </cell>
          <cell r="D24">
            <v>0</v>
          </cell>
          <cell r="E24">
            <v>0</v>
          </cell>
        </row>
        <row r="25">
          <cell r="B25" t="str">
            <v>SSECT</v>
          </cell>
          <cell r="C25">
            <v>0</v>
          </cell>
          <cell r="D25">
            <v>0</v>
          </cell>
          <cell r="E25">
            <v>0</v>
          </cell>
        </row>
        <row r="26">
          <cell r="B26" t="str">
            <v>SSCCH</v>
          </cell>
          <cell r="C26">
            <v>0</v>
          </cell>
          <cell r="D26">
            <v>0</v>
          </cell>
          <cell r="E26">
            <v>0</v>
          </cell>
        </row>
        <row r="27">
          <cell r="B27" t="str">
            <v>SSECH</v>
          </cell>
          <cell r="C27">
            <v>0</v>
          </cell>
          <cell r="D27">
            <v>0</v>
          </cell>
          <cell r="E27">
            <v>0</v>
          </cell>
        </row>
        <row r="28">
          <cell r="B28" t="str">
            <v>SSGCH</v>
          </cell>
          <cell r="C28">
            <v>0</v>
          </cell>
          <cell r="D28">
            <v>0</v>
          </cell>
          <cell r="E28">
            <v>0</v>
          </cell>
        </row>
        <row r="29">
          <cell r="B29" t="str">
            <v>SSCP</v>
          </cell>
          <cell r="C29">
            <v>0</v>
          </cell>
          <cell r="D29">
            <v>0</v>
          </cell>
          <cell r="E29">
            <v>0</v>
          </cell>
        </row>
        <row r="30">
          <cell r="B30" t="str">
            <v>SSEP</v>
          </cell>
          <cell r="C30">
            <v>0</v>
          </cell>
          <cell r="D30">
            <v>0</v>
          </cell>
          <cell r="E30">
            <v>0</v>
          </cell>
        </row>
        <row r="31">
          <cell r="B31" t="str">
            <v>SSGC</v>
          </cell>
          <cell r="C31">
            <v>0</v>
          </cell>
          <cell r="D31">
            <v>0</v>
          </cell>
          <cell r="E31">
            <v>0</v>
          </cell>
        </row>
        <row r="32">
          <cell r="B32" t="str">
            <v>SSGCT</v>
          </cell>
          <cell r="C32">
            <v>0</v>
          </cell>
          <cell r="D32">
            <v>0</v>
          </cell>
          <cell r="E32">
            <v>0</v>
          </cell>
        </row>
        <row r="33">
          <cell r="B33" t="str">
            <v>MC</v>
          </cell>
          <cell r="C33">
            <v>0</v>
          </cell>
          <cell r="D33">
            <v>0</v>
          </cell>
          <cell r="E33">
            <v>0</v>
          </cell>
        </row>
        <row r="34">
          <cell r="B34" t="str">
            <v>SNPD</v>
          </cell>
          <cell r="C34">
            <v>3.4852803053237714E-2</v>
          </cell>
          <cell r="D34">
            <v>0.28142400381638322</v>
          </cell>
          <cell r="E34">
            <v>6.549584753778967E-2</v>
          </cell>
        </row>
        <row r="35">
          <cell r="B35" t="str">
            <v>CAGW</v>
          </cell>
          <cell r="C35">
            <v>4.6462210498099302E-2</v>
          </cell>
          <cell r="D35">
            <v>0.72879576264775137</v>
          </cell>
          <cell r="E35">
            <v>0.22474202685414957</v>
          </cell>
        </row>
        <row r="36">
          <cell r="B36" t="str">
            <v>CAGE</v>
          </cell>
          <cell r="C36">
            <v>0</v>
          </cell>
          <cell r="D36">
            <v>0</v>
          </cell>
          <cell r="E36">
            <v>0</v>
          </cell>
        </row>
        <row r="37">
          <cell r="B37" t="str">
            <v>DNPGMP</v>
          </cell>
          <cell r="C37">
            <v>0</v>
          </cell>
          <cell r="D37">
            <v>0</v>
          </cell>
          <cell r="E37">
            <v>0</v>
          </cell>
        </row>
        <row r="38">
          <cell r="B38" t="str">
            <v>DNPGMU</v>
          </cell>
          <cell r="C38">
            <v>0</v>
          </cell>
          <cell r="D38">
            <v>0</v>
          </cell>
          <cell r="E38">
            <v>0</v>
          </cell>
        </row>
        <row r="39">
          <cell r="B39" t="str">
            <v>JBG</v>
          </cell>
          <cell r="C39">
            <v>4.457119853082666E-2</v>
          </cell>
          <cell r="D39">
            <v>0.69913377510798791</v>
          </cell>
          <cell r="E39">
            <v>0.21559502636118569</v>
          </cell>
        </row>
        <row r="40">
          <cell r="B40" t="str">
            <v>JBE</v>
          </cell>
          <cell r="C40">
            <v>4.5754308735840674E-2</v>
          </cell>
          <cell r="D40">
            <v>0.69938719982744302</v>
          </cell>
          <cell r="E40">
            <v>0.21415849143671642</v>
          </cell>
        </row>
        <row r="41">
          <cell r="B41" t="str">
            <v>WRG</v>
          </cell>
          <cell r="C41">
            <v>1.2356983302864477E-2</v>
          </cell>
          <cell r="D41">
            <v>0.19382885518555035</v>
          </cell>
          <cell r="E41">
            <v>5.9771875757014495E-2</v>
          </cell>
        </row>
        <row r="42">
          <cell r="B42" t="str">
            <v>WRE</v>
          </cell>
          <cell r="C42">
            <v>1.2684990480833797E-2</v>
          </cell>
          <cell r="D42">
            <v>0.19389911501992912</v>
          </cell>
          <cell r="E42">
            <v>5.9373608744666351E-2</v>
          </cell>
        </row>
        <row r="43">
          <cell r="B43" t="str">
            <v>DNPPHP</v>
          </cell>
          <cell r="C43">
            <v>0</v>
          </cell>
          <cell r="D43">
            <v>0</v>
          </cell>
          <cell r="E43">
            <v>0</v>
          </cell>
        </row>
        <row r="44">
          <cell r="B44" t="str">
            <v>DNPPHU</v>
          </cell>
          <cell r="C44">
            <v>0</v>
          </cell>
          <cell r="D44">
            <v>0</v>
          </cell>
          <cell r="E44">
            <v>0</v>
          </cell>
        </row>
        <row r="45">
          <cell r="B45" t="str">
            <v>SNPPH-P</v>
          </cell>
          <cell r="C45">
            <v>3.589973486296371E-2</v>
          </cell>
          <cell r="D45">
            <v>0.56311515030857207</v>
          </cell>
          <cell r="E45">
            <v>0.1736503513314136</v>
          </cell>
        </row>
        <row r="46">
          <cell r="B46" t="str">
            <v>SNPPH-U</v>
          </cell>
          <cell r="C46">
            <v>3.589973486296371E-2</v>
          </cell>
          <cell r="D46">
            <v>0.56311515030857207</v>
          </cell>
          <cell r="E46">
            <v>0.1736503513314136</v>
          </cell>
        </row>
        <row r="47">
          <cell r="B47" t="str">
            <v>CN</v>
          </cell>
          <cell r="C47">
            <v>2.5246444776957824E-2</v>
          </cell>
          <cell r="D47">
            <v>0.30770158279739179</v>
          </cell>
          <cell r="E47">
            <v>7.0289076871698261E-2</v>
          </cell>
        </row>
        <row r="48">
          <cell r="B48" t="str">
            <v>CNP</v>
          </cell>
          <cell r="C48">
            <v>5.3724244819013535E-2</v>
          </cell>
          <cell r="D48">
            <v>0.65478665655501522</v>
          </cell>
          <cell r="E48">
            <v>0.14957462752950088</v>
          </cell>
        </row>
        <row r="49">
          <cell r="B49" t="str">
            <v>CNU</v>
          </cell>
          <cell r="C49">
            <v>0</v>
          </cell>
          <cell r="D49">
            <v>0</v>
          </cell>
          <cell r="E49">
            <v>0</v>
          </cell>
        </row>
        <row r="50">
          <cell r="B50" t="str">
            <v>WBTAX</v>
          </cell>
          <cell r="C50">
            <v>0</v>
          </cell>
          <cell r="D50">
            <v>0</v>
          </cell>
          <cell r="E50">
            <v>1</v>
          </cell>
        </row>
        <row r="51">
          <cell r="B51" t="str">
            <v>OPRV-ID</v>
          </cell>
          <cell r="C51">
            <v>0</v>
          </cell>
          <cell r="D51">
            <v>0</v>
          </cell>
          <cell r="E51">
            <v>0</v>
          </cell>
        </row>
        <row r="52">
          <cell r="B52" t="str">
            <v>OPRVWY</v>
          </cell>
          <cell r="C52">
            <v>0</v>
          </cell>
          <cell r="D52">
            <v>0</v>
          </cell>
          <cell r="E52">
            <v>0</v>
          </cell>
        </row>
        <row r="53">
          <cell r="B53" t="str">
            <v>EXCTAX</v>
          </cell>
          <cell r="C53">
            <v>2.7955877130251224E-2</v>
          </cell>
          <cell r="D53">
            <v>0.60929449131170477</v>
          </cell>
          <cell r="E53">
            <v>4.2089091674359425E-2</v>
          </cell>
        </row>
        <row r="54">
          <cell r="B54" t="str">
            <v>INT</v>
          </cell>
          <cell r="C54">
            <v>1.9914143617927101E-2</v>
          </cell>
          <cell r="D54">
            <v>0.24048415738055803</v>
          </cell>
          <cell r="E54">
            <v>6.8132872284992665E-2</v>
          </cell>
        </row>
        <row r="55">
          <cell r="B55" t="str">
            <v>CIAC</v>
          </cell>
          <cell r="C55">
            <v>3.4852803053237714E-2</v>
          </cell>
          <cell r="D55">
            <v>0.28142400381638322</v>
          </cell>
          <cell r="E55">
            <v>6.549584753778967E-2</v>
          </cell>
        </row>
        <row r="56">
          <cell r="B56" t="str">
            <v>IDSIT</v>
          </cell>
          <cell r="C56">
            <v>0</v>
          </cell>
          <cell r="D56">
            <v>0</v>
          </cell>
          <cell r="E56">
            <v>0</v>
          </cell>
        </row>
        <row r="57">
          <cell r="B57" t="str">
            <v>DONOTUSE</v>
          </cell>
          <cell r="C57">
            <v>0</v>
          </cell>
          <cell r="D57">
            <v>0</v>
          </cell>
          <cell r="E57">
            <v>0</v>
          </cell>
        </row>
        <row r="58">
          <cell r="B58" t="str">
            <v>BADDEBT</v>
          </cell>
          <cell r="C58">
            <v>4.5163199041126215E-2</v>
          </cell>
          <cell r="D58">
            <v>0.3805915687391227</v>
          </cell>
          <cell r="E58">
            <v>0.12451780794743018</v>
          </cell>
        </row>
        <row r="59">
          <cell r="B59" t="str">
            <v>DONOTUSE</v>
          </cell>
          <cell r="C59">
            <v>0</v>
          </cell>
          <cell r="D59">
            <v>0</v>
          </cell>
          <cell r="E59">
            <v>0</v>
          </cell>
        </row>
        <row r="60">
          <cell r="B60" t="str">
            <v>DONOTUSE</v>
          </cell>
          <cell r="C60">
            <v>0</v>
          </cell>
          <cell r="D60">
            <v>0</v>
          </cell>
          <cell r="E60">
            <v>0</v>
          </cell>
        </row>
        <row r="61">
          <cell r="B61" t="str">
            <v>ITC84</v>
          </cell>
          <cell r="C61">
            <v>3.2870000000000003E-2</v>
          </cell>
          <cell r="D61">
            <v>0.70975999999999995</v>
          </cell>
          <cell r="E61">
            <v>0.14180000000000001</v>
          </cell>
        </row>
        <row r="62">
          <cell r="B62" t="str">
            <v>ITC85</v>
          </cell>
          <cell r="C62">
            <v>5.4199999999999998E-2</v>
          </cell>
          <cell r="D62">
            <v>0.67689999999999995</v>
          </cell>
          <cell r="E62">
            <v>0.1336</v>
          </cell>
        </row>
        <row r="63">
          <cell r="B63" t="str">
            <v>ITC86</v>
          </cell>
          <cell r="C63">
            <v>4.7890000000000002E-2</v>
          </cell>
          <cell r="D63">
            <v>0.64607999999999999</v>
          </cell>
          <cell r="E63">
            <v>0.13125999999999999</v>
          </cell>
        </row>
        <row r="64">
          <cell r="B64" t="str">
            <v>ITC88</v>
          </cell>
          <cell r="C64">
            <v>4.2700000000000002E-2</v>
          </cell>
          <cell r="D64">
            <v>0.61199999999999999</v>
          </cell>
          <cell r="E64">
            <v>0.14960000000000001</v>
          </cell>
        </row>
        <row r="65">
          <cell r="B65" t="str">
            <v>ITC89</v>
          </cell>
          <cell r="C65">
            <v>4.8806000000000002E-2</v>
          </cell>
          <cell r="D65">
            <v>0.563558</v>
          </cell>
          <cell r="E65">
            <v>0.15268799999999999</v>
          </cell>
        </row>
        <row r="66">
          <cell r="B66" t="str">
            <v>ITC90</v>
          </cell>
          <cell r="C66">
            <v>1.5047E-2</v>
          </cell>
          <cell r="D66">
            <v>0.159356</v>
          </cell>
          <cell r="E66">
            <v>3.9132E-2</v>
          </cell>
        </row>
        <row r="67">
          <cell r="B67" t="str">
            <v>OTHER</v>
          </cell>
          <cell r="C67">
            <v>0</v>
          </cell>
          <cell r="D67">
            <v>0</v>
          </cell>
          <cell r="E67">
            <v>0</v>
          </cell>
        </row>
        <row r="68">
          <cell r="B68" t="str">
            <v>NUTIL</v>
          </cell>
          <cell r="C68">
            <v>0</v>
          </cell>
          <cell r="D68">
            <v>0</v>
          </cell>
          <cell r="E68">
            <v>0</v>
          </cell>
        </row>
        <row r="69">
          <cell r="B69" t="str">
            <v>SNPPS</v>
          </cell>
          <cell r="C69">
            <v>9.2768538489811161E-3</v>
          </cell>
          <cell r="D69">
            <v>0.14551282702303989</v>
          </cell>
          <cell r="E69">
            <v>4.4872599881762558E-2</v>
          </cell>
        </row>
        <row r="70">
          <cell r="B70" t="str">
            <v>SNPT</v>
          </cell>
          <cell r="C70">
            <v>1.2357746620388552E-2</v>
          </cell>
          <cell r="D70">
            <v>0.19382739316558023</v>
          </cell>
          <cell r="E70">
            <v>5.9772574459460492E-2</v>
          </cell>
        </row>
        <row r="71">
          <cell r="B71" t="str">
            <v>SNPP</v>
          </cell>
          <cell r="C71">
            <v>1.4558529990214833E-2</v>
          </cell>
          <cell r="D71">
            <v>0.22836092368411082</v>
          </cell>
          <cell r="E71">
            <v>7.042076173854496E-2</v>
          </cell>
        </row>
        <row r="72">
          <cell r="B72" t="str">
            <v>SNPPH</v>
          </cell>
          <cell r="C72">
            <v>3.589973486296371E-2</v>
          </cell>
          <cell r="D72">
            <v>0.56311515030857207</v>
          </cell>
          <cell r="E72">
            <v>0.1736503513314136</v>
          </cell>
        </row>
        <row r="73">
          <cell r="B73" t="str">
            <v>SNPPN</v>
          </cell>
          <cell r="C73">
            <v>4.6462210498099302E-2</v>
          </cell>
          <cell r="D73">
            <v>0.72879576264775148</v>
          </cell>
          <cell r="E73">
            <v>0.22474202685414957</v>
          </cell>
        </row>
        <row r="74">
          <cell r="B74" t="str">
            <v>SNPPO</v>
          </cell>
          <cell r="C74">
            <v>1.7534995773143013E-2</v>
          </cell>
          <cell r="D74">
            <v>0.2750499918215395</v>
          </cell>
          <cell r="E74">
            <v>8.4818402927607603E-2</v>
          </cell>
        </row>
        <row r="75">
          <cell r="B75" t="str">
            <v>SNPG</v>
          </cell>
          <cell r="C75">
            <v>2.1762885946456773E-2</v>
          </cell>
          <cell r="D75">
            <v>0.27550765139693434</v>
          </cell>
          <cell r="E75">
            <v>7.4671206818945443E-2</v>
          </cell>
        </row>
        <row r="76">
          <cell r="B76" t="str">
            <v>SNPI</v>
          </cell>
          <cell r="C76">
            <v>3.0123917259053549E-2</v>
          </cell>
          <cell r="D76">
            <v>0.43308044104270427</v>
          </cell>
          <cell r="E76">
            <v>0.12917726463590393</v>
          </cell>
        </row>
        <row r="77">
          <cell r="B77" t="str">
            <v>TROJP</v>
          </cell>
          <cell r="C77">
            <v>4.6649559080018659E-2</v>
          </cell>
          <cell r="D77">
            <v>0.72883589311202424</v>
          </cell>
          <cell r="E77">
            <v>0.22451454780795729</v>
          </cell>
        </row>
        <row r="78">
          <cell r="B78" t="str">
            <v>TROJD</v>
          </cell>
          <cell r="C78">
            <v>4.6682648625911302E-2</v>
          </cell>
          <cell r="D78">
            <v>0.72884298096305389</v>
          </cell>
          <cell r="E78">
            <v>0.22447437041103502</v>
          </cell>
        </row>
        <row r="79">
          <cell r="B79" t="str">
            <v>IBT</v>
          </cell>
          <cell r="C79">
            <v>2.8448177676611733E-2</v>
          </cell>
          <cell r="D79">
            <v>0.63315061103345116</v>
          </cell>
          <cell r="E79">
            <v>0</v>
          </cell>
        </row>
        <row r="80">
          <cell r="B80" t="str">
            <v>DITEXP</v>
          </cell>
          <cell r="C80">
            <v>1.9141955588282758E-2</v>
          </cell>
          <cell r="D80">
            <v>0.27398036455512026</v>
          </cell>
          <cell r="E80">
            <v>3.2100059840287035E-2</v>
          </cell>
        </row>
        <row r="81">
          <cell r="B81" t="str">
            <v>DITBAL</v>
          </cell>
          <cell r="C81">
            <v>2.3796771589917956E-2</v>
          </cell>
          <cell r="D81">
            <v>0.27939100640948067</v>
          </cell>
          <cell r="E81">
            <v>6.5779890812102018E-2</v>
          </cell>
        </row>
        <row r="82">
          <cell r="B82" t="str">
            <v>TAXDEPR</v>
          </cell>
          <cell r="C82">
            <v>1.9854639825251548E-2</v>
          </cell>
          <cell r="D82">
            <v>0.27546154336109918</v>
          </cell>
          <cell r="E82">
            <v>3.7250125788130854E-2</v>
          </cell>
        </row>
        <row r="83">
          <cell r="B83" t="str">
            <v>DONOTUSE</v>
          </cell>
          <cell r="C83">
            <v>0</v>
          </cell>
          <cell r="D83">
            <v>0</v>
          </cell>
          <cell r="E83">
            <v>0</v>
          </cell>
        </row>
        <row r="84">
          <cell r="B84" t="str">
            <v>DONOTUSE</v>
          </cell>
          <cell r="C84">
            <v>0</v>
          </cell>
          <cell r="D84">
            <v>0</v>
          </cell>
          <cell r="E84">
            <v>0</v>
          </cell>
        </row>
        <row r="85">
          <cell r="B85" t="str">
            <v>DONOTUSE</v>
          </cell>
          <cell r="C85">
            <v>0</v>
          </cell>
          <cell r="D85">
            <v>0</v>
          </cell>
          <cell r="E85">
            <v>0</v>
          </cell>
        </row>
        <row r="86">
          <cell r="B86" t="str">
            <v>SCHMDEXP</v>
          </cell>
          <cell r="C86">
            <v>1.4908613511511116E-2</v>
          </cell>
          <cell r="D86">
            <v>0.26580226414632108</v>
          </cell>
          <cell r="E86">
            <v>7.6959695239495654E-2</v>
          </cell>
        </row>
        <row r="87">
          <cell r="B87" t="str">
            <v>SCHMAEXP</v>
          </cell>
          <cell r="C87">
            <v>2.7415387839264244E-2</v>
          </cell>
          <cell r="D87">
            <v>0.33133137419819325</v>
          </cell>
          <cell r="E87">
            <v>8.8954870577216141E-2</v>
          </cell>
        </row>
        <row r="88">
          <cell r="B88" t="str">
            <v>SGCT</v>
          </cell>
          <cell r="C88">
            <v>1.7014453950307894E-2</v>
          </cell>
          <cell r="D88">
            <v>0.2643175523340916</v>
          </cell>
          <cell r="E88">
            <v>8.1728459911446033E-2</v>
          </cell>
        </row>
      </sheetData>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Lead Sheet 3.1"/>
      <sheetName val="Lead Sheet 3.2"/>
      <sheetName val="Lead Sheet 3.3"/>
      <sheetName val="Table 1-Revenues"/>
      <sheetName val="Table 1 - kWh"/>
      <sheetName val="Table 2"/>
      <sheetName val="Table 3"/>
      <sheetName val="Actual Tax Data"/>
      <sheetName val="SBC (Old)"/>
      <sheetName val="Billing Determinants (2)"/>
      <sheetName val="Blocking - detail"/>
    </sheetNames>
    <sheetDataSet>
      <sheetData sheetId="0" refreshError="1"/>
      <sheetData sheetId="1">
        <row r="16">
          <cell r="I16">
            <v>13055703.999999991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Lead Sheet"/>
      <sheetName val="4.7.1"/>
      <sheetName val="4.7.2"/>
      <sheetName val="GLPCA - 2011- July"/>
      <sheetName val="WA SBC - Jan - Jun '10"/>
    </sheetNames>
    <sheetDataSet>
      <sheetData sheetId="0">
        <row r="15">
          <cell r="I15">
            <v>-8855002</v>
          </cell>
        </row>
        <row r="24">
          <cell r="I24">
            <v>-8855002</v>
          </cell>
        </row>
        <row r="29">
          <cell r="I29">
            <v>-2040185.0718116981</v>
          </cell>
        </row>
      </sheetData>
      <sheetData sheetId="1"/>
      <sheetData sheetId="2"/>
      <sheetData sheetId="3"/>
      <sheetData sheetId="4"/>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4.2"/>
      <sheetName val="4.3"/>
      <sheetName val="Description"/>
      <sheetName val="Summary"/>
      <sheetName val="Escalation"/>
      <sheetName val="Labor Increases"/>
      <sheetName val="Payroll"/>
      <sheetName val="Adj. By Account (TC)"/>
      <sheetName val="Adj. By Account (WA)"/>
    </sheetNames>
    <sheetDataSet>
      <sheetData sheetId="0">
        <row r="12">
          <cell r="H12">
            <v>0</v>
          </cell>
        </row>
        <row r="13">
          <cell r="H13">
            <v>-1.2396372825261945</v>
          </cell>
        </row>
        <row r="14">
          <cell r="H14">
            <v>-6219.4931235323047</v>
          </cell>
        </row>
        <row r="15">
          <cell r="H15">
            <v>-10.395353679212016</v>
          </cell>
        </row>
        <row r="16">
          <cell r="H16">
            <v>0</v>
          </cell>
        </row>
        <row r="17">
          <cell r="H17">
            <v>0</v>
          </cell>
        </row>
        <row r="18">
          <cell r="H18">
            <v>1203.241836433501</v>
          </cell>
        </row>
        <row r="19">
          <cell r="H19">
            <v>31.684897402630781</v>
          </cell>
        </row>
        <row r="20">
          <cell r="H20">
            <v>0</v>
          </cell>
        </row>
        <row r="21">
          <cell r="H21">
            <v>42.785020750575335</v>
          </cell>
        </row>
        <row r="22">
          <cell r="H22">
            <v>-13347.931992528374</v>
          </cell>
        </row>
        <row r="23">
          <cell r="H23">
            <v>0</v>
          </cell>
        </row>
        <row r="24">
          <cell r="H24">
            <v>-6356.6807818446023</v>
          </cell>
        </row>
        <row r="25">
          <cell r="H25">
            <v>0</v>
          </cell>
        </row>
        <row r="26">
          <cell r="H26">
            <v>-1666.9810858167491</v>
          </cell>
        </row>
        <row r="27">
          <cell r="H27">
            <v>0</v>
          </cell>
        </row>
        <row r="28">
          <cell r="H28">
            <v>-1299.4856089488803</v>
          </cell>
        </row>
        <row r="29">
          <cell r="H29">
            <v>-339.8791589841058</v>
          </cell>
        </row>
        <row r="30">
          <cell r="H30">
            <v>0</v>
          </cell>
        </row>
        <row r="31">
          <cell r="H31">
            <v>-381.3633301968494</v>
          </cell>
        </row>
        <row r="32">
          <cell r="H32">
            <v>0</v>
          </cell>
        </row>
        <row r="33">
          <cell r="H33">
            <v>-104.51520397965143</v>
          </cell>
        </row>
        <row r="34">
          <cell r="H34">
            <v>-1319.5091245498966</v>
          </cell>
        </row>
        <row r="35">
          <cell r="H35">
            <v>-6162.4199464006342</v>
          </cell>
        </row>
        <row r="36">
          <cell r="H36">
            <v>0</v>
          </cell>
        </row>
        <row r="37">
          <cell r="H37">
            <v>-621.76871224603372</v>
          </cell>
        </row>
        <row r="38">
          <cell r="H38">
            <v>-1.5873347201338657</v>
          </cell>
        </row>
        <row r="39">
          <cell r="H39">
            <v>-3081.4936924357289</v>
          </cell>
        </row>
        <row r="40">
          <cell r="H40">
            <v>0</v>
          </cell>
        </row>
        <row r="41">
          <cell r="H41">
            <v>-2095.9408392676146</v>
          </cell>
        </row>
        <row r="42">
          <cell r="H42">
            <v>-21.251574761498581</v>
          </cell>
        </row>
        <row r="43">
          <cell r="H43">
            <v>-821.75030559450192</v>
          </cell>
        </row>
        <row r="44">
          <cell r="H44">
            <v>-5088.5808832620478</v>
          </cell>
        </row>
        <row r="45">
          <cell r="H45">
            <v>-6661.2758071355911</v>
          </cell>
        </row>
        <row r="46">
          <cell r="H46">
            <v>-7355.7603242642481</v>
          </cell>
        </row>
        <row r="47">
          <cell r="H47">
            <v>-1762.6435313160778</v>
          </cell>
        </row>
        <row r="48">
          <cell r="H48">
            <v>-8662.3550558879651</v>
          </cell>
        </row>
        <row r="49">
          <cell r="H49">
            <v>-8134.5896072850182</v>
          </cell>
        </row>
        <row r="50">
          <cell r="H50">
            <v>-774.46665443633958</v>
          </cell>
        </row>
        <row r="53">
          <cell r="H53">
            <v>-1417.6795238015775</v>
          </cell>
        </row>
        <row r="54">
          <cell r="H54">
            <v>-26028.094722676091</v>
          </cell>
        </row>
        <row r="55">
          <cell r="H55">
            <v>-7.2531698132167097</v>
          </cell>
        </row>
        <row r="56">
          <cell r="H56">
            <v>-605.1391257578116</v>
          </cell>
        </row>
      </sheetData>
      <sheetData sheetId="1">
        <row r="12">
          <cell r="H12">
            <v>0</v>
          </cell>
        </row>
      </sheetData>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4.5"/>
      <sheetName val="4.5.1"/>
      <sheetName val="4.5.2"/>
    </sheetNames>
    <sheetDataSet>
      <sheetData sheetId="0">
        <row r="10">
          <cell r="I10">
            <v>92325.74945274381</v>
          </cell>
        </row>
        <row r="13">
          <cell r="I13">
            <v>46305.316506083058</v>
          </cell>
        </row>
        <row r="14">
          <cell r="I14">
            <v>15535.292606293089</v>
          </cell>
        </row>
        <row r="15">
          <cell r="I15">
            <v>-134.84521611248974</v>
          </cell>
        </row>
        <row r="16">
          <cell r="I16">
            <v>-124.44211032180037</v>
          </cell>
        </row>
        <row r="19">
          <cell r="I19">
            <v>88613.772553275252</v>
          </cell>
        </row>
        <row r="21">
          <cell r="I21">
            <v>3086.8571647074673</v>
          </cell>
        </row>
        <row r="23">
          <cell r="I23">
            <v>-246927.89146604418</v>
          </cell>
        </row>
        <row r="25">
          <cell r="I25">
            <v>95499.674653277019</v>
          </cell>
        </row>
        <row r="26">
          <cell r="I26">
            <v>56244.919679730992</v>
          </cell>
        </row>
      </sheetData>
      <sheetData sheetId="1"/>
      <sheetData sheetId="2"/>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5.3"/>
      <sheetName val="5.3.1"/>
    </sheetNames>
    <sheetDataSet>
      <sheetData sheetId="0">
        <row r="10">
          <cell r="I10">
            <v>8774225.7699999996</v>
          </cell>
        </row>
      </sheetData>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Lead Sheet"/>
      <sheetName val="4.1.1"/>
    </sheetNames>
    <sheetDataSet>
      <sheetData sheetId="0">
        <row r="9">
          <cell r="I9">
            <v>-234.89638782254457</v>
          </cell>
        </row>
        <row r="10">
          <cell r="I10">
            <v>-69.660317003271928</v>
          </cell>
        </row>
        <row r="11">
          <cell r="I11">
            <v>-15.025190816493238</v>
          </cell>
        </row>
        <row r="12">
          <cell r="I12">
            <v>-47.568757706145263</v>
          </cell>
        </row>
        <row r="13">
          <cell r="I13">
            <v>-932.17092590938705</v>
          </cell>
        </row>
        <row r="14">
          <cell r="I14">
            <v>1105.4623189196402</v>
          </cell>
        </row>
        <row r="15">
          <cell r="I15">
            <v>0</v>
          </cell>
        </row>
        <row r="16">
          <cell r="I16">
            <v>0</v>
          </cell>
        </row>
        <row r="23">
          <cell r="I23">
            <v>-858.37512699256047</v>
          </cell>
        </row>
      </sheetData>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 val="WA RAM 2011 GRC"/>
    </sheetNames>
    <definedNames>
      <definedName name="FranchiseTax" refersTo="='Variables'!$I$6"/>
      <definedName name="UncollectibleAccounts" refersTo="='Variables'!$I$5"/>
      <definedName name="WARevenueTax" refersTo="='Variables'!$I$7"/>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O3">
            <v>0.50600000000000001</v>
          </cell>
        </row>
        <row r="4">
          <cell r="O4">
            <v>3.0000000000000001E-3</v>
          </cell>
        </row>
        <row r="5">
          <cell r="I5">
            <v>5.0699999999999999E-3</v>
          </cell>
          <cell r="O5">
            <v>0.49099999999999999</v>
          </cell>
        </row>
        <row r="6">
          <cell r="I6">
            <v>2E-3</v>
          </cell>
        </row>
        <row r="7">
          <cell r="I7">
            <v>3.8730000000000001E-2</v>
          </cell>
          <cell r="O7">
            <v>5.7599999999999998E-2</v>
          </cell>
        </row>
        <row r="8">
          <cell r="O8">
            <v>5.4300000000000001E-2</v>
          </cell>
        </row>
        <row r="9">
          <cell r="O9">
            <v>9.8000000000000004E-2</v>
          </cell>
        </row>
      </sheetData>
      <sheetData sheetId="11" refreshError="1">
        <row r="11">
          <cell r="C11">
            <v>256639553.00999802</v>
          </cell>
          <cell r="D11">
            <v>13370310.429999992</v>
          </cell>
          <cell r="E11">
            <v>270009863.43999803</v>
          </cell>
          <cell r="H11">
            <v>33183479.159999996</v>
          </cell>
          <cell r="I11">
            <v>303193342.599998</v>
          </cell>
        </row>
        <row r="12">
          <cell r="C12">
            <v>0</v>
          </cell>
          <cell r="D12">
            <v>0</v>
          </cell>
          <cell r="E12">
            <v>0</v>
          </cell>
          <cell r="H12">
            <v>0</v>
          </cell>
          <cell r="I12">
            <v>0</v>
          </cell>
        </row>
        <row r="13">
          <cell r="C13">
            <v>74513001.340099305</v>
          </cell>
          <cell r="D13">
            <v>941247.8810121459</v>
          </cell>
          <cell r="E13">
            <v>75454249.221111447</v>
          </cell>
          <cell r="H13">
            <v>-38964201.760486588</v>
          </cell>
          <cell r="I13">
            <v>36490047.460624859</v>
          </cell>
        </row>
        <row r="14">
          <cell r="C14">
            <v>25032633.964374781</v>
          </cell>
          <cell r="D14">
            <v>-9224242.3703400642</v>
          </cell>
          <cell r="E14">
            <v>15808391.594034716</v>
          </cell>
          <cell r="H14">
            <v>-10785095.150806881</v>
          </cell>
          <cell r="I14">
            <v>5023296.443227835</v>
          </cell>
        </row>
        <row r="15">
          <cell r="C15">
            <v>356185188.31447208</v>
          </cell>
          <cell r="D15">
            <v>5087315.9406720735</v>
          </cell>
          <cell r="E15">
            <v>361272504.25514418</v>
          </cell>
          <cell r="H15">
            <v>-16565817.751293473</v>
          </cell>
          <cell r="I15">
            <v>344706686.5038507</v>
          </cell>
        </row>
        <row r="18">
          <cell r="C18">
            <v>54286269.73826427</v>
          </cell>
          <cell r="D18">
            <v>-1565216.20530596</v>
          </cell>
          <cell r="E18">
            <v>52721053.532958314</v>
          </cell>
          <cell r="H18">
            <v>2356381.6676074127</v>
          </cell>
          <cell r="I18">
            <v>55077435.200565726</v>
          </cell>
        </row>
        <row r="19">
          <cell r="C19">
            <v>0</v>
          </cell>
          <cell r="D19">
            <v>0</v>
          </cell>
          <cell r="E19">
            <v>0</v>
          </cell>
          <cell r="H19">
            <v>0</v>
          </cell>
          <cell r="I19">
            <v>0</v>
          </cell>
        </row>
        <row r="20">
          <cell r="C20">
            <v>7051085.3167272415</v>
          </cell>
          <cell r="D20">
            <v>7511.6307436818088</v>
          </cell>
          <cell r="E20">
            <v>7058596.947470923</v>
          </cell>
          <cell r="H20">
            <v>-206624.15179824291</v>
          </cell>
          <cell r="I20">
            <v>6851972.7956726803</v>
          </cell>
        </row>
        <row r="21">
          <cell r="C21">
            <v>118807031.55930433</v>
          </cell>
          <cell r="D21">
            <v>9517861.9663449749</v>
          </cell>
          <cell r="E21">
            <v>128324893.52564931</v>
          </cell>
          <cell r="H21">
            <v>-19438938.835678313</v>
          </cell>
          <cell r="I21">
            <v>108885954.689971</v>
          </cell>
        </row>
        <row r="22">
          <cell r="C22">
            <v>29119799.086048592</v>
          </cell>
          <cell r="D22">
            <v>-71947.033747354202</v>
          </cell>
          <cell r="E22">
            <v>29047852.052301239</v>
          </cell>
          <cell r="H22">
            <v>-3732584.0742713427</v>
          </cell>
          <cell r="I22">
            <v>25315267.978029896</v>
          </cell>
        </row>
        <row r="23">
          <cell r="C23">
            <v>11983586.234546719</v>
          </cell>
          <cell r="D23">
            <v>-21040.271418405384</v>
          </cell>
          <cell r="E23">
            <v>11962545.963128313</v>
          </cell>
          <cell r="H23">
            <v>344166.15396472049</v>
          </cell>
          <cell r="I23">
            <v>12306712.117093034</v>
          </cell>
        </row>
        <row r="24">
          <cell r="C24">
            <v>8088803.4130521202</v>
          </cell>
          <cell r="D24">
            <v>-17798.775906975214</v>
          </cell>
          <cell r="E24">
            <v>8071004.6371451449</v>
          </cell>
          <cell r="H24">
            <v>-1059979.8168537463</v>
          </cell>
          <cell r="I24">
            <v>7011024.8202913981</v>
          </cell>
        </row>
        <row r="25">
          <cell r="C25">
            <v>9439582.4307300914</v>
          </cell>
          <cell r="D25">
            <v>-8808315.0298445877</v>
          </cell>
          <cell r="E25">
            <v>631267.40088550374</v>
          </cell>
          <cell r="H25">
            <v>2177.1434772762759</v>
          </cell>
          <cell r="I25">
            <v>633444.54436278006</v>
          </cell>
        </row>
        <row r="26">
          <cell r="C26">
            <v>0</v>
          </cell>
          <cell r="D26">
            <v>0</v>
          </cell>
          <cell r="E26">
            <v>0</v>
          </cell>
          <cell r="H26">
            <v>0</v>
          </cell>
          <cell r="I26">
            <v>0</v>
          </cell>
        </row>
        <row r="27">
          <cell r="C27">
            <v>10269546.584633965</v>
          </cell>
          <cell r="D27">
            <v>245800.56975179608</v>
          </cell>
          <cell r="E27">
            <v>10515347.15438576</v>
          </cell>
          <cell r="H27">
            <v>-220976.7880057281</v>
          </cell>
          <cell r="I27">
            <v>10294370.366380032</v>
          </cell>
        </row>
        <row r="28">
          <cell r="C28">
            <v>249045704.36330736</v>
          </cell>
          <cell r="D28">
            <v>-713143.1493828299</v>
          </cell>
          <cell r="E28">
            <v>248332561.21392447</v>
          </cell>
          <cell r="H28">
            <v>-21956378.701557964</v>
          </cell>
          <cell r="I28">
            <v>226376182.51236656</v>
          </cell>
        </row>
        <row r="29">
          <cell r="C29">
            <v>37836762.427732483</v>
          </cell>
          <cell r="D29">
            <v>-426874.27289548732</v>
          </cell>
          <cell r="E29">
            <v>37409888.154836997</v>
          </cell>
          <cell r="H29">
            <v>-361953.08500578615</v>
          </cell>
          <cell r="I29">
            <v>37047935.069831215</v>
          </cell>
        </row>
        <row r="30">
          <cell r="C30">
            <v>4000829.4733088263</v>
          </cell>
          <cell r="D30">
            <v>-174728.87755490927</v>
          </cell>
          <cell r="E30">
            <v>3826100.595753917</v>
          </cell>
          <cell r="H30">
            <v>-402431.60954907537</v>
          </cell>
          <cell r="I30">
            <v>3423668.9862048416</v>
          </cell>
        </row>
        <row r="31">
          <cell r="C31">
            <v>17194582.105629764</v>
          </cell>
          <cell r="D31">
            <v>-46288.058459085209</v>
          </cell>
          <cell r="E31">
            <v>17148294.04717068</v>
          </cell>
          <cell r="H31">
            <v>1741720.3599999994</v>
          </cell>
          <cell r="I31">
            <v>18890014.407170679</v>
          </cell>
        </row>
        <row r="32">
          <cell r="C32">
            <v>-13444798.478551678</v>
          </cell>
          <cell r="D32">
            <v>988711.50028101681</v>
          </cell>
          <cell r="E32">
            <v>-12456086.978270661</v>
          </cell>
          <cell r="H32">
            <v>155147.46767438436</v>
          </cell>
          <cell r="I32">
            <v>-12300939.510596277</v>
          </cell>
        </row>
        <row r="33">
          <cell r="C33">
            <v>0</v>
          </cell>
          <cell r="D33">
            <v>0</v>
          </cell>
          <cell r="E33">
            <v>0</v>
          </cell>
          <cell r="H33">
            <v>0</v>
          </cell>
          <cell r="I33">
            <v>0</v>
          </cell>
        </row>
        <row r="34">
          <cell r="C34">
            <v>22579758.194182646</v>
          </cell>
          <cell r="D34">
            <v>-1287871.7903143496</v>
          </cell>
          <cell r="E34">
            <v>21291886.403868295</v>
          </cell>
          <cell r="H34">
            <v>974090.70055956382</v>
          </cell>
          <cell r="I34">
            <v>22265977.104427859</v>
          </cell>
        </row>
        <row r="35">
          <cell r="C35">
            <v>0</v>
          </cell>
          <cell r="D35">
            <v>0</v>
          </cell>
          <cell r="E35">
            <v>0</v>
          </cell>
          <cell r="H35">
            <v>0</v>
          </cell>
          <cell r="I35">
            <v>0</v>
          </cell>
        </row>
        <row r="36">
          <cell r="C36">
            <v>-384317.73504529492</v>
          </cell>
          <cell r="D36">
            <v>-685916.03178462666</v>
          </cell>
          <cell r="E36">
            <v>-1070233.7668299216</v>
          </cell>
          <cell r="H36">
            <v>15951.581451000529</v>
          </cell>
          <cell r="I36">
            <v>-1054282.1853789212</v>
          </cell>
        </row>
        <row r="37">
          <cell r="C37">
            <v>316828520.350564</v>
          </cell>
          <cell r="D37">
            <v>-2346110.6801102711</v>
          </cell>
          <cell r="E37">
            <v>314482409.67045385</v>
          </cell>
          <cell r="H37">
            <v>-19833853.286427878</v>
          </cell>
          <cell r="I37">
            <v>294648556.38402599</v>
          </cell>
        </row>
        <row r="39">
          <cell r="C39">
            <v>39356667.963908076</v>
          </cell>
          <cell r="D39">
            <v>7433426.6207823446</v>
          </cell>
          <cell r="E39">
            <v>46790094.584690332</v>
          </cell>
          <cell r="H39">
            <v>3268035.5351344049</v>
          </cell>
          <cell r="I39">
            <v>50058130.119824708</v>
          </cell>
        </row>
        <row r="42">
          <cell r="C42">
            <v>1463726641.7773561</v>
          </cell>
          <cell r="D42">
            <v>31647606.579626083</v>
          </cell>
          <cell r="E42">
            <v>1495374248.3569822</v>
          </cell>
          <cell r="H42">
            <v>-15715508.53842457</v>
          </cell>
          <cell r="I42">
            <v>1479658739.8185577</v>
          </cell>
        </row>
        <row r="43">
          <cell r="C43">
            <v>37964.182804253716</v>
          </cell>
          <cell r="D43">
            <v>0</v>
          </cell>
          <cell r="E43">
            <v>37964.182804253716</v>
          </cell>
          <cell r="H43">
            <v>0</v>
          </cell>
          <cell r="I43">
            <v>37964.182804253716</v>
          </cell>
        </row>
        <row r="44">
          <cell r="C44">
            <v>21830245.365903828</v>
          </cell>
          <cell r="D44">
            <v>-2373510.0345394304</v>
          </cell>
          <cell r="E44">
            <v>19456735.331364397</v>
          </cell>
          <cell r="H44">
            <v>-3261120.6293837503</v>
          </cell>
          <cell r="I44">
            <v>16195614.701980647</v>
          </cell>
        </row>
        <row r="45">
          <cell r="C45">
            <v>0</v>
          </cell>
          <cell r="D45">
            <v>0</v>
          </cell>
          <cell r="E45">
            <v>0</v>
          </cell>
          <cell r="H45">
            <v>0</v>
          </cell>
          <cell r="I45">
            <v>0</v>
          </cell>
        </row>
        <row r="46">
          <cell r="C46">
            <v>0</v>
          </cell>
          <cell r="D46">
            <v>0</v>
          </cell>
          <cell r="E46">
            <v>0</v>
          </cell>
          <cell r="H46">
            <v>0</v>
          </cell>
          <cell r="I46">
            <v>0</v>
          </cell>
        </row>
        <row r="47">
          <cell r="C47">
            <v>2240510.2031514402</v>
          </cell>
          <cell r="D47">
            <v>-2240510.2035326045</v>
          </cell>
          <cell r="E47">
            <v>-3.8116425275802612E-4</v>
          </cell>
          <cell r="H47">
            <v>0</v>
          </cell>
          <cell r="I47">
            <v>-3.8116425275802612E-4</v>
          </cell>
        </row>
        <row r="48">
          <cell r="C48">
            <v>4907986.4739838019</v>
          </cell>
          <cell r="D48">
            <v>-4907986.4739838867</v>
          </cell>
          <cell r="E48">
            <v>-8.4750354290008545E-8</v>
          </cell>
          <cell r="H48">
            <v>0</v>
          </cell>
          <cell r="I48">
            <v>-8.4750354290008545E-8</v>
          </cell>
        </row>
        <row r="49">
          <cell r="C49">
            <v>7435680.6044854177</v>
          </cell>
          <cell r="D49">
            <v>-7435680.6054583685</v>
          </cell>
          <cell r="E49">
            <v>-9.7295083105564117E-4</v>
          </cell>
          <cell r="H49">
            <v>0</v>
          </cell>
          <cell r="I49">
            <v>-9.7295083105564117E-4</v>
          </cell>
        </row>
        <row r="50">
          <cell r="C50">
            <v>3098080.8131170203</v>
          </cell>
          <cell r="D50">
            <v>-3098080.8131170203</v>
          </cell>
          <cell r="E50">
            <v>0</v>
          </cell>
          <cell r="H50">
            <v>0</v>
          </cell>
          <cell r="I50">
            <v>0</v>
          </cell>
        </row>
        <row r="51">
          <cell r="C51">
            <v>2010463.629199035</v>
          </cell>
          <cell r="D51">
            <v>0</v>
          </cell>
          <cell r="E51">
            <v>2010463.629199035</v>
          </cell>
          <cell r="H51">
            <v>0</v>
          </cell>
          <cell r="I51">
            <v>2010463.629199035</v>
          </cell>
        </row>
        <row r="52">
          <cell r="C52">
            <v>102468.75195101222</v>
          </cell>
          <cell r="D52">
            <v>-102468.75195108727</v>
          </cell>
          <cell r="E52">
            <v>-7.5044226832687855E-8</v>
          </cell>
          <cell r="H52">
            <v>0</v>
          </cell>
          <cell r="I52">
            <v>-7.5044226832687855E-8</v>
          </cell>
        </row>
        <row r="53">
          <cell r="C53">
            <v>1505390041.8019521</v>
          </cell>
          <cell r="D53">
            <v>11489369.697043683</v>
          </cell>
          <cell r="E53">
            <v>1516879411.4989958</v>
          </cell>
          <cell r="H53">
            <v>-18976629.16780832</v>
          </cell>
          <cell r="I53">
            <v>1497902782.3311875</v>
          </cell>
        </row>
        <row r="56">
          <cell r="C56">
            <v>-533422815.50845498</v>
          </cell>
          <cell r="D56">
            <v>-10099130.621185265</v>
          </cell>
          <cell r="E56">
            <v>-543521946.12964022</v>
          </cell>
          <cell r="H56">
            <v>15685302.595786646</v>
          </cell>
          <cell r="I56">
            <v>-527836643.53385359</v>
          </cell>
        </row>
        <row r="57">
          <cell r="C57">
            <v>-36329777.851548776</v>
          </cell>
          <cell r="D57">
            <v>0</v>
          </cell>
          <cell r="E57">
            <v>-36329777.851548776</v>
          </cell>
          <cell r="H57">
            <v>0</v>
          </cell>
          <cell r="I57">
            <v>-36329777.851548776</v>
          </cell>
        </row>
        <row r="58">
          <cell r="C58">
            <v>-172602482.97219428</v>
          </cell>
          <cell r="D58">
            <v>311142.77519654436</v>
          </cell>
          <cell r="E58">
            <v>-172291340.19699773</v>
          </cell>
          <cell r="H58">
            <v>-21661.504834293853</v>
          </cell>
          <cell r="I58">
            <v>-172313001.70183203</v>
          </cell>
        </row>
        <row r="59">
          <cell r="C59">
            <v>-876652.79522800003</v>
          </cell>
          <cell r="D59">
            <v>103982.22360000001</v>
          </cell>
          <cell r="E59">
            <v>-772670.57162800001</v>
          </cell>
          <cell r="H59">
            <v>0</v>
          </cell>
          <cell r="I59">
            <v>-772670.57162800001</v>
          </cell>
        </row>
        <row r="60">
          <cell r="C60">
            <v>-752.18065947094203</v>
          </cell>
          <cell r="D60">
            <v>-293988.17735592474</v>
          </cell>
          <cell r="E60">
            <v>-294740.3580153957</v>
          </cell>
          <cell r="H60">
            <v>0</v>
          </cell>
          <cell r="I60">
            <v>-294740.3580153957</v>
          </cell>
        </row>
        <row r="61">
          <cell r="C61">
            <v>0</v>
          </cell>
          <cell r="D61">
            <v>-3291205.6015833332</v>
          </cell>
          <cell r="E61">
            <v>-3291205.6015833332</v>
          </cell>
          <cell r="H61">
            <v>0</v>
          </cell>
          <cell r="I61">
            <v>-3291205.6015833332</v>
          </cell>
        </row>
        <row r="62">
          <cell r="C62">
            <v>-4646783.9713116912</v>
          </cell>
          <cell r="D62">
            <v>-1978325.4157962431</v>
          </cell>
          <cell r="E62">
            <v>-6625109.3871079348</v>
          </cell>
          <cell r="H62">
            <v>56207.192047362681</v>
          </cell>
          <cell r="I62">
            <v>-6568902.1950605717</v>
          </cell>
        </row>
        <row r="64">
          <cell r="C64">
            <v>-747879265.27939713</v>
          </cell>
          <cell r="D64">
            <v>-15247524.817124221</v>
          </cell>
          <cell r="E64">
            <v>-763126790.0965215</v>
          </cell>
          <cell r="H64">
            <v>15719848.282999715</v>
          </cell>
          <cell r="I64">
            <v>-747406941.81352174</v>
          </cell>
        </row>
        <row r="66">
          <cell r="C66">
            <v>757510776.52255499</v>
          </cell>
          <cell r="D66">
            <v>-3758155.1200805381</v>
          </cell>
          <cell r="E66">
            <v>753752621.40247428</v>
          </cell>
          <cell r="H66">
            <v>-3256780.8848086055</v>
          </cell>
          <cell r="I66">
            <v>750495840.51766574</v>
          </cell>
        </row>
        <row r="69">
          <cell r="C69">
            <v>4.6123743735480255E-2</v>
          </cell>
          <cell r="D69">
            <v>2.061290562599391E-2</v>
          </cell>
          <cell r="E69">
            <v>6.6736649361473943E-2</v>
          </cell>
          <cell r="H69">
            <v>9.4172746555505199E-3</v>
          </cell>
          <cell r="I69">
            <v>7.6153924017024352E-2</v>
          </cell>
        </row>
        <row r="72">
          <cell r="C72">
            <v>48491627.679538943</v>
          </cell>
          <cell r="D72">
            <v>7134266.3307490116</v>
          </cell>
          <cell r="E72">
            <v>55625894.01028803</v>
          </cell>
          <cell r="H72">
            <v>4397273.7033683471</v>
          </cell>
          <cell r="I72">
            <v>60023167.713656306</v>
          </cell>
        </row>
        <row r="74">
          <cell r="C74">
            <v>-5402816.7261669245</v>
          </cell>
          <cell r="D74">
            <v>239226.0290480254</v>
          </cell>
          <cell r="E74">
            <v>-5163590.6971188989</v>
          </cell>
          <cell r="H74">
            <v>0</v>
          </cell>
          <cell r="I74">
            <v>-5163590.6971188989</v>
          </cell>
        </row>
        <row r="75">
          <cell r="C75">
            <v>22961344.056319799</v>
          </cell>
          <cell r="D75">
            <v>-992771.65397184342</v>
          </cell>
          <cell r="E75">
            <v>21968572.402347956</v>
          </cell>
          <cell r="H75">
            <v>-94920.832956276834</v>
          </cell>
          <cell r="I75">
            <v>21873651.569391679</v>
          </cell>
        </row>
        <row r="76">
          <cell r="C76">
            <v>69682519.662425429</v>
          </cell>
          <cell r="D76">
            <v>-4945929.2323369188</v>
          </cell>
          <cell r="E76">
            <v>64736590.430088513</v>
          </cell>
          <cell r="H76">
            <v>707575.056237009</v>
          </cell>
          <cell r="I76">
            <v>65444165.486325525</v>
          </cell>
        </row>
        <row r="77">
          <cell r="C77">
            <v>126084593.94117269</v>
          </cell>
          <cell r="D77">
            <v>116992.72253300529</v>
          </cell>
          <cell r="E77">
            <v>126201586.66370569</v>
          </cell>
          <cell r="H77">
            <v>1597480.7706653667</v>
          </cell>
          <cell r="I77">
            <v>127799067.43437105</v>
          </cell>
        </row>
        <row r="78">
          <cell r="C78">
            <v>-25468973.929361194</v>
          </cell>
          <cell r="D78">
            <v>2824890.0008029053</v>
          </cell>
          <cell r="E78">
            <v>-22644083.92855829</v>
          </cell>
          <cell r="H78">
            <v>3602288.8218962667</v>
          </cell>
          <cell r="I78">
            <v>-19041795.106662024</v>
          </cell>
        </row>
        <row r="80">
          <cell r="C80">
            <v>0</v>
          </cell>
          <cell r="D80">
            <v>0</v>
          </cell>
          <cell r="E80">
            <v>0</v>
          </cell>
          <cell r="H80">
            <v>0</v>
          </cell>
          <cell r="I80">
            <v>0</v>
          </cell>
        </row>
        <row r="81">
          <cell r="C81">
            <v>-25468973.929361194</v>
          </cell>
          <cell r="D81">
            <v>2824890.0008029053</v>
          </cell>
          <cell r="E81">
            <v>-22644083.92855829</v>
          </cell>
          <cell r="H81">
            <v>3602288.8218962667</v>
          </cell>
          <cell r="I81">
            <v>-19041795.106662024</v>
          </cell>
        </row>
        <row r="83">
          <cell r="C83">
            <v>-13444798.478551678</v>
          </cell>
          <cell r="D83">
            <v>988711.50028101681</v>
          </cell>
          <cell r="E83">
            <v>-12456086.978270661</v>
          </cell>
          <cell r="H83">
            <v>155147.46767438436</v>
          </cell>
          <cell r="I83">
            <v>-12300939.510596277</v>
          </cell>
        </row>
        <row r="100">
          <cell r="H100">
            <v>12947209.803206259</v>
          </cell>
        </row>
        <row r="113">
          <cell r="H113">
            <v>65642.353702255728</v>
          </cell>
        </row>
        <row r="120">
          <cell r="H120">
            <v>527339.85528459097</v>
          </cell>
        </row>
        <row r="121">
          <cell r="H121">
            <v>4323979.6579767941</v>
          </cell>
        </row>
        <row r="161">
          <cell r="H161">
            <v>12354227.594219413</v>
          </cell>
        </row>
        <row r="171">
          <cell r="H171">
            <v>4323979.6579767941</v>
          </cell>
        </row>
        <row r="264">
          <cell r="C264">
            <v>-4530657.6032752618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Lead Sheet"/>
      <sheetName val="4.8.1 "/>
    </sheetNames>
    <sheetDataSet>
      <sheetData sheetId="0">
        <row r="10">
          <cell r="I10">
            <v>3668.9492345489057</v>
          </cell>
        </row>
      </sheetData>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Lead Sheet"/>
      <sheetName val="4.12.1 "/>
    </sheetNames>
    <sheetDataSet>
      <sheetData sheetId="0">
        <row r="13">
          <cell r="I13">
            <v>43545.400382885564</v>
          </cell>
        </row>
      </sheetData>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Lead Sheet"/>
      <sheetName val="4.1.1"/>
    </sheetNames>
    <sheetDataSet>
      <sheetData sheetId="0">
        <row r="9">
          <cell r="I9">
            <v>-234.89638782254457</v>
          </cell>
        </row>
        <row r="17">
          <cell r="I17">
            <v>-1933.7030884820892</v>
          </cell>
        </row>
        <row r="18">
          <cell r="I18">
            <v>-97.979455831263692</v>
          </cell>
        </row>
        <row r="19">
          <cell r="I19">
            <v>-128350</v>
          </cell>
        </row>
        <row r="20">
          <cell r="I20">
            <v>0</v>
          </cell>
        </row>
        <row r="21">
          <cell r="I21">
            <v>0</v>
          </cell>
        </row>
        <row r="22">
          <cell r="I22">
            <v>0</v>
          </cell>
        </row>
        <row r="23">
          <cell r="I23">
            <v>-46.021526753684739</v>
          </cell>
        </row>
        <row r="25">
          <cell r="I25">
            <v>-824.41427054493238</v>
          </cell>
        </row>
        <row r="26">
          <cell r="I26">
            <v>-41.965465457140517</v>
          </cell>
        </row>
      </sheetData>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4.9"/>
      <sheetName val="4.9.1"/>
      <sheetName val="4.9.2"/>
      <sheetName val="4.9.3"/>
    </sheetNames>
    <sheetDataSet>
      <sheetData sheetId="0">
        <row r="10">
          <cell r="I10">
            <v>-318523.62</v>
          </cell>
        </row>
        <row r="11">
          <cell r="I11">
            <v>331763.40846116794</v>
          </cell>
        </row>
        <row r="12">
          <cell r="I12">
            <v>16049.323040031084</v>
          </cell>
        </row>
        <row r="16">
          <cell r="I16">
            <v>-79630.904999999548</v>
          </cell>
        </row>
        <row r="22">
          <cell r="I22">
            <v>-318524</v>
          </cell>
        </row>
      </sheetData>
      <sheetData sheetId="1"/>
      <sheetData sheetId="2"/>
      <sheetData sheetId="3"/>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4.10"/>
      <sheetName val="4.10.1"/>
    </sheetNames>
    <sheetDataSet>
      <sheetData sheetId="0">
        <row r="14">
          <cell r="I14">
            <v>-14413.215258144253</v>
          </cell>
        </row>
      </sheetData>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Leadsheet WA"/>
      <sheetName val="Support WA "/>
    </sheetNames>
    <sheetDataSet>
      <sheetData sheetId="0">
        <row r="18">
          <cell r="I18">
            <v>-445940.92864172463</v>
          </cell>
        </row>
        <row r="29">
          <cell r="I29">
            <v>447303.50804179336</v>
          </cell>
        </row>
      </sheetData>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Lead Sheet"/>
      <sheetName val="8.3.1"/>
      <sheetName val="8.3.2-8.3.3"/>
      <sheetName val="8.3.4"/>
      <sheetName val="8.3.5"/>
    </sheetNames>
    <sheetDataSet>
      <sheetData sheetId="0">
        <row r="13">
          <cell r="I13">
            <v>76772.861659234259</v>
          </cell>
        </row>
        <row r="20">
          <cell r="I20">
            <v>164613.1918070376</v>
          </cell>
        </row>
        <row r="23">
          <cell r="I23">
            <v>-483411.90370489907</v>
          </cell>
        </row>
        <row r="25">
          <cell r="I25">
            <v>-58274</v>
          </cell>
        </row>
        <row r="26">
          <cell r="I26">
            <v>22116</v>
          </cell>
        </row>
        <row r="27">
          <cell r="I27">
            <v>-225532</v>
          </cell>
        </row>
        <row r="29">
          <cell r="I29">
            <v>24758.346564164047</v>
          </cell>
        </row>
        <row r="30">
          <cell r="I30">
            <v>-9396.0136830656193</v>
          </cell>
        </row>
        <row r="31">
          <cell r="I31">
            <v>-36201.896011583951</v>
          </cell>
        </row>
      </sheetData>
      <sheetData sheetId="1"/>
      <sheetData sheetId="2"/>
      <sheetData sheetId="3"/>
      <sheetData sheetId="4"/>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Lead Sheet"/>
      <sheetName val="5.4.1 Property Tax Calc."/>
      <sheetName val="5.4.2 Summary"/>
      <sheetName val="5.4.3 Tax Data"/>
      <sheetName val=" Plant Ledger Balances"/>
      <sheetName val="Summary Pre-Merger"/>
      <sheetName val="Summary Post-Merger"/>
      <sheetName val="Summary Total"/>
      <sheetName val="ITC"/>
      <sheetName val="T-Account"/>
      <sheetName val="V1983"/>
      <sheetName val="V1984"/>
      <sheetName val="V1985"/>
      <sheetName val="V1986"/>
      <sheetName val="V1987"/>
      <sheetName val="V1988"/>
      <sheetName val="V1989"/>
      <sheetName val="V1990"/>
      <sheetName val="V1991"/>
      <sheetName val="V1992"/>
      <sheetName val="V1993"/>
      <sheetName val="V1994"/>
      <sheetName val="V1995"/>
      <sheetName val="V1996"/>
      <sheetName val="V1997"/>
      <sheetName val="V1998"/>
      <sheetName val="V1999"/>
      <sheetName val="V2000"/>
      <sheetName val="V2000.2"/>
      <sheetName val="V2001"/>
      <sheetName val="V2001.2"/>
      <sheetName val="V2002"/>
      <sheetName val="V2003"/>
      <sheetName val="V2003.2"/>
      <sheetName val="V2004"/>
      <sheetName val="V2004.2"/>
      <sheetName val="V2005"/>
      <sheetName val="V2005.2"/>
      <sheetName val="V2005.3"/>
      <sheetName val="V2006"/>
      <sheetName val="V2006.2"/>
      <sheetName val="V2006.3"/>
      <sheetName val="V2007"/>
      <sheetName val="V2007.2"/>
      <sheetName val="V2008"/>
      <sheetName val="V2008.2"/>
      <sheetName val="V2009"/>
      <sheetName val="V2009.2"/>
      <sheetName val="V2010"/>
      <sheetName val="V2010.2"/>
      <sheetName val="Break"/>
      <sheetName val="Depr Rate"/>
    </sheetNames>
    <sheetDataSet>
      <sheetData sheetId="0">
        <row r="9">
          <cell r="I9">
            <v>-376735.41920285398</v>
          </cell>
        </row>
        <row r="10">
          <cell r="I10">
            <v>-32148.300892633324</v>
          </cell>
        </row>
        <row r="11">
          <cell r="I11">
            <v>-46288.058459085209</v>
          </cell>
        </row>
        <row r="12">
          <cell r="I12">
            <v>299183.70853287209</v>
          </cell>
        </row>
        <row r="15">
          <cell r="I15">
            <v>113543.20922531039</v>
          </cell>
        </row>
        <row r="18">
          <cell r="I18">
            <v>-24785224.947556175</v>
          </cell>
        </row>
        <row r="19">
          <cell r="I19">
            <v>-2133208.4169065445</v>
          </cell>
        </row>
        <row r="20">
          <cell r="I20">
            <v>16345789.6102008</v>
          </cell>
        </row>
        <row r="21">
          <cell r="I21">
            <v>354634.39721935999</v>
          </cell>
        </row>
        <row r="22">
          <cell r="I22">
            <v>1484568.406393917</v>
          </cell>
        </row>
        <row r="23">
          <cell r="I23">
            <v>103982.22360000001</v>
          </cell>
        </row>
        <row r="26">
          <cell r="I26">
            <v>-52188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Lead Sheet"/>
      <sheetName val="Dep. Schedule"/>
    </sheetNames>
    <sheetDataSet>
      <sheetData sheetId="0">
        <row r="9">
          <cell r="I9">
            <v>-17990.552799178593</v>
          </cell>
        </row>
        <row r="13">
          <cell r="I13">
            <v>17990.552799178593</v>
          </cell>
        </row>
        <row r="17">
          <cell r="I17">
            <v>-423015.57377275266</v>
          </cell>
        </row>
      </sheetData>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Lead Sheet"/>
      <sheetName val="Adjustment Summary"/>
    </sheetNames>
    <sheetDataSet>
      <sheetData sheetId="0">
        <row r="11">
          <cell r="I11">
            <v>-174728.87755490927</v>
          </cell>
        </row>
        <row r="15">
          <cell r="I15">
            <v>160863.96</v>
          </cell>
        </row>
        <row r="16">
          <cell r="I16">
            <v>-156681.29230450231</v>
          </cell>
        </row>
        <row r="17">
          <cell r="I17">
            <v>-106651.41964658495</v>
          </cell>
        </row>
        <row r="19">
          <cell r="I19">
            <v>379683.94328461419</v>
          </cell>
        </row>
        <row r="20">
          <cell r="I20">
            <v>801260.14042491582</v>
          </cell>
        </row>
        <row r="25">
          <cell r="I25">
            <v>-426908.27581452177</v>
          </cell>
        </row>
        <row r="26">
          <cell r="I26">
            <v>-275765</v>
          </cell>
        </row>
      </sheetData>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ummary"/>
      <sheetName val="Total Adj"/>
      <sheetName val="Restating Adj"/>
      <sheetName val="Pro Forma Adj"/>
      <sheetName val="Interest Calc"/>
      <sheetName val="Variables"/>
      <sheetName val="Check Sheet"/>
      <sheetName val="Exhibit No.__(RBD-2) pg 1"/>
      <sheetName val="Exhibit No.__(RBD-2) pg 2-3"/>
      <sheetName val="Page 1.4"/>
      <sheetName val="Page 1.5"/>
      <sheetName val="Page 1.6"/>
    </sheetNames>
    <sheetDataSet>
      <sheetData sheetId="0" refreshError="1">
        <row r="13">
          <cell r="L13">
            <v>12947209.870998675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Lead Sheet"/>
      <sheetName val="Unamort AMA"/>
    </sheetNames>
    <sheetDataSet>
      <sheetData sheetId="0">
        <row r="9">
          <cell r="I9">
            <v>-296778.81346373697</v>
          </cell>
        </row>
        <row r="12">
          <cell r="I12">
            <v>-222584.42473664155</v>
          </cell>
        </row>
      </sheetData>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Page 7.6 ~ WA Flow-Through Adj."/>
      <sheetName val="Results Summary (SCH M)"/>
      <sheetName val="Results Summary (DIT EXP)"/>
      <sheetName val="Results Summary (ADIT)"/>
      <sheetName val="Current Income Tax Expense"/>
      <sheetName val="Deferred Income Tax Expense"/>
      <sheetName val="Accumulated Deferred Income Tax"/>
      <sheetName val="Allocation Factors"/>
    </sheetNames>
    <sheetDataSet>
      <sheetData sheetId="0">
        <row r="51">
          <cell r="I51">
            <v>-2089738.2646262255</v>
          </cell>
        </row>
        <row r="90">
          <cell r="I90">
            <v>396343.93645358831</v>
          </cell>
        </row>
      </sheetData>
      <sheetData sheetId="1"/>
      <sheetData sheetId="2"/>
      <sheetData sheetId="3"/>
      <sheetData sheetId="4"/>
      <sheetData sheetId="5"/>
      <sheetData sheetId="6"/>
      <sheetData sheetId="7"/>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Lead Sheet"/>
      <sheetName val="Tax Support"/>
    </sheetNames>
    <sheetDataSet>
      <sheetData sheetId="0">
        <row r="10">
          <cell r="I10">
            <v>-1877339</v>
          </cell>
        </row>
        <row r="12">
          <cell r="I12">
            <v>953690</v>
          </cell>
        </row>
      </sheetData>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Leadsheet"/>
      <sheetName val="7.8.1"/>
      <sheetName val="Detail Support"/>
    </sheetNames>
    <sheetDataSet>
      <sheetData sheetId="0">
        <row r="20">
          <cell r="I20">
            <v>-162836.41913151741</v>
          </cell>
        </row>
        <row r="22">
          <cell r="I22">
            <v>-610512.96960747719</v>
          </cell>
        </row>
        <row r="34">
          <cell r="I34">
            <v>20913</v>
          </cell>
        </row>
      </sheetData>
      <sheetData sheetId="1"/>
      <sheetData sheetId="2"/>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Lead Sheet"/>
      <sheetName val="8.1.1"/>
    </sheetNames>
    <sheetDataSet>
      <sheetData sheetId="0">
        <row r="10">
          <cell r="I10">
            <v>10074.098181818181</v>
          </cell>
        </row>
        <row r="15">
          <cell r="I15">
            <v>-3291205.6015833332</v>
          </cell>
        </row>
      </sheetData>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Lead Sheet AMA (WA)"/>
      <sheetName val="8.2.1 WA"/>
    </sheetNames>
    <sheetDataSet>
      <sheetData sheetId="0">
        <row r="10">
          <cell r="I10">
            <v>58989055.517888799</v>
          </cell>
        </row>
        <row r="11">
          <cell r="I11">
            <v>385035.68442549539</v>
          </cell>
        </row>
        <row r="12">
          <cell r="I12">
            <v>-26791408.568740711</v>
          </cell>
        </row>
      </sheetData>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Lead Sheet - AMA"/>
      <sheetName val="Pg 2 of Lead Sheet AMA"/>
      <sheetName val="Detail"/>
      <sheetName val="Tax Support"/>
    </sheetNames>
    <sheetDataSet>
      <sheetData sheetId="0">
        <row r="20">
          <cell r="I20">
            <v>-3098080.8131170203</v>
          </cell>
        </row>
        <row r="26">
          <cell r="I26">
            <v>-4907986.4739838867</v>
          </cell>
        </row>
        <row r="43">
          <cell r="I43">
            <v>-7435680.6054583685</v>
          </cell>
        </row>
        <row r="45">
          <cell r="I45">
            <v>-780065.60782761371</v>
          </cell>
        </row>
        <row r="46">
          <cell r="I46">
            <v>-284019.07279364648</v>
          </cell>
        </row>
        <row r="47">
          <cell r="I47">
            <v>-25531.188729780966</v>
          </cell>
        </row>
        <row r="48">
          <cell r="I48">
            <v>0</v>
          </cell>
        </row>
        <row r="49">
          <cell r="I49">
            <v>-564569.54038055264</v>
          </cell>
        </row>
        <row r="50">
          <cell r="I50">
            <v>-191030.75784778642</v>
          </cell>
        </row>
        <row r="51">
          <cell r="I51">
            <v>-13246.216300600772</v>
          </cell>
        </row>
        <row r="52">
          <cell r="I52">
            <v>0</v>
          </cell>
        </row>
        <row r="53">
          <cell r="I53">
            <v>0</v>
          </cell>
        </row>
        <row r="59">
          <cell r="I59">
            <v>-905.22090838867439</v>
          </cell>
        </row>
        <row r="60">
          <cell r="I60">
            <v>-381142.598744235</v>
          </cell>
        </row>
        <row r="69">
          <cell r="I69">
            <v>-2028125.589129169</v>
          </cell>
        </row>
        <row r="87">
          <cell r="I87">
            <v>-815402.41664279497</v>
          </cell>
        </row>
      </sheetData>
      <sheetData sheetId="1">
        <row r="10">
          <cell r="I10">
            <v>-30875.284391249923</v>
          </cell>
        </row>
        <row r="12">
          <cell r="I12">
            <v>-38586.632816669502</v>
          </cell>
        </row>
        <row r="14">
          <cell r="I14">
            <v>-353566.50300117244</v>
          </cell>
        </row>
        <row r="16">
          <cell r="I16">
            <v>-79005.301947234344</v>
          </cell>
        </row>
      </sheetData>
      <sheetData sheetId="2"/>
      <sheetData sheetId="3"/>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Lead Sheet AMA"/>
      <sheetName val="6.1.1 AMA"/>
      <sheetName val="6.1.2 AMA"/>
      <sheetName val="6.1.3 AMA"/>
    </sheetNames>
    <sheetDataSet>
      <sheetData sheetId="0">
        <row r="10">
          <cell r="I10">
            <v>-8146.0598647139677</v>
          </cell>
        </row>
        <row r="15">
          <cell r="I15">
            <v>672394.72947564709</v>
          </cell>
        </row>
        <row r="21">
          <cell r="I21">
            <v>2662914.971880889</v>
          </cell>
        </row>
        <row r="22">
          <cell r="I22">
            <v>1010602.8659636988</v>
          </cell>
        </row>
        <row r="23">
          <cell r="I23">
            <v>-391038.76591474324</v>
          </cell>
        </row>
      </sheetData>
      <sheetData sheetId="1"/>
      <sheetData sheetId="2"/>
      <sheetData sheetId="3"/>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MA Lead Sheet - WCA"/>
      <sheetName val="AMA - WCA Alloc"/>
    </sheetNames>
    <sheetDataSet>
      <sheetData sheetId="0">
        <row r="23">
          <cell r="I23">
            <v>-293988.17735592474</v>
          </cell>
        </row>
      </sheetData>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Lead Sheet"/>
      <sheetName val="7.5.1"/>
    </sheetNames>
    <sheetDataSet>
      <sheetData sheetId="0">
        <row r="9">
          <cell r="I9">
            <v>239226.0290480254</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vReqSummary"/>
      <sheetName val="RevReqCalc"/>
      <sheetName val="Conversion factor"/>
      <sheetName val="cost of capital"/>
      <sheetName val="staff v company"/>
      <sheetName val="Table 1"/>
      <sheetName val="Table2"/>
      <sheetName val="Table3"/>
      <sheetName val="Table4"/>
      <sheetName val="Table5"/>
      <sheetName val="Table6"/>
      <sheetName val="Total Adjustments "/>
      <sheetName val="Adj Summary"/>
      <sheetName val="Adjustments - restating"/>
      <sheetName val="Adjustments - Pro Forma"/>
      <sheetName val="Adj 3.1 Temp Norm"/>
      <sheetName val="Adj 3.2 Rev Normalizing"/>
      <sheetName val="Adj 3.3 Effec. Price Change"/>
      <sheetName val="Adj 3.4 SO2 Emmissions"/>
      <sheetName val="Adj 3.5 Rec Rev"/>
      <sheetName val="Adj 3.6 Wheeling Rev"/>
      <sheetName val="Adj 3.7 Ancillary Revenue"/>
      <sheetName val="Adj 4.1 Misc Gen Exp"/>
      <sheetName val="Adj 4.2 Gen Wage Inc-Annual"/>
      <sheetName val="Adj 4.3 PF Gen Wage Inc"/>
      <sheetName val="Adj 4.4 AMR Savings"/>
      <sheetName val="Adj 4.5 Remove Non-Recurring En"/>
      <sheetName val="Adj 4.6 Pension"/>
      <sheetName val="Adj 4.7 DSM Rev-Exp Remove"/>
      <sheetName val="Adj 4.8 Inverted Rates Adv"/>
      <sheetName val="Adj 4.9 MEHC trans Cost Amort"/>
      <sheetName val="Adj 4.10 Affiliate Mgt Fee"/>
      <sheetName val="Adj 4.11 Insurance Exp"/>
      <sheetName val="Adj 4.12 Advertising"/>
      <sheetName val="Adj 4.13 Memberships &amp; Subscip."/>
      <sheetName val="Adj 4.14 Reg Comm Expense"/>
      <sheetName val="Adj 5.1 Net Power Costs Restat"/>
      <sheetName val="Adj 5.1.1 Net Power Costs - PF"/>
      <sheetName val="Adj 5.2 James River Royalty Of"/>
      <sheetName val="Adj 5.3 BPA Res Exchange"/>
      <sheetName val="Adj 5.4 Removal of Colstrip #3"/>
      <sheetName val="Adj 6.1 Hydro Decomm."/>
      <sheetName val="Adj 7.1 Interest True-up"/>
      <sheetName val="Adj 7.2 Renewable Tax Credit"/>
      <sheetName val="Adj 7.3 Malin Midpoint Adj"/>
      <sheetName val="Adj 7.4 WA Pub Util Tax"/>
      <sheetName val="7.5 AFUDC - Equity"/>
      <sheetName val="Adj 7.6 WA Flow-through Adj"/>
      <sheetName val="Adj 7.7 Remove Def State Tax E"/>
      <sheetName val="Adj 7.8 ADIT Balance Adj"/>
      <sheetName val="Adj 8.1 Cust Svc Deposits"/>
      <sheetName val="Adj 8.2 Jim Bridger Mine RB"/>
      <sheetName val="Adj 8.3 Environ Remediation"/>
      <sheetName val="Adj 8.4 Cust Adv for Construct"/>
      <sheetName val="Adj 8.5 Removal of Colstrip #4"/>
      <sheetName val="Adj 8.6 Misc. Rate base"/>
      <sheetName val="Adj 8.6.1 Misc Rate Base"/>
      <sheetName val="Adj. 8.6Misc RB (pg 2)"/>
      <sheetName val="Adj 8.7 Powerdale"/>
      <sheetName val="Adj 8.8 Reg Asset Amort "/>
      <sheetName val="Adj 8.9 Trojan Unrec Plant Adj"/>
      <sheetName val="Adj 8.10 Condit Removal  "/>
      <sheetName val="Adj 9.1 Prod Factor"/>
      <sheetName val="Adj 9.1.1 Prod Factor (cont)"/>
      <sheetName val="WCA Allocation Factors"/>
      <sheetName val="appendix"/>
    </sheetNames>
    <sheetDataSet>
      <sheetData sheetId="0">
        <row r="9">
          <cell r="E9">
            <v>303193342</v>
          </cell>
        </row>
      </sheetData>
      <sheetData sheetId="1"/>
      <sheetData sheetId="2"/>
      <sheetData sheetId="3">
        <row r="9">
          <cell r="D9">
            <v>5.7599999999999998E-2</v>
          </cell>
        </row>
        <row r="10">
          <cell r="D10">
            <v>0</v>
          </cell>
        </row>
        <row r="11">
          <cell r="D11">
            <v>5.4300000000000001E-2</v>
          </cell>
        </row>
        <row r="13">
          <cell r="E13">
            <v>7.7399999999999997E-2</v>
          </cell>
        </row>
        <row r="22">
          <cell r="D22">
            <v>9.8000000000000004E-2</v>
          </cell>
        </row>
      </sheetData>
      <sheetData sheetId="4"/>
      <sheetData sheetId="5"/>
      <sheetData sheetId="6"/>
      <sheetData sheetId="7"/>
      <sheetData sheetId="8"/>
      <sheetData sheetId="9"/>
      <sheetData sheetId="10"/>
      <sheetData sheetId="11"/>
      <sheetData sheetId="12">
        <row r="64">
          <cell r="AD64">
            <v>273209.89236551552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Lead Sheet"/>
      <sheetName val="Production Factor Adj"/>
      <sheetName val="9.1.4"/>
      <sheetName val="3.1.2_Table 1 - kWh"/>
      <sheetName val="WA Retail Sales (Mwh)"/>
    </sheetNames>
    <sheetDataSet>
      <sheetData sheetId="0">
        <row r="29">
          <cell r="I29">
            <v>114.18726905023686</v>
          </cell>
        </row>
        <row r="30">
          <cell r="I30">
            <v>-3712.6218972527131</v>
          </cell>
        </row>
        <row r="31">
          <cell r="I31">
            <v>-96.02451217016187</v>
          </cell>
        </row>
        <row r="32">
          <cell r="I32">
            <v>-31333.887434678385</v>
          </cell>
        </row>
        <row r="33">
          <cell r="I33">
            <v>-195367.69951420277</v>
          </cell>
        </row>
        <row r="34">
          <cell r="I34">
            <v>-121903.35511594545</v>
          </cell>
        </row>
        <row r="35">
          <cell r="I35">
            <v>-1971.8007506708382</v>
          </cell>
        </row>
        <row r="36">
          <cell r="I36">
            <v>-88819.194393501617</v>
          </cell>
        </row>
        <row r="37">
          <cell r="I37">
            <v>0</v>
          </cell>
        </row>
        <row r="38">
          <cell r="I38">
            <v>-1248.7158322282048</v>
          </cell>
        </row>
        <row r="39">
          <cell r="I39">
            <v>1695.6683760000014</v>
          </cell>
        </row>
        <row r="40">
          <cell r="I40">
            <v>-54261.590929170605</v>
          </cell>
        </row>
        <row r="41">
          <cell r="I41">
            <v>-632.60597575404972</v>
          </cell>
        </row>
        <row r="42">
          <cell r="I42">
            <v>-8551.713928021607</v>
          </cell>
        </row>
        <row r="45">
          <cell r="I45">
            <v>-742252.92049907148</v>
          </cell>
        </row>
        <row r="46">
          <cell r="I46">
            <v>-1113869.7234143168</v>
          </cell>
        </row>
        <row r="47">
          <cell r="I47">
            <v>-10999.109849757864</v>
          </cell>
        </row>
        <row r="48">
          <cell r="I48">
            <v>-27112.594350000145</v>
          </cell>
        </row>
        <row r="49">
          <cell r="I49">
            <v>-356201.44079751149</v>
          </cell>
        </row>
        <row r="51">
          <cell r="I51">
            <v>-733524.99701757729</v>
          </cell>
        </row>
        <row r="52">
          <cell r="I52">
            <v>-621674.3145307228</v>
          </cell>
        </row>
        <row r="55">
          <cell r="I55">
            <v>-19237.377670185408</v>
          </cell>
        </row>
      </sheetData>
      <sheetData sheetId="1"/>
      <sheetData sheetId="2"/>
      <sheetData sheetId="3"/>
      <sheetData sheetId="4"/>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Lead Sheet WCA"/>
      <sheetName val="Summary WCA"/>
      <sheetName val="3.6.3"/>
    </sheetNames>
    <sheetDataSet>
      <sheetData sheetId="0">
        <row r="11">
          <cell r="I11">
            <v>-28539.047993698798</v>
          </cell>
        </row>
        <row r="12">
          <cell r="I12">
            <v>124090.84227635268</v>
          </cell>
        </row>
        <row r="13">
          <cell r="I13">
            <v>754000</v>
          </cell>
        </row>
      </sheetData>
      <sheetData sheetId="1"/>
      <sheetData sheetId="2"/>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Lead Sheet"/>
      <sheetName val="3.7.1"/>
    </sheetNames>
    <sheetDataSet>
      <sheetData sheetId="0">
        <row r="9">
          <cell r="I9">
            <v>1007573.5681837318</v>
          </cell>
        </row>
      </sheetData>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Lead Sheet WA"/>
      <sheetName val="FORECAST2"/>
    </sheetNames>
    <sheetDataSet>
      <sheetData sheetId="0">
        <row r="9">
          <cell r="H9">
            <v>1100536.4799877179</v>
          </cell>
        </row>
      </sheetData>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Lead Sheet - WA "/>
      <sheetName val="WA - Chehalis Amort Sched"/>
      <sheetName val="WA Grid West Amort"/>
    </sheetNames>
    <sheetDataSet>
      <sheetData sheetId="0">
        <row r="10">
          <cell r="I10">
            <v>-3000000</v>
          </cell>
        </row>
        <row r="11">
          <cell r="I11">
            <v>-23470.439999999988</v>
          </cell>
        </row>
        <row r="14">
          <cell r="I14">
            <v>-3000000</v>
          </cell>
        </row>
        <row r="15">
          <cell r="I15">
            <v>-41073.271624999979</v>
          </cell>
        </row>
        <row r="20">
          <cell r="I20">
            <v>1660365</v>
          </cell>
        </row>
        <row r="22">
          <cell r="I22">
            <v>-46940.879999999983</v>
          </cell>
        </row>
        <row r="23">
          <cell r="I23">
            <v>17815</v>
          </cell>
        </row>
        <row r="24">
          <cell r="I24">
            <v>25978.708332999999</v>
          </cell>
        </row>
        <row r="26">
          <cell r="I26">
            <v>23470.439999999995</v>
          </cell>
        </row>
        <row r="27">
          <cell r="I27">
            <v>-8902</v>
          </cell>
        </row>
        <row r="28">
          <cell r="I28">
            <v>-2223.8333333333335</v>
          </cell>
        </row>
      </sheetData>
      <sheetData sheetId="1"/>
      <sheetData sheetId="2"/>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4.2"/>
      <sheetName val="4.3"/>
      <sheetName val="Description"/>
      <sheetName val="Summary"/>
      <sheetName val="Escalation"/>
      <sheetName val="Labor Increases"/>
      <sheetName val="Payroll"/>
      <sheetName val="Adj. By Account (TC)"/>
      <sheetName val="Adj. By Account (W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Lead Sheet"/>
      <sheetName val="Unrec Plant"/>
      <sheetName val="Unrec Plant Amort"/>
      <sheetName val="WA Reg Treatment"/>
      <sheetName val="Decom Amort"/>
      <sheetName val="Tax Support"/>
      <sheetName val="AMA Asset"/>
      <sheetName val="O&amp;M"/>
    </sheetNames>
    <sheetDataSet>
      <sheetData sheetId="0">
        <row r="15">
          <cell r="I15">
            <v>-15030.02310173677</v>
          </cell>
        </row>
        <row r="18">
          <cell r="I18">
            <v>-642980.54267163784</v>
          </cell>
        </row>
        <row r="21">
          <cell r="I21">
            <v>-298304.76755054889</v>
          </cell>
        </row>
        <row r="24">
          <cell r="I24">
            <v>240548.93312256248</v>
          </cell>
        </row>
        <row r="25">
          <cell r="I25">
            <v>858413.59129707469</v>
          </cell>
        </row>
        <row r="26">
          <cell r="I26">
            <v>-108667.26482451872</v>
          </cell>
        </row>
        <row r="27">
          <cell r="I27">
            <v>-664758.49291699997</v>
          </cell>
        </row>
        <row r="29">
          <cell r="I29">
            <v>125696.76771901787</v>
          </cell>
        </row>
        <row r="30">
          <cell r="I30">
            <v>-47703.180317044491</v>
          </cell>
        </row>
        <row r="31">
          <cell r="I31">
            <v>-289688.56666031777</v>
          </cell>
        </row>
        <row r="33">
          <cell r="I33">
            <v>-23367.776984187054</v>
          </cell>
        </row>
        <row r="34">
          <cell r="I34">
            <v>8868.3203796647413</v>
          </cell>
        </row>
        <row r="35">
          <cell r="I35">
            <v>173802.41107443726</v>
          </cell>
        </row>
        <row r="37">
          <cell r="I37">
            <v>-851788</v>
          </cell>
        </row>
        <row r="38">
          <cell r="I38">
            <v>-323262.06388000003</v>
          </cell>
        </row>
        <row r="39">
          <cell r="I39">
            <v>13469.25</v>
          </cell>
        </row>
      </sheetData>
      <sheetData sheetId="1"/>
      <sheetData sheetId="2"/>
      <sheetData sheetId="3"/>
      <sheetData sheetId="4"/>
      <sheetData sheetId="5"/>
      <sheetData sheetId="6"/>
      <sheetData sheetId="7"/>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Leadsheet"/>
      <sheetName val="Summary"/>
      <sheetName val="O&amp;M"/>
      <sheetName val="EPIS"/>
      <sheetName val="Accum Depr"/>
    </sheetNames>
    <sheetDataSet>
      <sheetData sheetId="0">
        <row r="16">
          <cell r="I16">
            <v>-92246.506611782112</v>
          </cell>
        </row>
        <row r="26">
          <cell r="I26">
            <v>-1557660.9172082131</v>
          </cell>
        </row>
        <row r="28">
          <cell r="I28">
            <v>1521445.4948156718</v>
          </cell>
        </row>
      </sheetData>
      <sheetData sheetId="1"/>
      <sheetData sheetId="2"/>
      <sheetData sheetId="3"/>
      <sheetData sheetId="4"/>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Lead Sheet"/>
      <sheetName val="4.4.1"/>
      <sheetName val="4.4.2"/>
      <sheetName val="4.4.3"/>
      <sheetName val="4.4.4"/>
    </sheetNames>
    <sheetDataSet>
      <sheetData sheetId="0">
        <row r="11">
          <cell r="I11">
            <v>-1083728.1413119351</v>
          </cell>
        </row>
        <row r="17">
          <cell r="I17">
            <v>7407642.1687499946</v>
          </cell>
        </row>
        <row r="19">
          <cell r="I19">
            <v>-9419911.8527651522</v>
          </cell>
        </row>
        <row r="20">
          <cell r="I20">
            <v>9419911.8527651522</v>
          </cell>
        </row>
        <row r="23">
          <cell r="I23">
            <v>-69266.102153743035</v>
          </cell>
        </row>
        <row r="24">
          <cell r="I24">
            <v>6873.0949071109035</v>
          </cell>
        </row>
        <row r="30">
          <cell r="I30">
            <v>747897.83724663057</v>
          </cell>
        </row>
        <row r="31">
          <cell r="I31">
            <v>283835</v>
          </cell>
        </row>
        <row r="32">
          <cell r="I32">
            <v>-125046.04166666669</v>
          </cell>
        </row>
      </sheetData>
      <sheetData sheetId="1"/>
      <sheetData sheetId="2"/>
      <sheetData sheetId="3"/>
      <sheetData sheetId="4"/>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4.6"/>
      <sheetName val="4.6.1"/>
      <sheetName val="4.6.2"/>
      <sheetName val="4.6.3"/>
    </sheetNames>
    <sheetDataSet>
      <sheetData sheetId="0">
        <row r="11">
          <cell r="I11">
            <v>1013716.06</v>
          </cell>
        </row>
        <row r="12">
          <cell r="I12">
            <v>-1017960.0166412225</v>
          </cell>
        </row>
        <row r="17">
          <cell r="F17">
            <v>1017960.0166412225</v>
          </cell>
        </row>
        <row r="18">
          <cell r="F18">
            <v>-386326</v>
          </cell>
        </row>
        <row r="19">
          <cell r="I19">
            <v>-1087279.6666666667</v>
          </cell>
        </row>
      </sheetData>
      <sheetData sheetId="1"/>
      <sheetData sheetId="2"/>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Lead Sheet 3.1"/>
      <sheetName val="Lead Sheet 3.2"/>
      <sheetName val="Lead Sheet 3.3"/>
      <sheetName val="Table 1-Revenues"/>
      <sheetName val="Table 1 - kWh"/>
      <sheetName val="Table 2"/>
      <sheetName val="Table 3"/>
      <sheetName val="Actual Tax Data"/>
      <sheetName val="SBC (Old)"/>
      <sheetName val="Billing Determinants (2)"/>
      <sheetName val="Blocking - detail"/>
    </sheetNames>
    <sheetDataSet>
      <sheetData sheetId="0"/>
      <sheetData sheetId="1"/>
      <sheetData sheetId="2"/>
      <sheetData sheetId="3">
        <row r="16">
          <cell r="D16">
            <v>8263144.9399999967</v>
          </cell>
        </row>
        <row r="17">
          <cell r="D17">
            <v>1073317.9799999956</v>
          </cell>
        </row>
        <row r="18">
          <cell r="D18">
            <v>202838.07999999973</v>
          </cell>
        </row>
        <row r="19">
          <cell r="D19">
            <v>609393.61999999813</v>
          </cell>
        </row>
        <row r="20">
          <cell r="D20">
            <v>44129.380000000063</v>
          </cell>
        </row>
      </sheetData>
      <sheetData sheetId="4"/>
      <sheetData sheetId="5"/>
      <sheetData sheetId="6"/>
      <sheetData sheetId="7">
        <row r="9">
          <cell r="E9">
            <v>1694391</v>
          </cell>
        </row>
        <row r="10">
          <cell r="E10">
            <v>579420</v>
          </cell>
        </row>
        <row r="11">
          <cell r="E11">
            <v>241237</v>
          </cell>
        </row>
      </sheetData>
      <sheetData sheetId="8"/>
      <sheetData sheetId="9"/>
      <sheetData sheetId="10"/>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Lead Sheet"/>
      <sheetName val="Production Factor Adj"/>
      <sheetName val="9.1.4"/>
      <sheetName val="3.1.2_Table 1 - kWh"/>
      <sheetName val="WA Retail Sales (Mwh)"/>
    </sheetNames>
    <sheetDataSet>
      <sheetData sheetId="0">
        <row r="15">
          <cell r="I15">
            <v>-11114449.246748975</v>
          </cell>
        </row>
        <row r="21">
          <cell r="I21">
            <v>3603236.6969485842</v>
          </cell>
        </row>
        <row r="27">
          <cell r="I27">
            <v>-299560.07775915402</v>
          </cell>
        </row>
        <row r="58">
          <cell r="I58">
            <v>-1031128.6904527023</v>
          </cell>
        </row>
        <row r="59">
          <cell r="I59">
            <v>-6730.423763757688</v>
          </cell>
        </row>
        <row r="60">
          <cell r="I60">
            <v>468313.82178159058</v>
          </cell>
        </row>
        <row r="64">
          <cell r="I64">
            <v>15951.581451000529</v>
          </cell>
        </row>
        <row r="65">
          <cell r="I65">
            <v>56207.192047362681</v>
          </cell>
        </row>
        <row r="73">
          <cell r="I73">
            <v>100275.5365617651</v>
          </cell>
        </row>
      </sheetData>
      <sheetData sheetId="1"/>
      <sheetData sheetId="2"/>
      <sheetData sheetId="3"/>
      <sheetData sheetId="4"/>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Lead Sheet "/>
      <sheetName val="7.4.1"/>
    </sheetNames>
    <sheetDataSet>
      <sheetData sheetId="0">
        <row r="9">
          <cell r="I9">
            <v>1741720.3599999994</v>
          </cell>
        </row>
      </sheetData>
      <sheetData sheetId="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Lead Sheet 2010"/>
      <sheetName val="Back-Up Sheet"/>
      <sheetName val="7.2.2"/>
    </sheetNames>
    <sheetDataSet>
      <sheetData sheetId="0">
        <row r="9">
          <cell r="I9">
            <v>-5721475.3279080801</v>
          </cell>
        </row>
        <row r="13">
          <cell r="I13">
            <v>4515546.171357003</v>
          </cell>
        </row>
        <row r="15">
          <cell r="I15">
            <v>413473.86348748562</v>
          </cell>
        </row>
        <row r="16">
          <cell r="I16">
            <v>5688.8949257590884</v>
          </cell>
        </row>
      </sheetData>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Lead Sheet WCA"/>
      <sheetName val="Summary WCA"/>
      <sheetName val="3.6.3"/>
    </sheetNames>
    <sheetDataSet>
      <sheetData sheetId="0"/>
      <sheetData sheetId="1">
        <row r="74">
          <cell r="T74">
            <v>-67812114.889999986</v>
          </cell>
        </row>
        <row r="108">
          <cell r="H108">
            <v>0</v>
          </cell>
          <cell r="T108">
            <v>-200609.00000000006</v>
          </cell>
        </row>
        <row r="110">
          <cell r="H110">
            <v>-2090000</v>
          </cell>
          <cell r="T110">
            <v>-1612533.84</v>
          </cell>
        </row>
      </sheetData>
      <sheetData sheetId="2">
        <row r="41">
          <cell r="B41">
            <v>800274.82000000007</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Lead Sheet"/>
      <sheetName val="3.7.1"/>
    </sheetNames>
    <sheetDataSet>
      <sheetData sheetId="0"/>
      <sheetData sheetId="1">
        <row r="9">
          <cell r="G9">
            <v>4483245</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NFIDENTIAL"/>
      <sheetName val="Lead Sheet"/>
      <sheetName val="4.1.1"/>
    </sheetNames>
    <sheetDataSet>
      <sheetData sheetId="0"/>
      <sheetData sheetId="1"/>
      <sheetData sheetId="2">
        <row r="8">
          <cell r="F8">
            <v>3260.470113130862</v>
          </cell>
        </row>
        <row r="9">
          <cell r="F9">
            <v>991.05465747438905</v>
          </cell>
        </row>
        <row r="10">
          <cell r="F10">
            <v>184.55348837209286</v>
          </cell>
        </row>
        <row r="11">
          <cell r="F11">
            <v>726.28661960132865</v>
          </cell>
        </row>
        <row r="15">
          <cell r="F15">
            <v>13261.959999999994</v>
          </cell>
        </row>
        <row r="18">
          <cell r="F18">
            <v>-19909.289999999986</v>
          </cell>
        </row>
        <row r="19">
          <cell r="F19">
            <v>-3571.01</v>
          </cell>
        </row>
        <row r="20">
          <cell r="F20">
            <v>84092.83</v>
          </cell>
        </row>
        <row r="21">
          <cell r="F21">
            <v>2974.75</v>
          </cell>
        </row>
        <row r="22">
          <cell r="F22">
            <v>1207.17</v>
          </cell>
        </row>
        <row r="33">
          <cell r="F33">
            <v>26840.690000000002</v>
          </cell>
        </row>
        <row r="37">
          <cell r="F37">
            <v>1360</v>
          </cell>
        </row>
        <row r="40">
          <cell r="F40">
            <v>12950</v>
          </cell>
        </row>
        <row r="41">
          <cell r="F41">
            <v>38850</v>
          </cell>
        </row>
        <row r="42">
          <cell r="F42">
            <v>84981.32</v>
          </cell>
        </row>
        <row r="43">
          <cell r="F43">
            <v>57072</v>
          </cell>
        </row>
        <row r="44">
          <cell r="F44">
            <v>6500</v>
          </cell>
        </row>
        <row r="45">
          <cell r="F45">
            <v>638.79999999999995</v>
          </cell>
        </row>
        <row r="48">
          <cell r="F48">
            <v>12212.070000000003</v>
          </cell>
        </row>
        <row r="49">
          <cell r="F49">
            <v>11443.249999999998</v>
          </cell>
        </row>
        <row r="50">
          <cell r="F50">
            <v>582.5</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4.2"/>
      <sheetName val="4.3"/>
      <sheetName val="Description"/>
      <sheetName val="Summary"/>
      <sheetName val="Escalation"/>
      <sheetName val="Labor Increases"/>
      <sheetName val="Payroll"/>
      <sheetName val="Adj. By Account (TC)"/>
      <sheetName val="Adj. By Account (WA)"/>
    </sheetNames>
    <sheetDataSet>
      <sheetData sheetId="0"/>
      <sheetData sheetId="1"/>
      <sheetData sheetId="2"/>
      <sheetData sheetId="3"/>
      <sheetData sheetId="4"/>
      <sheetData sheetId="5"/>
      <sheetData sheetId="6"/>
      <sheetData sheetId="7">
        <row r="8">
          <cell r="H8">
            <v>619307.06917103822</v>
          </cell>
        </row>
        <row r="9">
          <cell r="H9">
            <v>15.505817338103116</v>
          </cell>
        </row>
        <row r="10">
          <cell r="H10">
            <v>81096.214420494012</v>
          </cell>
        </row>
        <row r="11">
          <cell r="H11">
            <v>358.94330700297468</v>
          </cell>
        </row>
        <row r="12">
          <cell r="H12">
            <v>17277.931465552971</v>
          </cell>
        </row>
        <row r="13">
          <cell r="H13">
            <v>15314.60036078938</v>
          </cell>
        </row>
        <row r="14">
          <cell r="H14">
            <v>-15794.35708155513</v>
          </cell>
        </row>
        <row r="15">
          <cell r="H15">
            <v>-1158.7952293570213</v>
          </cell>
        </row>
        <row r="16">
          <cell r="H16">
            <v>298579.70014015422</v>
          </cell>
        </row>
        <row r="17">
          <cell r="H17">
            <v>-535.17002587517288</v>
          </cell>
        </row>
        <row r="18">
          <cell r="H18">
            <v>174044.20801441063</v>
          </cell>
        </row>
        <row r="19">
          <cell r="H19">
            <v>62635.450968931138</v>
          </cell>
        </row>
        <row r="20">
          <cell r="H20">
            <v>79511.589776528141</v>
          </cell>
        </row>
        <row r="21">
          <cell r="H21">
            <v>10635.623746818832</v>
          </cell>
        </row>
        <row r="22">
          <cell r="H22">
            <v>20851.183315552724</v>
          </cell>
        </row>
        <row r="23">
          <cell r="H23">
            <v>48065.625898629609</v>
          </cell>
        </row>
        <row r="24">
          <cell r="H24">
            <v>16254.421168096207</v>
          </cell>
        </row>
        <row r="25">
          <cell r="H25">
            <v>11735.757442395392</v>
          </cell>
        </row>
        <row r="26">
          <cell r="H26">
            <v>17923.530405825139</v>
          </cell>
        </row>
        <row r="27">
          <cell r="H27">
            <v>4770.2261143941496</v>
          </cell>
        </row>
        <row r="28">
          <cell r="H28">
            <v>82358.754962034101</v>
          </cell>
        </row>
        <row r="29">
          <cell r="H29">
            <v>1307.312779961358</v>
          </cell>
        </row>
        <row r="30">
          <cell r="H30">
            <v>17205.131152797705</v>
          </cell>
        </row>
        <row r="31">
          <cell r="H31">
            <v>212783.46682186262</v>
          </cell>
        </row>
        <row r="32">
          <cell r="H32">
            <v>22088.108336984045</v>
          </cell>
        </row>
        <row r="33">
          <cell r="H33">
            <v>7777.3008399582995</v>
          </cell>
        </row>
        <row r="34">
          <cell r="H34">
            <v>20.697319582847548</v>
          </cell>
        </row>
        <row r="35">
          <cell r="H35">
            <v>106401.53001081254</v>
          </cell>
        </row>
        <row r="36">
          <cell r="H36">
            <v>15804.186355026824</v>
          </cell>
        </row>
        <row r="37">
          <cell r="H37">
            <v>26216.762163627038</v>
          </cell>
        </row>
        <row r="38">
          <cell r="H38">
            <v>277.10011562049061</v>
          </cell>
        </row>
        <row r="39">
          <cell r="H39">
            <v>28374.385453632211</v>
          </cell>
        </row>
        <row r="40">
          <cell r="H40">
            <v>9985.2713274905273</v>
          </cell>
        </row>
        <row r="41">
          <cell r="H41">
            <v>7700.9559644158844</v>
          </cell>
        </row>
        <row r="42">
          <cell r="H42">
            <v>81181.413231381433</v>
          </cell>
        </row>
        <row r="43">
          <cell r="H43">
            <v>285909.0989880297</v>
          </cell>
        </row>
        <row r="44">
          <cell r="H44">
            <v>71805.034422243625</v>
          </cell>
        </row>
        <row r="45">
          <cell r="H45">
            <v>14304.774288342071</v>
          </cell>
        </row>
        <row r="46">
          <cell r="H46">
            <v>16667.810403926334</v>
          </cell>
        </row>
        <row r="47">
          <cell r="H47">
            <v>1331.8806738020596</v>
          </cell>
        </row>
        <row r="48">
          <cell r="H48">
            <v>42481.540445037441</v>
          </cell>
        </row>
        <row r="49">
          <cell r="H49">
            <v>33896.365460273882</v>
          </cell>
        </row>
        <row r="50">
          <cell r="H50">
            <v>147072.00964349532</v>
          </cell>
        </row>
        <row r="51">
          <cell r="H51">
            <v>75654.550039170979</v>
          </cell>
        </row>
        <row r="52">
          <cell r="H52">
            <v>192300.3265132856</v>
          </cell>
        </row>
        <row r="53">
          <cell r="H53">
            <v>20678.160290986434</v>
          </cell>
        </row>
        <row r="54">
          <cell r="H54">
            <v>36367.998396946641</v>
          </cell>
        </row>
        <row r="55">
          <cell r="H55">
            <v>6170.4254688938709</v>
          </cell>
        </row>
        <row r="56">
          <cell r="H56">
            <v>8693.7397964790252</v>
          </cell>
        </row>
        <row r="57">
          <cell r="H57">
            <v>346443.54084299726</v>
          </cell>
        </row>
        <row r="58">
          <cell r="H58">
            <v>15924.946752072821</v>
          </cell>
        </row>
        <row r="59">
          <cell r="H59">
            <v>90825.740076180417</v>
          </cell>
        </row>
        <row r="60">
          <cell r="H60">
            <v>61348.439246629474</v>
          </cell>
        </row>
        <row r="61">
          <cell r="H61">
            <v>22867.567781670055</v>
          </cell>
        </row>
        <row r="62">
          <cell r="H62">
            <v>15349.808020424223</v>
          </cell>
        </row>
        <row r="63">
          <cell r="H63">
            <v>2819.7086516063232</v>
          </cell>
        </row>
        <row r="64">
          <cell r="H64">
            <v>12.131634484480676</v>
          </cell>
        </row>
        <row r="65">
          <cell r="H65">
            <v>30974.136744184922</v>
          </cell>
        </row>
        <row r="66">
          <cell r="H66">
            <v>4143.076624227152</v>
          </cell>
        </row>
        <row r="67">
          <cell r="H67">
            <v>11492.069240495815</v>
          </cell>
        </row>
        <row r="68">
          <cell r="H68">
            <v>361.12251042755503</v>
          </cell>
        </row>
        <row r="69">
          <cell r="H69">
            <v>20174.904309046153</v>
          </cell>
        </row>
        <row r="70">
          <cell r="H70">
            <v>8104.7466513340905</v>
          </cell>
        </row>
        <row r="71">
          <cell r="H71">
            <v>1954.254543827386</v>
          </cell>
        </row>
        <row r="72">
          <cell r="H72">
            <v>5787.1574766856957</v>
          </cell>
        </row>
        <row r="73">
          <cell r="H73">
            <v>4221.864894713588</v>
          </cell>
        </row>
        <row r="74">
          <cell r="H74">
            <v>1015618.4724090905</v>
          </cell>
        </row>
        <row r="75">
          <cell r="H75">
            <v>6383.3520201075053</v>
          </cell>
        </row>
        <row r="76">
          <cell r="H76">
            <v>3985.3126178836637</v>
          </cell>
        </row>
        <row r="77">
          <cell r="H77">
            <v>4889.1148052585286</v>
          </cell>
        </row>
        <row r="78">
          <cell r="H78">
            <v>165.72945009054183</v>
          </cell>
        </row>
        <row r="79">
          <cell r="H79">
            <v>23612.580215549933</v>
          </cell>
        </row>
        <row r="80">
          <cell r="H80">
            <v>20.389762771456404</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O147"/>
  <sheetViews>
    <sheetView tabSelected="1" workbookViewId="0"/>
  </sheetViews>
  <sheetFormatPr defaultRowHeight="12.75"/>
  <cols>
    <col min="1" max="1" width="31.140625" style="25" customWidth="1"/>
    <col min="2" max="2" width="13.7109375" style="25" customWidth="1"/>
    <col min="3" max="3" width="0.7109375" style="25" customWidth="1"/>
    <col min="4" max="4" width="13.7109375" style="25" customWidth="1"/>
    <col min="5" max="5" width="0.7109375" style="25" customWidth="1"/>
    <col min="6" max="6" width="15.7109375" style="25" customWidth="1"/>
    <col min="7" max="7" width="0.7109375" style="25" customWidth="1"/>
    <col min="8" max="8" width="14.5703125" style="25" customWidth="1"/>
    <col min="9" max="9" width="0.7109375" style="25" customWidth="1"/>
    <col min="10" max="10" width="14.7109375" style="25" customWidth="1"/>
    <col min="11" max="11" width="0.7109375" style="25" customWidth="1"/>
    <col min="12" max="12" width="13.5703125" style="25" customWidth="1"/>
    <col min="13" max="13" width="0.7109375" style="25" customWidth="1"/>
    <col min="14" max="14" width="15.85546875" style="25" customWidth="1"/>
  </cols>
  <sheetData>
    <row r="1" spans="1:15">
      <c r="A1" s="317" t="s">
        <v>52</v>
      </c>
      <c r="B1" s="318"/>
      <c r="C1" s="318"/>
      <c r="D1" s="318"/>
      <c r="E1" s="318"/>
      <c r="F1" s="318"/>
      <c r="G1" s="318"/>
      <c r="H1" s="318"/>
      <c r="I1" s="318"/>
      <c r="J1" s="318"/>
      <c r="K1" s="318"/>
      <c r="L1" s="318"/>
      <c r="M1" s="318"/>
      <c r="N1" s="318"/>
    </row>
    <row r="2" spans="1:15">
      <c r="A2" s="317" t="s">
        <v>225</v>
      </c>
      <c r="B2" s="318"/>
      <c r="C2" s="318"/>
      <c r="D2" s="318"/>
      <c r="E2" s="318"/>
      <c r="F2" s="318"/>
      <c r="G2" s="318"/>
      <c r="H2" s="318"/>
      <c r="I2" s="318"/>
      <c r="J2" s="318"/>
      <c r="K2" s="318"/>
      <c r="L2" s="318"/>
      <c r="M2" s="318"/>
      <c r="N2" s="318"/>
    </row>
    <row r="3" spans="1:15">
      <c r="A3" s="317" t="s">
        <v>345</v>
      </c>
      <c r="B3" s="318"/>
      <c r="C3" s="318"/>
      <c r="D3" s="318"/>
      <c r="E3" s="318"/>
      <c r="F3" s="318"/>
      <c r="G3" s="318"/>
      <c r="H3" s="318"/>
      <c r="I3" s="318"/>
      <c r="J3" s="318"/>
      <c r="K3" s="318"/>
      <c r="L3" s="318"/>
      <c r="M3" s="318"/>
      <c r="N3" s="318"/>
    </row>
    <row r="4" spans="1:15">
      <c r="A4" s="1"/>
    </row>
    <row r="5" spans="1:15">
      <c r="A5" s="1"/>
      <c r="B5" s="56" t="s">
        <v>145</v>
      </c>
      <c r="C5" s="57"/>
      <c r="D5" s="56" t="s">
        <v>146</v>
      </c>
      <c r="E5" s="57"/>
      <c r="F5" s="56" t="s">
        <v>147</v>
      </c>
      <c r="G5" s="58"/>
      <c r="H5" s="56" t="s">
        <v>148</v>
      </c>
      <c r="I5" s="58"/>
      <c r="J5" s="56" t="s">
        <v>149</v>
      </c>
      <c r="K5" s="58"/>
      <c r="L5" s="56" t="s">
        <v>150</v>
      </c>
      <c r="M5" s="58"/>
      <c r="N5" s="56" t="s">
        <v>171</v>
      </c>
    </row>
    <row r="6" spans="1:15">
      <c r="A6" s="1"/>
      <c r="B6" s="67" t="s">
        <v>154</v>
      </c>
      <c r="C6" s="68"/>
      <c r="D6" s="68"/>
      <c r="F6" s="68" t="s">
        <v>152</v>
      </c>
      <c r="H6" s="68"/>
      <c r="J6" s="69" t="s">
        <v>153</v>
      </c>
      <c r="L6" s="69"/>
      <c r="N6" s="69" t="s">
        <v>183</v>
      </c>
    </row>
    <row r="7" spans="1:15" ht="38.25">
      <c r="A7" s="26"/>
      <c r="B7" s="55" t="s">
        <v>151</v>
      </c>
      <c r="C7" s="55"/>
      <c r="D7" s="55" t="s">
        <v>141</v>
      </c>
      <c r="E7" s="55"/>
      <c r="F7" s="55" t="s">
        <v>142</v>
      </c>
      <c r="G7" s="55"/>
      <c r="H7" s="55" t="s">
        <v>143</v>
      </c>
      <c r="I7" s="55"/>
      <c r="J7" s="55" t="s">
        <v>144</v>
      </c>
      <c r="K7" s="55"/>
      <c r="L7" s="55" t="s">
        <v>169</v>
      </c>
      <c r="M7" s="55"/>
      <c r="N7" s="55" t="s">
        <v>170</v>
      </c>
    </row>
    <row r="8" spans="1:15">
      <c r="A8" s="15" t="s">
        <v>56</v>
      </c>
      <c r="B8" s="13"/>
      <c r="C8" s="13"/>
      <c r="D8" s="13"/>
      <c r="F8" s="13"/>
      <c r="H8" s="13"/>
      <c r="J8" s="13"/>
      <c r="L8" s="13"/>
      <c r="N8" s="13"/>
    </row>
    <row r="9" spans="1:15">
      <c r="A9" s="15" t="s">
        <v>57</v>
      </c>
      <c r="B9" s="13">
        <f>[2]Results!C11</f>
        <v>256639553.00999802</v>
      </c>
      <c r="C9" s="13"/>
      <c r="D9" s="13">
        <f>'Restating Adj'!B12</f>
        <v>16233190.429999992</v>
      </c>
      <c r="F9" s="13">
        <f>B9+D9</f>
        <v>272872743.43999803</v>
      </c>
      <c r="H9" s="13">
        <f>'Pro Forma Adj'!B12</f>
        <v>33183479.159999996</v>
      </c>
      <c r="J9" s="13">
        <f>F9+H9</f>
        <v>306056222.599998</v>
      </c>
      <c r="L9" s="13">
        <f>-(J37-(J64*Overall_ROR))/gross_up_factor</f>
        <v>-807723.59571619297</v>
      </c>
      <c r="N9" s="13">
        <f>J9+L9</f>
        <v>305248499.00428182</v>
      </c>
      <c r="O9" s="324">
        <f>L9/J9</f>
        <v>-2.6391346951042133E-3</v>
      </c>
    </row>
    <row r="10" spans="1:15">
      <c r="A10" s="15" t="s">
        <v>58</v>
      </c>
      <c r="B10" s="13">
        <f>[2]Results!C12</f>
        <v>0</v>
      </c>
      <c r="C10" s="13"/>
      <c r="D10" s="13">
        <f>'Restating Adj'!B13</f>
        <v>0</v>
      </c>
      <c r="F10" s="13">
        <f t="shared" ref="F10:F12" si="0">B10+D10</f>
        <v>0</v>
      </c>
      <c r="H10" s="13">
        <f>'Pro Forma Adj'!B13</f>
        <v>0</v>
      </c>
      <c r="J10" s="13">
        <f t="shared" ref="J10:J12" si="1">F10+H10</f>
        <v>0</v>
      </c>
      <c r="L10" s="13"/>
      <c r="N10" s="13">
        <f t="shared" ref="N10:N12" si="2">J10+L10</f>
        <v>0</v>
      </c>
    </row>
    <row r="11" spans="1:15">
      <c r="A11" s="15" t="s">
        <v>59</v>
      </c>
      <c r="B11" s="13">
        <f>[2]Results!C13</f>
        <v>74513001.340099305</v>
      </c>
      <c r="C11" s="13"/>
      <c r="D11" s="13">
        <f>'Restating Adj'!B14</f>
        <v>941247.8810121459</v>
      </c>
      <c r="F11" s="13">
        <f t="shared" si="0"/>
        <v>75454249.221111447</v>
      </c>
      <c r="H11" s="13">
        <f>'Pro Forma Adj'!B14</f>
        <v>-33733520.419695824</v>
      </c>
      <c r="J11" s="13">
        <f t="shared" si="1"/>
        <v>41720728.801415622</v>
      </c>
      <c r="L11" s="13"/>
      <c r="N11" s="13">
        <f t="shared" si="2"/>
        <v>41720728.801415622</v>
      </c>
    </row>
    <row r="12" spans="1:15">
      <c r="A12" s="15" t="s">
        <v>60</v>
      </c>
      <c r="B12" s="13">
        <f>[2]Results!C14</f>
        <v>25032633.964374781</v>
      </c>
      <c r="C12" s="13"/>
      <c r="D12" s="13">
        <f>'Restating Adj'!B15</f>
        <v>-9224242.3703400642</v>
      </c>
      <c r="F12" s="13">
        <f t="shared" si="0"/>
        <v>15808391.594034716</v>
      </c>
      <c r="H12" s="13">
        <f>'Pro Forma Adj'!B15</f>
        <v>-7914206.1998940334</v>
      </c>
      <c r="J12" s="13">
        <f t="shared" si="1"/>
        <v>7894185.3941406831</v>
      </c>
      <c r="L12" s="13"/>
      <c r="N12" s="13">
        <f t="shared" si="2"/>
        <v>7894185.3941406831</v>
      </c>
    </row>
    <row r="13" spans="1:15" ht="13.5" thickBot="1">
      <c r="A13" s="15" t="s">
        <v>61</v>
      </c>
      <c r="B13" s="14">
        <f>SUM(B9:B12)</f>
        <v>356185188.31447208</v>
      </c>
      <c r="C13" s="13"/>
      <c r="D13" s="14">
        <f>SUM(D9:D12)</f>
        <v>7950195.9406720735</v>
      </c>
      <c r="F13" s="14">
        <f>SUM(F9:F12)</f>
        <v>364135384.25514418</v>
      </c>
      <c r="H13" s="14">
        <f>SUM(H9:H12)</f>
        <v>-8464247.4595898613</v>
      </c>
      <c r="J13" s="14">
        <f>SUM(J9:J12)</f>
        <v>355671136.79555428</v>
      </c>
      <c r="L13" s="14">
        <f>SUM(L9:L12)</f>
        <v>-807723.59571619297</v>
      </c>
      <c r="N13" s="14">
        <f>SUM(N9:N12)</f>
        <v>354863413.1998381</v>
      </c>
    </row>
    <row r="14" spans="1:15" ht="13.5" thickTop="1">
      <c r="A14" s="15"/>
      <c r="B14" s="13"/>
      <c r="C14" s="13"/>
      <c r="D14" s="13"/>
      <c r="F14" s="13"/>
      <c r="H14" s="13"/>
      <c r="J14" s="13"/>
      <c r="L14" s="13"/>
      <c r="N14" s="13"/>
    </row>
    <row r="15" spans="1:15">
      <c r="A15" s="15" t="s">
        <v>62</v>
      </c>
      <c r="B15" s="13"/>
      <c r="C15" s="13"/>
      <c r="D15" s="13"/>
      <c r="F15" s="13"/>
      <c r="H15" s="13"/>
      <c r="J15" s="13"/>
      <c r="L15" s="13">
        <f>L13-[3]Summary!$L$13</f>
        <v>-13754933.466714868</v>
      </c>
      <c r="N15" s="13"/>
    </row>
    <row r="16" spans="1:15">
      <c r="A16" s="15" t="s">
        <v>63</v>
      </c>
      <c r="B16" s="13">
        <f>[2]Results!C18</f>
        <v>54286269.73826427</v>
      </c>
      <c r="C16" s="13"/>
      <c r="D16" s="13">
        <f>'Restating Adj'!B19</f>
        <v>-1565216.2053174789</v>
      </c>
      <c r="F16" s="13">
        <f t="shared" ref="F16:F25" si="3">B16+D16</f>
        <v>52721053.532946788</v>
      </c>
      <c r="H16" s="13">
        <f>'Pro Forma Adj'!B19</f>
        <v>1407801.9860914284</v>
      </c>
      <c r="J16" s="13">
        <f t="shared" ref="J16:J25" si="4">F16+H16</f>
        <v>54128855.519038215</v>
      </c>
      <c r="L16" s="13"/>
      <c r="N16" s="13">
        <f t="shared" ref="N16:N25" si="5">J16+L16</f>
        <v>54128855.519038215</v>
      </c>
    </row>
    <row r="17" spans="1:14">
      <c r="A17" s="15" t="s">
        <v>64</v>
      </c>
      <c r="B17" s="13">
        <f>[2]Results!C19</f>
        <v>0</v>
      </c>
      <c r="C17" s="13"/>
      <c r="D17" s="13">
        <f>'Restating Adj'!B20</f>
        <v>0</v>
      </c>
      <c r="F17" s="13">
        <f t="shared" si="3"/>
        <v>0</v>
      </c>
      <c r="H17" s="13">
        <f>'Pro Forma Adj'!B20</f>
        <v>0</v>
      </c>
      <c r="J17" s="13">
        <f t="shared" si="4"/>
        <v>0</v>
      </c>
      <c r="L17" s="13"/>
      <c r="N17" s="13">
        <f t="shared" si="5"/>
        <v>0</v>
      </c>
    </row>
    <row r="18" spans="1:14">
      <c r="A18" s="15" t="s">
        <v>65</v>
      </c>
      <c r="B18" s="13">
        <f>[2]Results!C20</f>
        <v>7051085.3167272415</v>
      </c>
      <c r="C18" s="13"/>
      <c r="D18" s="13">
        <f>'Restating Adj'!B21</f>
        <v>7511.6307386317376</v>
      </c>
      <c r="F18" s="13">
        <f t="shared" si="3"/>
        <v>7058596.9474658733</v>
      </c>
      <c r="H18" s="13">
        <f>'Pro Forma Adj'!B21</f>
        <v>-229179.88482946434</v>
      </c>
      <c r="J18" s="13">
        <f t="shared" si="4"/>
        <v>6829417.062636409</v>
      </c>
      <c r="L18" s="13"/>
      <c r="N18" s="13">
        <f t="shared" si="5"/>
        <v>6829417.062636409</v>
      </c>
    </row>
    <row r="19" spans="1:14">
      <c r="A19" s="15" t="s">
        <v>66</v>
      </c>
      <c r="B19" s="13">
        <f>[2]Results!C21</f>
        <v>118807031.55930433</v>
      </c>
      <c r="C19" s="13"/>
      <c r="D19" s="13">
        <f>'Restating Adj'!B22</f>
        <v>9517861.9663389288</v>
      </c>
      <c r="F19" s="13">
        <f t="shared" si="3"/>
        <v>128324893.52564326</v>
      </c>
      <c r="H19" s="13">
        <f>'Pro Forma Adj'!B22</f>
        <v>-19995413.363707144</v>
      </c>
      <c r="J19" s="13">
        <f t="shared" si="4"/>
        <v>108329480.16193612</v>
      </c>
      <c r="L19" s="13"/>
      <c r="N19" s="13">
        <f t="shared" si="5"/>
        <v>108329480.16193612</v>
      </c>
    </row>
    <row r="20" spans="1:14">
      <c r="A20" s="15" t="s">
        <v>67</v>
      </c>
      <c r="B20" s="13">
        <f>[2]Results!C22</f>
        <v>29119799.086048592</v>
      </c>
      <c r="C20" s="13"/>
      <c r="D20" s="13">
        <f>'Restating Adj'!B23</f>
        <v>-71947.033751535782</v>
      </c>
      <c r="F20" s="13">
        <f t="shared" si="3"/>
        <v>29047852.052297056</v>
      </c>
      <c r="H20" s="13">
        <f>'Pro Forma Adj'!B23</f>
        <v>-3764609.2675194046</v>
      </c>
      <c r="J20" s="13">
        <f t="shared" si="4"/>
        <v>25283242.784777652</v>
      </c>
      <c r="L20" s="13"/>
      <c r="N20" s="13">
        <f t="shared" si="5"/>
        <v>25283242.784777652</v>
      </c>
    </row>
    <row r="21" spans="1:14">
      <c r="A21" s="15" t="s">
        <v>68</v>
      </c>
      <c r="B21" s="13">
        <f>[2]Results!C23</f>
        <v>11983586.234546719</v>
      </c>
      <c r="C21" s="13"/>
      <c r="D21" s="13">
        <f>'Restating Adj'!B24</f>
        <v>-21040.271414005907</v>
      </c>
      <c r="F21" s="13">
        <f t="shared" si="3"/>
        <v>11962545.963132713</v>
      </c>
      <c r="H21" s="13">
        <f>'Pro Forma Adj'!B24</f>
        <v>365620.68538776349</v>
      </c>
      <c r="J21" s="13">
        <f t="shared" si="4"/>
        <v>12328166.648520477</v>
      </c>
      <c r="L21" s="13"/>
      <c r="N21" s="13">
        <f t="shared" si="5"/>
        <v>12328166.648520477</v>
      </c>
    </row>
    <row r="22" spans="1:14">
      <c r="A22" s="15" t="s">
        <v>69</v>
      </c>
      <c r="B22" s="13">
        <f>[2]Results!C24</f>
        <v>8088803.4130521202</v>
      </c>
      <c r="C22" s="13"/>
      <c r="D22" s="13">
        <f>'Restating Adj'!B25</f>
        <v>-17798.775906085644</v>
      </c>
      <c r="F22" s="13">
        <f t="shared" si="3"/>
        <v>8071004.6371460343</v>
      </c>
      <c r="H22" s="13">
        <f>'Pro Forma Adj'!B25</f>
        <v>-1107198.5813119351</v>
      </c>
      <c r="J22" s="13">
        <f t="shared" si="4"/>
        <v>6963806.0558340997</v>
      </c>
      <c r="L22" s="13">
        <f>L9*uncollectible_perc</f>
        <v>-4095.1586302810983</v>
      </c>
      <c r="N22" s="13">
        <f t="shared" si="5"/>
        <v>6959710.8972038189</v>
      </c>
    </row>
    <row r="23" spans="1:14">
      <c r="A23" s="15" t="s">
        <v>70</v>
      </c>
      <c r="B23" s="13">
        <f>[2]Results!C25</f>
        <v>9439582.4307300914</v>
      </c>
      <c r="C23" s="13"/>
      <c r="D23" s="13">
        <f>'Restating Adj'!B26</f>
        <v>-8808315.0298450738</v>
      </c>
      <c r="F23" s="13">
        <f t="shared" si="3"/>
        <v>631267.40088501759</v>
      </c>
      <c r="H23" s="13">
        <f>'Pro Forma Adj'!B26</f>
        <v>0</v>
      </c>
      <c r="J23" s="13">
        <f t="shared" si="4"/>
        <v>631267.40088501759</v>
      </c>
      <c r="L23" s="13"/>
      <c r="N23" s="13">
        <f t="shared" si="5"/>
        <v>631267.40088501759</v>
      </c>
    </row>
    <row r="24" spans="1:14">
      <c r="A24" s="15" t="s">
        <v>71</v>
      </c>
      <c r="B24" s="13">
        <f>[2]Results!C26</f>
        <v>0</v>
      </c>
      <c r="C24" s="13"/>
      <c r="D24" s="13">
        <f>'Restating Adj'!B27</f>
        <v>0</v>
      </c>
      <c r="F24" s="13">
        <f t="shared" si="3"/>
        <v>0</v>
      </c>
      <c r="H24" s="13">
        <f>'Pro Forma Adj'!B27</f>
        <v>0</v>
      </c>
      <c r="J24" s="13">
        <f t="shared" si="4"/>
        <v>0</v>
      </c>
      <c r="L24" s="13"/>
      <c r="N24" s="13">
        <f t="shared" si="5"/>
        <v>0</v>
      </c>
    </row>
    <row r="25" spans="1:14">
      <c r="A25" s="15" t="s">
        <v>72</v>
      </c>
      <c r="B25" s="13">
        <f>[2]Results!C27</f>
        <v>10269546.584633965</v>
      </c>
      <c r="C25" s="13"/>
      <c r="D25" s="13">
        <f>'Restating Adj'!B28</f>
        <v>117450.56973614397</v>
      </c>
      <c r="F25" s="13">
        <f t="shared" si="3"/>
        <v>10386997.154370109</v>
      </c>
      <c r="H25" s="13">
        <f>'Pro Forma Adj'!B28</f>
        <v>-771362.78533639375</v>
      </c>
      <c r="J25" s="13">
        <f t="shared" si="4"/>
        <v>9615634.3690337148</v>
      </c>
      <c r="L25" s="13"/>
      <c r="N25" s="13">
        <f t="shared" si="5"/>
        <v>9615634.3690337148</v>
      </c>
    </row>
    <row r="26" spans="1:14">
      <c r="A26" s="15" t="s">
        <v>73</v>
      </c>
      <c r="B26" s="11">
        <f>SUM(B16:B25)</f>
        <v>249045704.36330736</v>
      </c>
      <c r="C26" s="13"/>
      <c r="D26" s="11">
        <f>SUM(D16:D25)</f>
        <v>-841493.14942047617</v>
      </c>
      <c r="F26" s="11">
        <f>SUM(F16:F25)</f>
        <v>248204211.21388683</v>
      </c>
      <c r="H26" s="11">
        <f>SUM(H16:H25)</f>
        <v>-24094341.211225148</v>
      </c>
      <c r="J26" s="11">
        <f>SUM(J16:J25)</f>
        <v>224109870.00266171</v>
      </c>
      <c r="L26" s="11">
        <f>SUM(L16:L25)</f>
        <v>-4095.1586302810983</v>
      </c>
      <c r="N26" s="11">
        <f>SUM(N16:N25)</f>
        <v>224105774.84403142</v>
      </c>
    </row>
    <row r="27" spans="1:14">
      <c r="A27" s="15" t="s">
        <v>74</v>
      </c>
      <c r="B27" s="13">
        <f>[2]Results!C29</f>
        <v>37836762.427732483</v>
      </c>
      <c r="C27" s="13"/>
      <c r="D27" s="13">
        <f>'Restating Adj'!B30</f>
        <v>-426874.27289466589</v>
      </c>
      <c r="F27" s="13">
        <f t="shared" ref="F27:F29" si="6">B27+D27</f>
        <v>37409888.154837817</v>
      </c>
      <c r="H27" s="13">
        <f>'Pro Forma Adj'!B30</f>
        <v>-361953.08500578615</v>
      </c>
      <c r="J27" s="13">
        <f t="shared" ref="J27:J29" si="7">F27+H27</f>
        <v>37047935.069832034</v>
      </c>
      <c r="L27" s="13"/>
      <c r="N27" s="13">
        <f t="shared" ref="N27:N34" si="8">J27+L27</f>
        <v>37047935.069832034</v>
      </c>
    </row>
    <row r="28" spans="1:14">
      <c r="A28" s="15" t="s">
        <v>75</v>
      </c>
      <c r="B28" s="13">
        <f>[2]Results!C30</f>
        <v>4000829.4733088263</v>
      </c>
      <c r="C28" s="13"/>
      <c r="D28" s="13">
        <f>'Restating Adj'!B31</f>
        <v>-174728.87755490927</v>
      </c>
      <c r="F28" s="13">
        <f t="shared" si="6"/>
        <v>3826100.595753917</v>
      </c>
      <c r="H28" s="13">
        <f>'Pro Forma Adj'!B31</f>
        <v>-402431.60954907537</v>
      </c>
      <c r="J28" s="13">
        <f t="shared" si="7"/>
        <v>3423668.9862048416</v>
      </c>
      <c r="L28" s="13"/>
      <c r="N28" s="13">
        <f t="shared" si="8"/>
        <v>3423668.9862048416</v>
      </c>
    </row>
    <row r="29" spans="1:14">
      <c r="A29" s="15" t="s">
        <v>76</v>
      </c>
      <c r="B29" s="13">
        <f>[2]Results!C31</f>
        <v>17194582.105629764</v>
      </c>
      <c r="C29" s="13"/>
      <c r="D29" s="13">
        <f>'Restating Adj'!B32</f>
        <v>-46288.058459085209</v>
      </c>
      <c r="F29" s="13">
        <f t="shared" si="6"/>
        <v>17148294.04717068</v>
      </c>
      <c r="H29" s="13">
        <f>'Pro Forma Adj'!B32</f>
        <v>1741720.3599999994</v>
      </c>
      <c r="J29" s="13">
        <f t="shared" si="7"/>
        <v>18890014.407170679</v>
      </c>
      <c r="L29" s="13">
        <f>L9*(WUTC_reg_fee_perc+WA_rev_tax_perc)</f>
        <v>-32898.582053520542</v>
      </c>
      <c r="N29" s="13">
        <f t="shared" si="8"/>
        <v>18857115.82511716</v>
      </c>
    </row>
    <row r="30" spans="1:14">
      <c r="A30" s="15" t="s">
        <v>77</v>
      </c>
      <c r="B30" s="13">
        <f>B84</f>
        <v>-13444798.478551678</v>
      </c>
      <c r="C30" s="13"/>
      <c r="D30" s="13">
        <f>D84</f>
        <v>2035642.0002939156</v>
      </c>
      <c r="F30" s="13">
        <f>F84</f>
        <v>-11409156.478257738</v>
      </c>
      <c r="H30" s="13">
        <f>H84</f>
        <v>3807757.4270533863</v>
      </c>
      <c r="J30" s="13">
        <f>J84</f>
        <v>-7601399.0512043759</v>
      </c>
      <c r="L30" s="13">
        <f>L84</f>
        <v>-269755.44926133699</v>
      </c>
      <c r="N30" s="13">
        <f>N84</f>
        <v>-7871154.5004656995</v>
      </c>
    </row>
    <row r="31" spans="1:14">
      <c r="A31" s="15" t="s">
        <v>78</v>
      </c>
      <c r="B31" s="13">
        <f>B79</f>
        <v>0</v>
      </c>
      <c r="C31" s="13"/>
      <c r="D31" s="13">
        <f>D79</f>
        <v>0</v>
      </c>
      <c r="F31" s="13">
        <f>F79</f>
        <v>0</v>
      </c>
      <c r="H31" s="13">
        <f>H79</f>
        <v>0</v>
      </c>
      <c r="J31" s="13">
        <f>J79</f>
        <v>0</v>
      </c>
      <c r="L31" s="13">
        <f>L79</f>
        <v>0</v>
      </c>
      <c r="N31" s="13">
        <f>N79</f>
        <v>0</v>
      </c>
    </row>
    <row r="32" spans="1:14">
      <c r="A32" s="15" t="s">
        <v>79</v>
      </c>
      <c r="B32" s="13">
        <f>[2]Results!C34</f>
        <v>22579758.194182646</v>
      </c>
      <c r="C32" s="13"/>
      <c r="D32" s="13">
        <f>'Restating Adj'!B35</f>
        <v>-1287871.7903143498</v>
      </c>
      <c r="F32" s="13">
        <f t="shared" ref="F32:F34" si="9">B32+D32</f>
        <v>21291886.403868295</v>
      </c>
      <c r="H32" s="13">
        <f>'Pro Forma Adj'!B35</f>
        <v>974090.70055956382</v>
      </c>
      <c r="J32" s="13">
        <f t="shared" ref="J32:J34" si="10">F32+H32</f>
        <v>22265977.104427859</v>
      </c>
      <c r="L32" s="13"/>
      <c r="N32" s="13">
        <f t="shared" si="8"/>
        <v>22265977.104427859</v>
      </c>
    </row>
    <row r="33" spans="1:14">
      <c r="A33" s="15" t="s">
        <v>80</v>
      </c>
      <c r="B33" s="13">
        <f>[2]Results!C35</f>
        <v>0</v>
      </c>
      <c r="C33" s="13"/>
      <c r="D33" s="13">
        <f>'Restating Adj'!B36</f>
        <v>0</v>
      </c>
      <c r="F33" s="13">
        <f t="shared" si="9"/>
        <v>0</v>
      </c>
      <c r="H33" s="13">
        <f>'Pro Forma Adj'!B36</f>
        <v>0</v>
      </c>
      <c r="J33" s="13">
        <f t="shared" si="10"/>
        <v>0</v>
      </c>
      <c r="L33" s="13"/>
      <c r="N33" s="13">
        <f t="shared" si="8"/>
        <v>0</v>
      </c>
    </row>
    <row r="34" spans="1:14">
      <c r="A34" s="15" t="s">
        <v>81</v>
      </c>
      <c r="B34" s="13">
        <f>[2]Results!C36</f>
        <v>-384317.73504529492</v>
      </c>
      <c r="C34" s="13"/>
      <c r="D34" s="13">
        <f>'Restating Adj'!B37</f>
        <v>-685916.03178462666</v>
      </c>
      <c r="F34" s="13">
        <f t="shared" si="9"/>
        <v>-1070233.7668299216</v>
      </c>
      <c r="H34" s="13">
        <f>'Pro Forma Adj'!B37</f>
        <v>15951.581451000529</v>
      </c>
      <c r="J34" s="13">
        <f t="shared" si="10"/>
        <v>-1054282.1853789212</v>
      </c>
      <c r="L34" s="13"/>
      <c r="N34" s="13">
        <f t="shared" si="8"/>
        <v>-1054282.1853789212</v>
      </c>
    </row>
    <row r="35" spans="1:14">
      <c r="A35" s="15" t="s">
        <v>82</v>
      </c>
      <c r="B35" s="11">
        <f>SUM(B26:B34)</f>
        <v>316828520.350564</v>
      </c>
      <c r="C35" s="13"/>
      <c r="D35" s="11">
        <f>SUM(D26:D34)</f>
        <v>-1427530.1801341975</v>
      </c>
      <c r="F35" s="11">
        <f>SUM(F26:F34)</f>
        <v>315400990.17042994</v>
      </c>
      <c r="H35" s="11">
        <f>SUM(H26:H34)</f>
        <v>-18319205.836716063</v>
      </c>
      <c r="J35" s="11">
        <f>SUM(J26:J34)</f>
        <v>297081784.33371383</v>
      </c>
      <c r="L35" s="11">
        <f>SUM(L26:L34)</f>
        <v>-306749.18994513864</v>
      </c>
      <c r="N35" s="11">
        <f>SUM(N26:N34)</f>
        <v>296775035.14376873</v>
      </c>
    </row>
    <row r="36" spans="1:14">
      <c r="A36" s="15"/>
      <c r="B36" s="13"/>
      <c r="C36" s="13"/>
      <c r="D36" s="13"/>
      <c r="F36" s="13"/>
      <c r="H36" s="13"/>
      <c r="J36" s="13"/>
      <c r="L36" s="13"/>
      <c r="N36" s="13"/>
    </row>
    <row r="37" spans="1:14" ht="13.5" thickBot="1">
      <c r="A37" s="15" t="s">
        <v>83</v>
      </c>
      <c r="B37" s="14">
        <f>B13-B35</f>
        <v>39356667.963908076</v>
      </c>
      <c r="C37" s="13"/>
      <c r="D37" s="14">
        <f>D13-D35</f>
        <v>9377726.1208062712</v>
      </c>
      <c r="F37" s="14">
        <f>F13-F35</f>
        <v>48734394.084714234</v>
      </c>
      <c r="H37" s="14">
        <f>H13-H35</f>
        <v>9854958.377126202</v>
      </c>
      <c r="J37" s="14">
        <f>J13-J35</f>
        <v>58589352.461840451</v>
      </c>
      <c r="L37" s="14">
        <f>L13-L35</f>
        <v>-500974.40577105433</v>
      </c>
      <c r="N37" s="14">
        <f>N13-N35</f>
        <v>58088378.056069374</v>
      </c>
    </row>
    <row r="38" spans="1:14" ht="13.5" thickTop="1">
      <c r="A38" s="15"/>
      <c r="B38" s="13"/>
      <c r="C38" s="13"/>
      <c r="D38" s="13"/>
      <c r="F38" s="13"/>
      <c r="H38" s="13"/>
      <c r="J38" s="13"/>
      <c r="L38" s="13"/>
      <c r="N38" s="13"/>
    </row>
    <row r="39" spans="1:14">
      <c r="A39" s="15" t="s">
        <v>84</v>
      </c>
      <c r="B39" s="13"/>
      <c r="C39" s="13"/>
      <c r="D39" s="13"/>
      <c r="F39" s="13"/>
      <c r="H39" s="13"/>
      <c r="J39" s="13"/>
      <c r="L39" s="13"/>
      <c r="N39" s="13"/>
    </row>
    <row r="40" spans="1:14">
      <c r="A40" s="15" t="s">
        <v>85</v>
      </c>
      <c r="B40" s="13">
        <f>[2]Results!C42</f>
        <v>1463726641.7773561</v>
      </c>
      <c r="C40" s="13"/>
      <c r="D40" s="13">
        <f>'Restating Adj'!B43</f>
        <v>31647606.57965333</v>
      </c>
      <c r="F40" s="13">
        <f t="shared" ref="F40:F50" si="11">B40+D40</f>
        <v>1495374248.3570094</v>
      </c>
      <c r="H40" s="13">
        <f>'Pro Forma Adj'!B43</f>
        <v>-15715508.538425047</v>
      </c>
      <c r="J40" s="13">
        <f t="shared" ref="J40:J50" si="12">F40+H40</f>
        <v>1479658739.8185844</v>
      </c>
      <c r="L40" s="13"/>
      <c r="N40" s="13">
        <f t="shared" ref="N40:N50" si="13">J40+L40</f>
        <v>1479658739.8185844</v>
      </c>
    </row>
    <row r="41" spans="1:14">
      <c r="A41" s="15" t="s">
        <v>86</v>
      </c>
      <c r="B41" s="13">
        <f>[2]Results!C43</f>
        <v>37964.182804253716</v>
      </c>
      <c r="C41" s="13"/>
      <c r="D41" s="13">
        <f>'Restating Adj'!B44</f>
        <v>0</v>
      </c>
      <c r="F41" s="13">
        <f t="shared" si="11"/>
        <v>37964.182804253716</v>
      </c>
      <c r="H41" s="13">
        <f>'Pro Forma Adj'!B44</f>
        <v>0</v>
      </c>
      <c r="J41" s="13">
        <f t="shared" si="12"/>
        <v>37964.182804253716</v>
      </c>
      <c r="L41" s="13"/>
      <c r="N41" s="13">
        <f t="shared" si="13"/>
        <v>37964.182804253716</v>
      </c>
    </row>
    <row r="42" spans="1:14">
      <c r="A42" s="15" t="s">
        <v>87</v>
      </c>
      <c r="B42" s="13">
        <f>[2]Results!C44</f>
        <v>21830245.365903828</v>
      </c>
      <c r="C42" s="13"/>
      <c r="D42" s="13">
        <f>'Restating Adj'!B45</f>
        <v>-2373510.0345394304</v>
      </c>
      <c r="F42" s="13">
        <f t="shared" si="11"/>
        <v>19456735.331364397</v>
      </c>
      <c r="H42" s="13">
        <f>'Pro Forma Adj'!B45</f>
        <v>-3261120.6293837503</v>
      </c>
      <c r="J42" s="13">
        <f t="shared" si="12"/>
        <v>16195614.701980647</v>
      </c>
      <c r="L42" s="13"/>
      <c r="N42" s="13">
        <f t="shared" si="13"/>
        <v>16195614.701980647</v>
      </c>
    </row>
    <row r="43" spans="1:14">
      <c r="A43" s="15" t="s">
        <v>88</v>
      </c>
      <c r="B43" s="13">
        <f>[2]Results!C45</f>
        <v>0</v>
      </c>
      <c r="C43" s="13"/>
      <c r="D43" s="13">
        <f>'Restating Adj'!B46</f>
        <v>0</v>
      </c>
      <c r="F43" s="13">
        <f t="shared" si="11"/>
        <v>0</v>
      </c>
      <c r="H43" s="13">
        <f>'Pro Forma Adj'!B46</f>
        <v>0</v>
      </c>
      <c r="J43" s="13">
        <f t="shared" si="12"/>
        <v>0</v>
      </c>
      <c r="L43" s="13"/>
      <c r="N43" s="13">
        <f t="shared" si="13"/>
        <v>0</v>
      </c>
    </row>
    <row r="44" spans="1:14">
      <c r="A44" s="15" t="s">
        <v>89</v>
      </c>
      <c r="B44" s="13">
        <f>[2]Results!C46</f>
        <v>0</v>
      </c>
      <c r="C44" s="13"/>
      <c r="D44" s="13">
        <f>'Restating Adj'!B47</f>
        <v>0</v>
      </c>
      <c r="F44" s="13">
        <f t="shared" si="11"/>
        <v>0</v>
      </c>
      <c r="H44" s="13">
        <f>'Pro Forma Adj'!B47</f>
        <v>0</v>
      </c>
      <c r="J44" s="13">
        <f t="shared" si="12"/>
        <v>0</v>
      </c>
      <c r="L44" s="13"/>
      <c r="N44" s="13">
        <f t="shared" si="13"/>
        <v>0</v>
      </c>
    </row>
    <row r="45" spans="1:14">
      <c r="A45" s="15" t="s">
        <v>90</v>
      </c>
      <c r="B45" s="13">
        <f>[2]Results!C47</f>
        <v>2240510.2031514402</v>
      </c>
      <c r="C45" s="13"/>
      <c r="D45" s="13">
        <f>'Restating Adj'!B48</f>
        <v>-2240510.2035326045</v>
      </c>
      <c r="F45" s="13">
        <f t="shared" si="11"/>
        <v>-3.8116425275802612E-4</v>
      </c>
      <c r="H45" s="13">
        <f>'Pro Forma Adj'!B48</f>
        <v>0</v>
      </c>
      <c r="J45" s="13">
        <f t="shared" si="12"/>
        <v>-3.8116425275802612E-4</v>
      </c>
      <c r="L45" s="13"/>
      <c r="N45" s="13">
        <f t="shared" si="13"/>
        <v>-3.8116425275802612E-4</v>
      </c>
    </row>
    <row r="46" spans="1:14">
      <c r="A46" s="15" t="s">
        <v>91</v>
      </c>
      <c r="B46" s="13">
        <f>[2]Results!C48</f>
        <v>4907986.4739838019</v>
      </c>
      <c r="C46" s="13"/>
      <c r="D46" s="13">
        <f>'Restating Adj'!B49</f>
        <v>-4907986.4739838867</v>
      </c>
      <c r="F46" s="13">
        <f t="shared" si="11"/>
        <v>-8.4750354290008545E-8</v>
      </c>
      <c r="H46" s="13">
        <f>'Pro Forma Adj'!B49</f>
        <v>0</v>
      </c>
      <c r="J46" s="13">
        <f t="shared" si="12"/>
        <v>-8.4750354290008545E-8</v>
      </c>
      <c r="L46" s="13"/>
      <c r="N46" s="13">
        <f t="shared" si="13"/>
        <v>-8.4750354290008545E-8</v>
      </c>
    </row>
    <row r="47" spans="1:14">
      <c r="A47" s="15" t="s">
        <v>92</v>
      </c>
      <c r="B47" s="13">
        <f>[2]Results!C49</f>
        <v>7435680.6044854177</v>
      </c>
      <c r="C47" s="13"/>
      <c r="D47" s="13">
        <f>'Restating Adj'!B50</f>
        <v>-7435680.6054583685</v>
      </c>
      <c r="F47" s="13">
        <f t="shared" si="11"/>
        <v>-9.7295083105564117E-4</v>
      </c>
      <c r="H47" s="13">
        <f>'Pro Forma Adj'!B50</f>
        <v>0</v>
      </c>
      <c r="J47" s="13">
        <f t="shared" si="12"/>
        <v>-9.7295083105564117E-4</v>
      </c>
      <c r="L47" s="13"/>
      <c r="N47" s="13">
        <f t="shared" si="13"/>
        <v>-9.7295083105564117E-4</v>
      </c>
    </row>
    <row r="48" spans="1:14">
      <c r="A48" s="15" t="s">
        <v>93</v>
      </c>
      <c r="B48" s="13">
        <f>[2]Results!C50</f>
        <v>3098080.8131170203</v>
      </c>
      <c r="C48" s="13"/>
      <c r="D48" s="13">
        <f>'Restating Adj'!B51</f>
        <v>-3098080.8131170203</v>
      </c>
      <c r="F48" s="13">
        <f t="shared" si="11"/>
        <v>0</v>
      </c>
      <c r="H48" s="13">
        <f>'Pro Forma Adj'!B51</f>
        <v>0</v>
      </c>
      <c r="J48" s="13">
        <f t="shared" si="12"/>
        <v>0</v>
      </c>
      <c r="L48" s="13"/>
      <c r="N48" s="13">
        <f t="shared" si="13"/>
        <v>0</v>
      </c>
    </row>
    <row r="49" spans="1:14">
      <c r="A49" s="15" t="s">
        <v>94</v>
      </c>
      <c r="B49" s="13">
        <f>[2]Results!C51</f>
        <v>2010463.629199035</v>
      </c>
      <c r="C49" s="13"/>
      <c r="D49" s="13">
        <f>'Restating Adj'!B52</f>
        <v>0</v>
      </c>
      <c r="F49" s="13">
        <f t="shared" si="11"/>
        <v>2010463.629199035</v>
      </c>
      <c r="H49" s="13">
        <f>'Pro Forma Adj'!B52</f>
        <v>0</v>
      </c>
      <c r="J49" s="13">
        <f t="shared" si="12"/>
        <v>2010463.629199035</v>
      </c>
      <c r="L49" s="13"/>
      <c r="N49" s="13">
        <f t="shared" si="13"/>
        <v>2010463.629199035</v>
      </c>
    </row>
    <row r="50" spans="1:14">
      <c r="A50" s="15" t="s">
        <v>95</v>
      </c>
      <c r="B50" s="13">
        <f>[2]Results!C52</f>
        <v>102468.75195101222</v>
      </c>
      <c r="C50" s="13"/>
      <c r="D50" s="13">
        <f>'Restating Adj'!B53</f>
        <v>-102468.75195108727</v>
      </c>
      <c r="F50" s="13">
        <f t="shared" si="11"/>
        <v>-7.5044226832687855E-8</v>
      </c>
      <c r="H50" s="13">
        <f>'Pro Forma Adj'!B53</f>
        <v>0</v>
      </c>
      <c r="J50" s="13">
        <f t="shared" si="12"/>
        <v>-7.5044226832687855E-8</v>
      </c>
      <c r="L50" s="13"/>
      <c r="N50" s="13">
        <f t="shared" si="13"/>
        <v>-7.5044226832687855E-8</v>
      </c>
    </row>
    <row r="51" spans="1:14" ht="13.5" thickBot="1">
      <c r="A51" s="15" t="s">
        <v>96</v>
      </c>
      <c r="B51" s="14">
        <f>SUM(B40:B50)</f>
        <v>1505390041.8019521</v>
      </c>
      <c r="C51" s="13"/>
      <c r="D51" s="14">
        <f>SUM(D40:D50)</f>
        <v>11489369.69707093</v>
      </c>
      <c r="F51" s="14">
        <f>SUM(F40:F50)</f>
        <v>1516879411.499023</v>
      </c>
      <c r="H51" s="14">
        <f>SUM(H40:H50)</f>
        <v>-18976629.167808797</v>
      </c>
      <c r="J51" s="14">
        <f>SUM(J40:J50)</f>
        <v>1497902782.3312142</v>
      </c>
      <c r="L51" s="14">
        <f>SUM(L40:L50)</f>
        <v>0</v>
      </c>
      <c r="N51" s="14">
        <f>SUM(N40:N50)</f>
        <v>1497902782.3312142</v>
      </c>
    </row>
    <row r="52" spans="1:14" ht="13.5" thickTop="1">
      <c r="A52" s="15"/>
      <c r="B52" s="13"/>
      <c r="C52" s="13"/>
      <c r="D52" s="13"/>
      <c r="F52" s="13"/>
      <c r="H52" s="13"/>
      <c r="J52" s="13"/>
      <c r="L52" s="13"/>
      <c r="N52" s="13"/>
    </row>
    <row r="53" spans="1:14">
      <c r="A53" s="15" t="s">
        <v>97</v>
      </c>
      <c r="B53" s="13"/>
      <c r="C53" s="13"/>
      <c r="D53" s="13"/>
      <c r="F53" s="13"/>
      <c r="H53" s="13"/>
      <c r="J53" s="13"/>
      <c r="L53" s="13"/>
      <c r="N53" s="13"/>
    </row>
    <row r="54" spans="1:14">
      <c r="A54" s="15" t="s">
        <v>98</v>
      </c>
      <c r="B54" s="13">
        <f>[2]Results!C56</f>
        <v>-533422815.50845498</v>
      </c>
      <c r="C54" s="13"/>
      <c r="D54" s="13">
        <f>'Restating Adj'!B57</f>
        <v>-10099130.621185265</v>
      </c>
      <c r="F54" s="13">
        <f t="shared" ref="F54:F60" si="14">B54+D54</f>
        <v>-543521946.12964022</v>
      </c>
      <c r="H54" s="13">
        <f>'Pro Forma Adj'!B57</f>
        <v>15685302.595786646</v>
      </c>
      <c r="J54" s="13">
        <f t="shared" ref="J54:J60" si="15">F54+H54</f>
        <v>-527836643.53385359</v>
      </c>
      <c r="L54" s="13"/>
      <c r="N54" s="13">
        <f t="shared" ref="N54:N61" si="16">J54+L54</f>
        <v>-527836643.53385359</v>
      </c>
    </row>
    <row r="55" spans="1:14">
      <c r="A55" s="15" t="s">
        <v>99</v>
      </c>
      <c r="B55" s="13">
        <f>[2]Results!C57</f>
        <v>-36329777.851548776</v>
      </c>
      <c r="C55" s="13"/>
      <c r="D55" s="13">
        <f>'Restating Adj'!B58</f>
        <v>0</v>
      </c>
      <c r="F55" s="13">
        <f t="shared" si="14"/>
        <v>-36329777.851548776</v>
      </c>
      <c r="H55" s="13">
        <f>'Pro Forma Adj'!B58</f>
        <v>0</v>
      </c>
      <c r="J55" s="13">
        <f t="shared" si="15"/>
        <v>-36329777.851548776</v>
      </c>
      <c r="L55" s="13"/>
      <c r="N55" s="13">
        <f t="shared" si="16"/>
        <v>-36329777.851548776</v>
      </c>
    </row>
    <row r="56" spans="1:14">
      <c r="A56" s="15" t="s">
        <v>100</v>
      </c>
      <c r="B56" s="13">
        <f>[2]Results!C58</f>
        <v>-172602482.97219428</v>
      </c>
      <c r="C56" s="13"/>
      <c r="D56" s="13">
        <f>'Restating Adj'!B59</f>
        <v>311142.77519654424</v>
      </c>
      <c r="F56" s="13">
        <f t="shared" si="14"/>
        <v>-172291340.19699773</v>
      </c>
      <c r="H56" s="13">
        <f>'Pro Forma Adj'!B59</f>
        <v>-21661.504834290361</v>
      </c>
      <c r="J56" s="13">
        <f t="shared" si="15"/>
        <v>-172313001.70183203</v>
      </c>
      <c r="L56" s="13"/>
      <c r="N56" s="13">
        <f t="shared" si="16"/>
        <v>-172313001.70183203</v>
      </c>
    </row>
    <row r="57" spans="1:14">
      <c r="A57" s="15" t="s">
        <v>101</v>
      </c>
      <c r="B57" s="13">
        <f>[2]Results!C59</f>
        <v>-876652.79522800003</v>
      </c>
      <c r="C57" s="13"/>
      <c r="D57" s="13">
        <f>'Restating Adj'!B60</f>
        <v>103982.22360000001</v>
      </c>
      <c r="F57" s="13">
        <f t="shared" si="14"/>
        <v>-772670.57162800001</v>
      </c>
      <c r="H57" s="13">
        <f>'Pro Forma Adj'!B60</f>
        <v>0</v>
      </c>
      <c r="J57" s="13">
        <f t="shared" si="15"/>
        <v>-772670.57162800001</v>
      </c>
      <c r="L57" s="13"/>
      <c r="N57" s="13">
        <f t="shared" si="16"/>
        <v>-772670.57162800001</v>
      </c>
    </row>
    <row r="58" spans="1:14">
      <c r="A58" s="15" t="s">
        <v>102</v>
      </c>
      <c r="B58" s="13">
        <f>[2]Results!C60</f>
        <v>-752.18065947094203</v>
      </c>
      <c r="C58" s="13"/>
      <c r="D58" s="13">
        <f>'Restating Adj'!B61</f>
        <v>-293988.17735592474</v>
      </c>
      <c r="F58" s="13">
        <f t="shared" si="14"/>
        <v>-294740.3580153957</v>
      </c>
      <c r="H58" s="13">
        <f>'Pro Forma Adj'!B61</f>
        <v>0</v>
      </c>
      <c r="J58" s="13">
        <f t="shared" si="15"/>
        <v>-294740.3580153957</v>
      </c>
      <c r="L58" s="13"/>
      <c r="N58" s="13">
        <f t="shared" si="16"/>
        <v>-294740.3580153957</v>
      </c>
    </row>
    <row r="59" spans="1:14">
      <c r="A59" s="15" t="s">
        <v>103</v>
      </c>
      <c r="B59" s="13">
        <f>[2]Results!C61</f>
        <v>0</v>
      </c>
      <c r="C59" s="13"/>
      <c r="D59" s="13">
        <f>'Restating Adj'!B62</f>
        <v>-3291205.6015833332</v>
      </c>
      <c r="F59" s="13">
        <f t="shared" si="14"/>
        <v>-3291205.6015833332</v>
      </c>
      <c r="H59" s="13">
        <f>'Pro Forma Adj'!B62</f>
        <v>0</v>
      </c>
      <c r="J59" s="13">
        <f t="shared" si="15"/>
        <v>-3291205.6015833332</v>
      </c>
      <c r="L59" s="13"/>
      <c r="N59" s="13">
        <f t="shared" si="16"/>
        <v>-3291205.6015833332</v>
      </c>
    </row>
    <row r="60" spans="1:14">
      <c r="A60" s="15" t="s">
        <v>104</v>
      </c>
      <c r="B60" s="13">
        <f>[2]Results!C62</f>
        <v>-4646783.9713116912</v>
      </c>
      <c r="C60" s="13"/>
      <c r="D60" s="13">
        <f>'Restating Adj'!B63</f>
        <v>-1978325.4157962431</v>
      </c>
      <c r="F60" s="13">
        <f t="shared" si="14"/>
        <v>-6625109.3871079348</v>
      </c>
      <c r="H60" s="13">
        <f>'Pro Forma Adj'!B63</f>
        <v>56207.192047362681</v>
      </c>
      <c r="J60" s="13">
        <f t="shared" si="15"/>
        <v>-6568902.1950605717</v>
      </c>
      <c r="L60" s="13"/>
      <c r="N60" s="13">
        <f t="shared" si="16"/>
        <v>-6568902.1950605717</v>
      </c>
    </row>
    <row r="61" spans="1:14">
      <c r="A61" s="15"/>
      <c r="B61" s="13"/>
      <c r="C61" s="13"/>
      <c r="D61" s="13"/>
      <c r="F61" s="13"/>
      <c r="H61" s="13"/>
      <c r="J61" s="13"/>
      <c r="L61" s="13"/>
      <c r="N61" s="13">
        <f t="shared" si="16"/>
        <v>0</v>
      </c>
    </row>
    <row r="62" spans="1:14" ht="13.5" thickBot="1">
      <c r="A62" s="15" t="s">
        <v>105</v>
      </c>
      <c r="B62" s="14">
        <f>SUM(B54:B60)</f>
        <v>-747879265.27939713</v>
      </c>
      <c r="C62" s="13"/>
      <c r="D62" s="14">
        <f>SUM(D54:D60)</f>
        <v>-15247524.817124221</v>
      </c>
      <c r="F62" s="14">
        <f>SUM(F54:F60)</f>
        <v>-763126790.0965215</v>
      </c>
      <c r="H62" s="14">
        <f>SUM(H54:H60)</f>
        <v>15719848.282999719</v>
      </c>
      <c r="J62" s="14">
        <f>SUM(J54:J60)</f>
        <v>-747406941.81352174</v>
      </c>
      <c r="L62" s="14">
        <f>SUM(L54:L60)</f>
        <v>0</v>
      </c>
      <c r="N62" s="14">
        <f>SUM(N54:N60)</f>
        <v>-747406941.81352174</v>
      </c>
    </row>
    <row r="63" spans="1:14" ht="13.5" thickTop="1">
      <c r="A63" s="15"/>
      <c r="B63" s="13"/>
      <c r="C63" s="13"/>
      <c r="D63" s="13"/>
      <c r="F63" s="13"/>
      <c r="H63" s="13"/>
      <c r="J63" s="13"/>
      <c r="L63" s="13"/>
      <c r="N63" s="13"/>
    </row>
    <row r="64" spans="1:14" ht="13.5" thickBot="1">
      <c r="A64" s="15" t="s">
        <v>106</v>
      </c>
      <c r="B64" s="14">
        <f>B51+B62</f>
        <v>757510776.52255499</v>
      </c>
      <c r="C64" s="13"/>
      <c r="D64" s="14">
        <f>D51+D62</f>
        <v>-3758155.1200532913</v>
      </c>
      <c r="F64" s="14">
        <f>F51+F62</f>
        <v>753752621.40250146</v>
      </c>
      <c r="H64" s="14">
        <f>H51+H62</f>
        <v>-3256780.8848090786</v>
      </c>
      <c r="J64" s="14">
        <f>J51+J62</f>
        <v>750495840.51769245</v>
      </c>
      <c r="L64" s="14">
        <f>L51+L62</f>
        <v>0</v>
      </c>
      <c r="N64" s="14">
        <f>N51+N62</f>
        <v>750495840.51769245</v>
      </c>
    </row>
    <row r="65" spans="1:14" ht="13.5" thickTop="1">
      <c r="A65" s="15"/>
      <c r="B65" s="13"/>
      <c r="C65" s="13"/>
      <c r="D65" s="13"/>
      <c r="F65" s="13"/>
      <c r="H65" s="13"/>
      <c r="J65" s="13"/>
      <c r="L65" s="13"/>
      <c r="N65" s="13"/>
    </row>
    <row r="66" spans="1:14">
      <c r="A66" s="15" t="s">
        <v>55</v>
      </c>
      <c r="B66" s="29">
        <f>B37/B64</f>
        <v>5.1955258174120805E-2</v>
      </c>
      <c r="C66" s="29"/>
      <c r="D66" s="29">
        <f>F66-B66</f>
        <v>1.2700429515607611E-2</v>
      </c>
      <c r="F66" s="29">
        <f>F37/F64</f>
        <v>6.4655687689728417E-2</v>
      </c>
      <c r="H66" s="29">
        <f>J66-F66</f>
        <v>1.3411836870335078E-2</v>
      </c>
      <c r="J66" s="29">
        <f>J37/J64</f>
        <v>7.8067524560063495E-2</v>
      </c>
      <c r="L66" s="29">
        <f>N66-J66</f>
        <v>-6.6752456006352601E-4</v>
      </c>
      <c r="N66" s="29">
        <f>N37/N64</f>
        <v>7.7399999999999969E-2</v>
      </c>
    </row>
    <row r="67" spans="1:14">
      <c r="A67" s="15" t="s">
        <v>107</v>
      </c>
      <c r="B67" s="29">
        <f>(B66-Weighted_cost_debt-Weighted_cost_pref)/Percent_common</f>
        <v>4.6123743735480255E-2</v>
      </c>
      <c r="C67" s="29"/>
      <c r="D67" s="29">
        <f>F67-B67</f>
        <v>2.5866455225270077E-2</v>
      </c>
      <c r="F67" s="29">
        <f>(F66-Weighted_cost_debt-Weighted_cost_pref)/Percent_common</f>
        <v>7.1990198960750332E-2</v>
      </c>
      <c r="H67" s="29">
        <f>J67-F67</f>
        <v>2.7315350041415651E-2</v>
      </c>
      <c r="J67" s="29">
        <f>(J66-Weighted_cost_debt-Weighted_cost_pref)/Percent_common</f>
        <v>9.9305549002165983E-2</v>
      </c>
      <c r="L67" s="29">
        <f>N67-J67</f>
        <v>-1.3055490021659788E-3</v>
      </c>
      <c r="N67" s="29">
        <f>ROUND((N66-Weighted_cost_debt-Weighted_cost_pref)/Percent_common,3)</f>
        <v>9.8000000000000004E-2</v>
      </c>
    </row>
    <row r="68" spans="1:14">
      <c r="A68" s="15" t="s">
        <v>53</v>
      </c>
      <c r="B68" s="13">
        <f>-(B37-(B64*Overall_ROR))/gross_up_factor</f>
        <v>31076642.759843405</v>
      </c>
      <c r="C68" s="13"/>
      <c r="D68" s="13">
        <f>-(D37-(D64*Overall_ROR))/gross_up_factor</f>
        <v>-15588745.025391221</v>
      </c>
      <c r="F68" s="13">
        <f>-(F37-(F64*Overall_ROR))/gross_up_factor</f>
        <v>15487897.734452348</v>
      </c>
      <c r="H68" s="13">
        <f>-(H37-(H64*Overall_ROR))/gross_up_factor</f>
        <v>-16295621.330168527</v>
      </c>
      <c r="J68" s="13">
        <f>-(J37-(J64*Overall_ROR))/gross_up_factor</f>
        <v>-807723.59571619297</v>
      </c>
      <c r="L68" s="13"/>
      <c r="N68" s="13"/>
    </row>
    <row r="69" spans="1:14">
      <c r="A69" s="15"/>
      <c r="B69" s="27"/>
      <c r="C69" s="27"/>
      <c r="D69" s="27"/>
      <c r="F69" s="27"/>
      <c r="H69" s="27"/>
      <c r="J69" s="27"/>
      <c r="L69" s="27"/>
      <c r="N69" s="27"/>
    </row>
    <row r="70" spans="1:14">
      <c r="A70" s="15" t="s">
        <v>108</v>
      </c>
      <c r="B70" s="13"/>
      <c r="C70" s="13"/>
      <c r="D70" s="13"/>
      <c r="F70" s="13"/>
      <c r="H70" s="13"/>
      <c r="J70" s="13"/>
      <c r="L70" s="13"/>
      <c r="N70" s="13"/>
    </row>
    <row r="71" spans="1:14">
      <c r="A71" s="15" t="s">
        <v>109</v>
      </c>
      <c r="B71" s="13">
        <f t="shared" ref="B71:N71" si="17">B13-B26-B27-B28-B29-B34</f>
        <v>48491627.679538943</v>
      </c>
      <c r="C71" s="13"/>
      <c r="D71" s="13">
        <f t="shared" si="17"/>
        <v>10125496.330785833</v>
      </c>
      <c r="F71" s="13">
        <f t="shared" si="17"/>
        <v>58617124.010324851</v>
      </c>
      <c r="H71" s="13">
        <f t="shared" si="17"/>
        <v>14636806.504739149</v>
      </c>
      <c r="J71" s="13">
        <f t="shared" si="17"/>
        <v>73253930.515063941</v>
      </c>
      <c r="L71" s="13">
        <f t="shared" si="17"/>
        <v>-770729.85503239138</v>
      </c>
      <c r="N71" s="13">
        <f t="shared" si="17"/>
        <v>72483200.660031572</v>
      </c>
    </row>
    <row r="72" spans="1:14">
      <c r="A72" s="15" t="s">
        <v>110</v>
      </c>
      <c r="B72" s="13">
        <f>[2]Results!$C73</f>
        <v>0</v>
      </c>
      <c r="C72" s="13"/>
      <c r="D72" s="13"/>
      <c r="F72" s="13">
        <f t="shared" ref="F72:F76" si="18">B72+D72</f>
        <v>0</v>
      </c>
      <c r="H72" s="13"/>
      <c r="J72" s="13"/>
      <c r="L72" s="13"/>
      <c r="N72" s="13"/>
    </row>
    <row r="73" spans="1:14">
      <c r="A73" s="15" t="s">
        <v>111</v>
      </c>
      <c r="B73" s="13">
        <f>[2]Results!$C74</f>
        <v>-5402816.7261669245</v>
      </c>
      <c r="C73" s="13"/>
      <c r="D73" s="13">
        <f>'Restating Adj'!B76</f>
        <v>239226.0290480254</v>
      </c>
      <c r="F73" s="13">
        <f t="shared" si="18"/>
        <v>-5163590.6971188989</v>
      </c>
      <c r="H73" s="13">
        <f>'Pro Forma Adj'!B76</f>
        <v>0</v>
      </c>
      <c r="J73" s="13">
        <f t="shared" ref="J73:J76" si="19">F73+H73</f>
        <v>-5163590.6971188989</v>
      </c>
      <c r="L73" s="13"/>
      <c r="N73" s="13">
        <f t="shared" ref="N73:N76" si="20">J73+L73</f>
        <v>-5163590.6971188989</v>
      </c>
    </row>
    <row r="74" spans="1:14">
      <c r="A74" s="15" t="s">
        <v>112</v>
      </c>
      <c r="B74" s="13">
        <f>[2]Results!$C75</f>
        <v>22961344.056319799</v>
      </c>
      <c r="C74" s="13"/>
      <c r="D74" s="13">
        <f>'Restating Adj'!B77</f>
        <v>-992771.65397105366</v>
      </c>
      <c r="F74" s="13">
        <f t="shared" si="18"/>
        <v>21968572.402348746</v>
      </c>
      <c r="H74" s="13">
        <f>'Pro Forma Adj'!B77</f>
        <v>-94920.83295628801</v>
      </c>
      <c r="J74" s="13">
        <f t="shared" si="19"/>
        <v>21873651.569392458</v>
      </c>
      <c r="L74" s="13"/>
      <c r="N74" s="13">
        <f t="shared" si="20"/>
        <v>21873651.569392458</v>
      </c>
    </row>
    <row r="75" spans="1:14">
      <c r="A75" s="15" t="s">
        <v>113</v>
      </c>
      <c r="B75" s="13">
        <f>[2]Results!$C76</f>
        <v>69682519.662425429</v>
      </c>
      <c r="C75" s="13"/>
      <c r="D75" s="13">
        <f>'Restating Adj'!B78</f>
        <v>-4945929.2323369179</v>
      </c>
      <c r="E75" s="26"/>
      <c r="F75" s="13">
        <f t="shared" si="18"/>
        <v>64736590.430088513</v>
      </c>
      <c r="G75" s="26"/>
      <c r="H75" s="13">
        <f>'Pro Forma Adj'!B78</f>
        <v>682548.26504344889</v>
      </c>
      <c r="J75" s="13">
        <f t="shared" si="19"/>
        <v>65419138.695131965</v>
      </c>
      <c r="L75" s="13"/>
      <c r="N75" s="13">
        <f t="shared" si="20"/>
        <v>65419138.695131965</v>
      </c>
    </row>
    <row r="76" spans="1:14">
      <c r="A76" s="15" t="s">
        <v>114</v>
      </c>
      <c r="B76" s="12">
        <f>[2]Results!$C77</f>
        <v>126084593.94117269</v>
      </c>
      <c r="C76" s="13"/>
      <c r="D76" s="12">
        <f>'Restating Adj'!B79</f>
        <v>116992.72253218386</v>
      </c>
      <c r="E76" s="26"/>
      <c r="F76" s="12">
        <f t="shared" si="18"/>
        <v>126201586.66370487</v>
      </c>
      <c r="G76" s="26"/>
      <c r="H76" s="12">
        <f>'Pro Forma Adj'!B79</f>
        <v>1375958.3254740317</v>
      </c>
      <c r="J76" s="12">
        <f t="shared" si="19"/>
        <v>127577544.98917891</v>
      </c>
      <c r="L76" s="12"/>
      <c r="N76" s="12">
        <f t="shared" si="20"/>
        <v>127577544.98917891</v>
      </c>
    </row>
    <row r="77" spans="1:14">
      <c r="A77" s="15" t="s">
        <v>115</v>
      </c>
      <c r="B77" s="13">
        <f t="shared" ref="B77:N77" si="21">B71-B73-B74+B75-B76</f>
        <v>-25468973.929361194</v>
      </c>
      <c r="C77" s="13"/>
      <c r="D77" s="13">
        <f t="shared" si="21"/>
        <v>5816120.0008397596</v>
      </c>
      <c r="E77" s="26"/>
      <c r="F77" s="13">
        <f t="shared" si="21"/>
        <v>-19652853.928521365</v>
      </c>
      <c r="G77" s="26"/>
      <c r="H77" s="13">
        <f t="shared" si="21"/>
        <v>14038317.277264854</v>
      </c>
      <c r="J77" s="13">
        <f t="shared" si="21"/>
        <v>-5614536.6512565762</v>
      </c>
      <c r="L77" s="13">
        <f t="shared" si="21"/>
        <v>-770729.85503239138</v>
      </c>
      <c r="N77" s="13">
        <f t="shared" si="21"/>
        <v>-6385266.5062889308</v>
      </c>
    </row>
    <row r="78" spans="1:14">
      <c r="A78" s="15"/>
      <c r="B78" s="13"/>
      <c r="C78" s="13"/>
      <c r="D78" s="13"/>
      <c r="E78" s="26"/>
      <c r="F78" s="13"/>
      <c r="G78" s="26"/>
      <c r="H78" s="13"/>
      <c r="J78" s="13"/>
      <c r="L78" s="13"/>
      <c r="N78" s="13"/>
    </row>
    <row r="79" spans="1:14">
      <c r="A79" s="15" t="s">
        <v>116</v>
      </c>
      <c r="B79" s="13">
        <v>0</v>
      </c>
      <c r="C79" s="13"/>
      <c r="D79" s="13">
        <v>0</v>
      </c>
      <c r="E79" s="26"/>
      <c r="F79" s="13">
        <v>0</v>
      </c>
      <c r="G79" s="26"/>
      <c r="H79" s="13">
        <v>0</v>
      </c>
      <c r="J79" s="13">
        <v>0</v>
      </c>
      <c r="L79" s="13">
        <v>0</v>
      </c>
      <c r="N79" s="13">
        <v>0</v>
      </c>
    </row>
    <row r="80" spans="1:14">
      <c r="A80" s="15" t="s">
        <v>117</v>
      </c>
      <c r="B80" s="13">
        <f>B77-B79</f>
        <v>-25468973.929361194</v>
      </c>
      <c r="C80" s="13"/>
      <c r="D80" s="13">
        <f>D77-D79</f>
        <v>5816120.0008397596</v>
      </c>
      <c r="E80" s="26"/>
      <c r="F80" s="13">
        <f>F77-F79</f>
        <v>-19652853.928521365</v>
      </c>
      <c r="G80" s="26"/>
      <c r="H80" s="13">
        <f>H77-H79</f>
        <v>14038317.277264854</v>
      </c>
      <c r="J80" s="13">
        <f>J77-J79</f>
        <v>-5614536.6512565762</v>
      </c>
      <c r="L80" s="13">
        <f>L77-L79</f>
        <v>-770729.85503239138</v>
      </c>
      <c r="N80" s="13">
        <f>N77-N79</f>
        <v>-6385266.5062889308</v>
      </c>
    </row>
    <row r="81" spans="1:14">
      <c r="A81" s="15"/>
      <c r="B81" s="13"/>
      <c r="C81" s="13"/>
      <c r="D81" s="13"/>
      <c r="E81" s="26"/>
      <c r="F81" s="13"/>
      <c r="G81" s="26"/>
      <c r="H81" s="13"/>
      <c r="J81" s="13"/>
      <c r="L81" s="13"/>
      <c r="N81" s="13"/>
    </row>
    <row r="82" spans="1:14">
      <c r="A82" s="15" t="s">
        <v>166</v>
      </c>
      <c r="B82" s="13">
        <f>B80*0.35</f>
        <v>-8914140.8752764165</v>
      </c>
      <c r="C82" s="13"/>
      <c r="D82" s="13">
        <f>D80*0.35</f>
        <v>2035642.0002939156</v>
      </c>
      <c r="E82" s="26"/>
      <c r="F82" s="13">
        <f>F80*0.35</f>
        <v>-6878498.8749824772</v>
      </c>
      <c r="G82" s="26"/>
      <c r="H82" s="13">
        <f>H80*0.35</f>
        <v>4913411.0470426986</v>
      </c>
      <c r="J82" s="13">
        <f>J80*0.35</f>
        <v>-1965087.8279398016</v>
      </c>
      <c r="L82" s="13">
        <f>L80*0.35</f>
        <v>-269755.44926133699</v>
      </c>
      <c r="N82" s="13">
        <f>N80*0.35</f>
        <v>-2234843.2772011254</v>
      </c>
    </row>
    <row r="83" spans="1:14">
      <c r="A83" s="15" t="s">
        <v>167</v>
      </c>
      <c r="B83" s="13">
        <f>[2]Results!$C$264</f>
        <v>-4530657.6032752618</v>
      </c>
      <c r="C83" s="13"/>
      <c r="D83" s="13">
        <f>'Restating Adj'!B86</f>
        <v>0</v>
      </c>
      <c r="E83" s="26"/>
      <c r="F83" s="13">
        <f t="shared" ref="F83" si="22">B83+D83</f>
        <v>-4530657.6032752618</v>
      </c>
      <c r="G83" s="26"/>
      <c r="H83" s="13">
        <f>'Pro Forma Adj'!B86</f>
        <v>-1105653.619989312</v>
      </c>
      <c r="J83" s="13">
        <f t="shared" ref="J83" si="23">F83+H83</f>
        <v>-5636311.2232645741</v>
      </c>
      <c r="L83" s="13"/>
      <c r="N83" s="13">
        <f t="shared" ref="N83" si="24">J83+L83</f>
        <v>-5636311.2232645741</v>
      </c>
    </row>
    <row r="84" spans="1:14">
      <c r="A84" s="15" t="s">
        <v>168</v>
      </c>
      <c r="B84" s="13">
        <f>B82+B83</f>
        <v>-13444798.478551678</v>
      </c>
      <c r="C84" s="13"/>
      <c r="D84" s="13">
        <f>D82+D83</f>
        <v>2035642.0002939156</v>
      </c>
      <c r="E84" s="26"/>
      <c r="F84" s="13">
        <f>F82+F83</f>
        <v>-11409156.478257738</v>
      </c>
      <c r="G84" s="26"/>
      <c r="H84" s="13">
        <f>H82+H83</f>
        <v>3807757.4270533863</v>
      </c>
      <c r="J84" s="13">
        <f>J82+J83</f>
        <v>-7601399.0512043759</v>
      </c>
      <c r="L84" s="13">
        <f>L82+L83</f>
        <v>-269755.44926133699</v>
      </c>
      <c r="N84" s="13">
        <f>N82+N83</f>
        <v>-7871154.5004656995</v>
      </c>
    </row>
    <row r="85" spans="1:14">
      <c r="A85" s="15"/>
      <c r="B85" s="13"/>
      <c r="C85" s="13"/>
      <c r="D85" s="13"/>
      <c r="F85" s="13"/>
      <c r="H85" s="13"/>
      <c r="J85" s="13"/>
      <c r="L85" s="13"/>
      <c r="N85" s="13"/>
    </row>
    <row r="86" spans="1:14">
      <c r="A86" s="15"/>
      <c r="B86" s="13"/>
      <c r="C86" s="13"/>
      <c r="D86" s="13"/>
      <c r="E86" s="26"/>
      <c r="F86" s="13"/>
      <c r="G86" s="26"/>
      <c r="H86" s="13"/>
      <c r="J86" s="13"/>
      <c r="L86" s="13"/>
      <c r="N86" s="13"/>
    </row>
    <row r="87" spans="1:14">
      <c r="A87" s="15"/>
      <c r="B87" s="13"/>
      <c r="C87" s="13"/>
      <c r="D87" s="13"/>
      <c r="E87" s="26"/>
      <c r="F87" s="13"/>
      <c r="G87" s="26"/>
      <c r="H87" s="13"/>
      <c r="J87" s="13"/>
      <c r="L87" s="13"/>
      <c r="N87" s="13"/>
    </row>
    <row r="88" spans="1:14">
      <c r="A88" s="15"/>
      <c r="B88" s="13"/>
      <c r="C88" s="13"/>
      <c r="D88" s="13"/>
      <c r="E88" s="26"/>
      <c r="F88" s="13"/>
      <c r="G88" s="26"/>
      <c r="H88" s="13"/>
      <c r="J88" s="13"/>
      <c r="L88" s="13"/>
      <c r="N88" s="13"/>
    </row>
    <row r="89" spans="1:14">
      <c r="A89" s="15"/>
      <c r="B89" s="13"/>
      <c r="C89" s="13"/>
      <c r="D89" s="13"/>
      <c r="E89" s="26"/>
      <c r="F89" s="13"/>
      <c r="G89" s="26"/>
      <c r="H89" s="13"/>
      <c r="J89" s="13"/>
      <c r="L89" s="13"/>
      <c r="N89" s="13"/>
    </row>
    <row r="90" spans="1:14">
      <c r="A90" s="28"/>
      <c r="B90" s="13"/>
      <c r="C90" s="13"/>
      <c r="D90" s="13"/>
      <c r="E90" s="26"/>
      <c r="F90" s="13"/>
      <c r="G90" s="26"/>
      <c r="H90" s="13"/>
      <c r="J90" s="13"/>
      <c r="L90" s="13"/>
      <c r="N90" s="13"/>
    </row>
    <row r="91" spans="1:14">
      <c r="A91" s="26"/>
      <c r="B91" s="10"/>
      <c r="C91" s="10"/>
      <c r="D91" s="10"/>
      <c r="F91" s="10"/>
      <c r="H91" s="10"/>
      <c r="J91" s="10"/>
      <c r="L91" s="10"/>
      <c r="N91" s="10"/>
    </row>
    <row r="92" spans="1:14">
      <c r="A92" s="26"/>
    </row>
    <row r="93" spans="1:14">
      <c r="A93" s="26"/>
    </row>
    <row r="94" spans="1:14">
      <c r="A94" s="26"/>
    </row>
    <row r="95" spans="1:14">
      <c r="A95" s="26"/>
    </row>
    <row r="96" spans="1:14">
      <c r="A96" s="26"/>
    </row>
    <row r="97" spans="1:1">
      <c r="A97" s="26"/>
    </row>
    <row r="98" spans="1:1">
      <c r="A98" s="26"/>
    </row>
    <row r="99" spans="1:1">
      <c r="A99" s="26"/>
    </row>
    <row r="100" spans="1:1">
      <c r="A100" s="26"/>
    </row>
    <row r="101" spans="1:1">
      <c r="A101" s="26"/>
    </row>
    <row r="102" spans="1:1">
      <c r="A102" s="26"/>
    </row>
    <row r="103" spans="1:1">
      <c r="A103" s="26"/>
    </row>
    <row r="104" spans="1:1">
      <c r="A104" s="26"/>
    </row>
    <row r="105" spans="1:1">
      <c r="A105" s="26"/>
    </row>
    <row r="106" spans="1:1">
      <c r="A106" s="26"/>
    </row>
    <row r="107" spans="1:1">
      <c r="A107" s="26"/>
    </row>
    <row r="108" spans="1:1">
      <c r="A108" s="26"/>
    </row>
    <row r="109" spans="1:1">
      <c r="A109" s="26"/>
    </row>
    <row r="110" spans="1:1">
      <c r="A110" s="26"/>
    </row>
    <row r="111" spans="1:1">
      <c r="A111" s="26"/>
    </row>
    <row r="112" spans="1:1">
      <c r="A112" s="26"/>
    </row>
    <row r="113" spans="1:1">
      <c r="A113" s="26"/>
    </row>
    <row r="114" spans="1:1">
      <c r="A114" s="26"/>
    </row>
    <row r="115" spans="1:1">
      <c r="A115" s="26"/>
    </row>
    <row r="116" spans="1:1">
      <c r="A116" s="26"/>
    </row>
    <row r="117" spans="1:1">
      <c r="A117" s="26"/>
    </row>
    <row r="118" spans="1:1">
      <c r="A118" s="26"/>
    </row>
    <row r="119" spans="1:1">
      <c r="A119" s="26"/>
    </row>
    <row r="120" spans="1:1">
      <c r="A120" s="26"/>
    </row>
    <row r="121" spans="1:1">
      <c r="A121" s="26"/>
    </row>
    <row r="122" spans="1:1">
      <c r="A122" s="26"/>
    </row>
    <row r="123" spans="1:1">
      <c r="A123" s="26"/>
    </row>
    <row r="124" spans="1:1">
      <c r="A124" s="26"/>
    </row>
    <row r="125" spans="1:1">
      <c r="A125" s="26"/>
    </row>
    <row r="126" spans="1:1">
      <c r="A126" s="26"/>
    </row>
    <row r="127" spans="1:1">
      <c r="A127" s="26"/>
    </row>
    <row r="128" spans="1:1">
      <c r="A128" s="26"/>
    </row>
    <row r="129" spans="1:1">
      <c r="A129" s="26"/>
    </row>
    <row r="130" spans="1:1">
      <c r="A130" s="26"/>
    </row>
    <row r="131" spans="1:1">
      <c r="A131" s="26"/>
    </row>
    <row r="132" spans="1:1">
      <c r="A132" s="26"/>
    </row>
    <row r="133" spans="1:1">
      <c r="A133" s="26"/>
    </row>
    <row r="134" spans="1:1">
      <c r="A134" s="26"/>
    </row>
    <row r="135" spans="1:1">
      <c r="A135" s="26"/>
    </row>
    <row r="136" spans="1:1">
      <c r="A136" s="26"/>
    </row>
    <row r="137" spans="1:1">
      <c r="A137" s="26"/>
    </row>
    <row r="138" spans="1:1">
      <c r="A138" s="26"/>
    </row>
    <row r="139" spans="1:1">
      <c r="A139" s="26"/>
    </row>
    <row r="140" spans="1:1">
      <c r="A140" s="26"/>
    </row>
    <row r="141" spans="1:1">
      <c r="A141" s="26"/>
    </row>
    <row r="142" spans="1:1">
      <c r="A142" s="26"/>
    </row>
    <row r="143" spans="1:1">
      <c r="A143" s="26"/>
    </row>
    <row r="144" spans="1:1">
      <c r="A144" s="26"/>
    </row>
    <row r="145" spans="1:1">
      <c r="A145" s="26"/>
    </row>
    <row r="146" spans="1:1">
      <c r="A146" s="26"/>
    </row>
    <row r="147" spans="1:1">
      <c r="A147" s="26"/>
    </row>
  </sheetData>
  <pageMargins left="0.7" right="0.7" top="0.75" bottom="0.44" header="0.3" footer="0.17"/>
  <pageSetup scale="63" orientation="portrait" r:id="rId1"/>
</worksheet>
</file>

<file path=xl/worksheets/sheet10.xml><?xml version="1.0" encoding="utf-8"?>
<worksheet xmlns="http://schemas.openxmlformats.org/spreadsheetml/2006/main" xmlns:r="http://schemas.openxmlformats.org/officeDocument/2006/relationships">
  <sheetPr>
    <tabColor rgb="FFFFFF00"/>
    <pageSetUpPr fitToPage="1"/>
  </sheetPr>
  <dimension ref="A1:H59"/>
  <sheetViews>
    <sheetView workbookViewId="0">
      <selection activeCell="H23" sqref="H23"/>
    </sheetView>
  </sheetViews>
  <sheetFormatPr defaultRowHeight="15.75"/>
  <cols>
    <col min="1" max="1" width="9.140625" style="388"/>
    <col min="2" max="2" width="16" style="388" customWidth="1"/>
    <col min="3" max="3" width="12.42578125" style="388" customWidth="1"/>
    <col min="4" max="4" width="5" style="388" bestFit="1" customWidth="1"/>
    <col min="5" max="5" width="11.5703125" style="388" bestFit="1" customWidth="1"/>
    <col min="6" max="6" width="13.42578125" style="388" customWidth="1"/>
    <col min="7" max="7" width="13.140625" style="388" customWidth="1"/>
    <col min="8" max="8" width="16.28515625" style="388" customWidth="1"/>
    <col min="9" max="256" width="9.140625" style="388"/>
    <col min="257" max="257" width="16" style="388" customWidth="1"/>
    <col min="258" max="258" width="9.85546875" style="388" bestFit="1" customWidth="1"/>
    <col min="259" max="259" width="5" style="388" bestFit="1" customWidth="1"/>
    <col min="260" max="260" width="11.5703125" style="388" bestFit="1" customWidth="1"/>
    <col min="261" max="261" width="8.42578125" style="388" bestFit="1" customWidth="1"/>
    <col min="262" max="262" width="10.7109375" style="388" bestFit="1" customWidth="1"/>
    <col min="263" max="263" width="11.85546875" style="388" bestFit="1" customWidth="1"/>
    <col min="264" max="264" width="6" style="388" bestFit="1" customWidth="1"/>
    <col min="265" max="512" width="9.140625" style="388"/>
    <col min="513" max="513" width="16" style="388" customWidth="1"/>
    <col min="514" max="514" width="9.85546875" style="388" bestFit="1" customWidth="1"/>
    <col min="515" max="515" width="5" style="388" bestFit="1" customWidth="1"/>
    <col min="516" max="516" width="11.5703125" style="388" bestFit="1" customWidth="1"/>
    <col min="517" max="517" width="8.42578125" style="388" bestFit="1" customWidth="1"/>
    <col min="518" max="518" width="10.7109375" style="388" bestFit="1" customWidth="1"/>
    <col min="519" max="519" width="11.85546875" style="388" bestFit="1" customWidth="1"/>
    <col min="520" max="520" width="6" style="388" bestFit="1" customWidth="1"/>
    <col min="521" max="768" width="9.140625" style="388"/>
    <col min="769" max="769" width="16" style="388" customWidth="1"/>
    <col min="770" max="770" width="9.85546875" style="388" bestFit="1" customWidth="1"/>
    <col min="771" max="771" width="5" style="388" bestFit="1" customWidth="1"/>
    <col min="772" max="772" width="11.5703125" style="388" bestFit="1" customWidth="1"/>
    <col min="773" max="773" width="8.42578125" style="388" bestFit="1" customWidth="1"/>
    <col min="774" max="774" width="10.7109375" style="388" bestFit="1" customWidth="1"/>
    <col min="775" max="775" width="11.85546875" style="388" bestFit="1" customWidth="1"/>
    <col min="776" max="776" width="6" style="388" bestFit="1" customWidth="1"/>
    <col min="777" max="1024" width="9.140625" style="388"/>
    <col min="1025" max="1025" width="16" style="388" customWidth="1"/>
    <col min="1026" max="1026" width="9.85546875" style="388" bestFit="1" customWidth="1"/>
    <col min="1027" max="1027" width="5" style="388" bestFit="1" customWidth="1"/>
    <col min="1028" max="1028" width="11.5703125" style="388" bestFit="1" customWidth="1"/>
    <col min="1029" max="1029" width="8.42578125" style="388" bestFit="1" customWidth="1"/>
    <col min="1030" max="1030" width="10.7109375" style="388" bestFit="1" customWidth="1"/>
    <col min="1031" max="1031" width="11.85546875" style="388" bestFit="1" customWidth="1"/>
    <col min="1032" max="1032" width="6" style="388" bestFit="1" customWidth="1"/>
    <col min="1033" max="1280" width="9.140625" style="388"/>
    <col min="1281" max="1281" width="16" style="388" customWidth="1"/>
    <col min="1282" max="1282" width="9.85546875" style="388" bestFit="1" customWidth="1"/>
    <col min="1283" max="1283" width="5" style="388" bestFit="1" customWidth="1"/>
    <col min="1284" max="1284" width="11.5703125" style="388" bestFit="1" customWidth="1"/>
    <col min="1285" max="1285" width="8.42578125" style="388" bestFit="1" customWidth="1"/>
    <col min="1286" max="1286" width="10.7109375" style="388" bestFit="1" customWidth="1"/>
    <col min="1287" max="1287" width="11.85546875" style="388" bestFit="1" customWidth="1"/>
    <col min="1288" max="1288" width="6" style="388" bestFit="1" customWidth="1"/>
    <col min="1289" max="1536" width="9.140625" style="388"/>
    <col min="1537" max="1537" width="16" style="388" customWidth="1"/>
    <col min="1538" max="1538" width="9.85546875" style="388" bestFit="1" customWidth="1"/>
    <col min="1539" max="1539" width="5" style="388" bestFit="1" customWidth="1"/>
    <col min="1540" max="1540" width="11.5703125" style="388" bestFit="1" customWidth="1"/>
    <col min="1541" max="1541" width="8.42578125" style="388" bestFit="1" customWidth="1"/>
    <col min="1542" max="1542" width="10.7109375" style="388" bestFit="1" customWidth="1"/>
    <col min="1543" max="1543" width="11.85546875" style="388" bestFit="1" customWidth="1"/>
    <col min="1544" max="1544" width="6" style="388" bestFit="1" customWidth="1"/>
    <col min="1545" max="1792" width="9.140625" style="388"/>
    <col min="1793" max="1793" width="16" style="388" customWidth="1"/>
    <col min="1794" max="1794" width="9.85546875" style="388" bestFit="1" customWidth="1"/>
    <col min="1795" max="1795" width="5" style="388" bestFit="1" customWidth="1"/>
    <col min="1796" max="1796" width="11.5703125" style="388" bestFit="1" customWidth="1"/>
    <col min="1797" max="1797" width="8.42578125" style="388" bestFit="1" customWidth="1"/>
    <col min="1798" max="1798" width="10.7109375" style="388" bestFit="1" customWidth="1"/>
    <col min="1799" max="1799" width="11.85546875" style="388" bestFit="1" customWidth="1"/>
    <col min="1800" max="1800" width="6" style="388" bestFit="1" customWidth="1"/>
    <col min="1801" max="2048" width="9.140625" style="388"/>
    <col min="2049" max="2049" width="16" style="388" customWidth="1"/>
    <col min="2050" max="2050" width="9.85546875" style="388" bestFit="1" customWidth="1"/>
    <col min="2051" max="2051" width="5" style="388" bestFit="1" customWidth="1"/>
    <col min="2052" max="2052" width="11.5703125" style="388" bestFit="1" customWidth="1"/>
    <col min="2053" max="2053" width="8.42578125" style="388" bestFit="1" customWidth="1"/>
    <col min="2054" max="2054" width="10.7109375" style="388" bestFit="1" customWidth="1"/>
    <col min="2055" max="2055" width="11.85546875" style="388" bestFit="1" customWidth="1"/>
    <col min="2056" max="2056" width="6" style="388" bestFit="1" customWidth="1"/>
    <col min="2057" max="2304" width="9.140625" style="388"/>
    <col min="2305" max="2305" width="16" style="388" customWidth="1"/>
    <col min="2306" max="2306" width="9.85546875" style="388" bestFit="1" customWidth="1"/>
    <col min="2307" max="2307" width="5" style="388" bestFit="1" customWidth="1"/>
    <col min="2308" max="2308" width="11.5703125" style="388" bestFit="1" customWidth="1"/>
    <col min="2309" max="2309" width="8.42578125" style="388" bestFit="1" customWidth="1"/>
    <col min="2310" max="2310" width="10.7109375" style="388" bestFit="1" customWidth="1"/>
    <col min="2311" max="2311" width="11.85546875" style="388" bestFit="1" customWidth="1"/>
    <col min="2312" max="2312" width="6" style="388" bestFit="1" customWidth="1"/>
    <col min="2313" max="2560" width="9.140625" style="388"/>
    <col min="2561" max="2561" width="16" style="388" customWidth="1"/>
    <col min="2562" max="2562" width="9.85546875" style="388" bestFit="1" customWidth="1"/>
    <col min="2563" max="2563" width="5" style="388" bestFit="1" customWidth="1"/>
    <col min="2564" max="2564" width="11.5703125" style="388" bestFit="1" customWidth="1"/>
    <col min="2565" max="2565" width="8.42578125" style="388" bestFit="1" customWidth="1"/>
    <col min="2566" max="2566" width="10.7109375" style="388" bestFit="1" customWidth="1"/>
    <col min="2567" max="2567" width="11.85546875" style="388" bestFit="1" customWidth="1"/>
    <col min="2568" max="2568" width="6" style="388" bestFit="1" customWidth="1"/>
    <col min="2569" max="2816" width="9.140625" style="388"/>
    <col min="2817" max="2817" width="16" style="388" customWidth="1"/>
    <col min="2818" max="2818" width="9.85546875" style="388" bestFit="1" customWidth="1"/>
    <col min="2819" max="2819" width="5" style="388" bestFit="1" customWidth="1"/>
    <col min="2820" max="2820" width="11.5703125" style="388" bestFit="1" customWidth="1"/>
    <col min="2821" max="2821" width="8.42578125" style="388" bestFit="1" customWidth="1"/>
    <col min="2822" max="2822" width="10.7109375" style="388" bestFit="1" customWidth="1"/>
    <col min="2823" max="2823" width="11.85546875" style="388" bestFit="1" customWidth="1"/>
    <col min="2824" max="2824" width="6" style="388" bestFit="1" customWidth="1"/>
    <col min="2825" max="3072" width="9.140625" style="388"/>
    <col min="3073" max="3073" width="16" style="388" customWidth="1"/>
    <col min="3074" max="3074" width="9.85546875" style="388" bestFit="1" customWidth="1"/>
    <col min="3075" max="3075" width="5" style="388" bestFit="1" customWidth="1"/>
    <col min="3076" max="3076" width="11.5703125" style="388" bestFit="1" customWidth="1"/>
    <col min="3077" max="3077" width="8.42578125" style="388" bestFit="1" customWidth="1"/>
    <col min="3078" max="3078" width="10.7109375" style="388" bestFit="1" customWidth="1"/>
    <col min="3079" max="3079" width="11.85546875" style="388" bestFit="1" customWidth="1"/>
    <col min="3080" max="3080" width="6" style="388" bestFit="1" customWidth="1"/>
    <col min="3081" max="3328" width="9.140625" style="388"/>
    <col min="3329" max="3329" width="16" style="388" customWidth="1"/>
    <col min="3330" max="3330" width="9.85546875" style="388" bestFit="1" customWidth="1"/>
    <col min="3331" max="3331" width="5" style="388" bestFit="1" customWidth="1"/>
    <col min="3332" max="3332" width="11.5703125" style="388" bestFit="1" customWidth="1"/>
    <col min="3333" max="3333" width="8.42578125" style="388" bestFit="1" customWidth="1"/>
    <col min="3334" max="3334" width="10.7109375" style="388" bestFit="1" customWidth="1"/>
    <col min="3335" max="3335" width="11.85546875" style="388" bestFit="1" customWidth="1"/>
    <col min="3336" max="3336" width="6" style="388" bestFit="1" customWidth="1"/>
    <col min="3337" max="3584" width="9.140625" style="388"/>
    <col min="3585" max="3585" width="16" style="388" customWidth="1"/>
    <col min="3586" max="3586" width="9.85546875" style="388" bestFit="1" customWidth="1"/>
    <col min="3587" max="3587" width="5" style="388" bestFit="1" customWidth="1"/>
    <col min="3588" max="3588" width="11.5703125" style="388" bestFit="1" customWidth="1"/>
    <col min="3589" max="3589" width="8.42578125" style="388" bestFit="1" customWidth="1"/>
    <col min="3590" max="3590" width="10.7109375" style="388" bestFit="1" customWidth="1"/>
    <col min="3591" max="3591" width="11.85546875" style="388" bestFit="1" customWidth="1"/>
    <col min="3592" max="3592" width="6" style="388" bestFit="1" customWidth="1"/>
    <col min="3593" max="3840" width="9.140625" style="388"/>
    <col min="3841" max="3841" width="16" style="388" customWidth="1"/>
    <col min="3842" max="3842" width="9.85546875" style="388" bestFit="1" customWidth="1"/>
    <col min="3843" max="3843" width="5" style="388" bestFit="1" customWidth="1"/>
    <col min="3844" max="3844" width="11.5703125" style="388" bestFit="1" customWidth="1"/>
    <col min="3845" max="3845" width="8.42578125" style="388" bestFit="1" customWidth="1"/>
    <col min="3846" max="3846" width="10.7109375" style="388" bestFit="1" customWidth="1"/>
    <col min="3847" max="3847" width="11.85546875" style="388" bestFit="1" customWidth="1"/>
    <col min="3848" max="3848" width="6" style="388" bestFit="1" customWidth="1"/>
    <col min="3849" max="4096" width="9.140625" style="388"/>
    <col min="4097" max="4097" width="16" style="388" customWidth="1"/>
    <col min="4098" max="4098" width="9.85546875" style="388" bestFit="1" customWidth="1"/>
    <col min="4099" max="4099" width="5" style="388" bestFit="1" customWidth="1"/>
    <col min="4100" max="4100" width="11.5703125" style="388" bestFit="1" customWidth="1"/>
    <col min="4101" max="4101" width="8.42578125" style="388" bestFit="1" customWidth="1"/>
    <col min="4102" max="4102" width="10.7109375" style="388" bestFit="1" customWidth="1"/>
    <col min="4103" max="4103" width="11.85546875" style="388" bestFit="1" customWidth="1"/>
    <col min="4104" max="4104" width="6" style="388" bestFit="1" customWidth="1"/>
    <col min="4105" max="4352" width="9.140625" style="388"/>
    <col min="4353" max="4353" width="16" style="388" customWidth="1"/>
    <col min="4354" max="4354" width="9.85546875" style="388" bestFit="1" customWidth="1"/>
    <col min="4355" max="4355" width="5" style="388" bestFit="1" customWidth="1"/>
    <col min="4356" max="4356" width="11.5703125" style="388" bestFit="1" customWidth="1"/>
    <col min="4357" max="4357" width="8.42578125" style="388" bestFit="1" customWidth="1"/>
    <col min="4358" max="4358" width="10.7109375" style="388" bestFit="1" customWidth="1"/>
    <col min="4359" max="4359" width="11.85546875" style="388" bestFit="1" customWidth="1"/>
    <col min="4360" max="4360" width="6" style="388" bestFit="1" customWidth="1"/>
    <col min="4361" max="4608" width="9.140625" style="388"/>
    <col min="4609" max="4609" width="16" style="388" customWidth="1"/>
    <col min="4610" max="4610" width="9.85546875" style="388" bestFit="1" customWidth="1"/>
    <col min="4611" max="4611" width="5" style="388" bestFit="1" customWidth="1"/>
    <col min="4612" max="4612" width="11.5703125" style="388" bestFit="1" customWidth="1"/>
    <col min="4613" max="4613" width="8.42578125" style="388" bestFit="1" customWidth="1"/>
    <col min="4614" max="4614" width="10.7109375" style="388" bestFit="1" customWidth="1"/>
    <col min="4615" max="4615" width="11.85546875" style="388" bestFit="1" customWidth="1"/>
    <col min="4616" max="4616" width="6" style="388" bestFit="1" customWidth="1"/>
    <col min="4617" max="4864" width="9.140625" style="388"/>
    <col min="4865" max="4865" width="16" style="388" customWidth="1"/>
    <col min="4866" max="4866" width="9.85546875" style="388" bestFit="1" customWidth="1"/>
    <col min="4867" max="4867" width="5" style="388" bestFit="1" customWidth="1"/>
    <col min="4868" max="4868" width="11.5703125" style="388" bestFit="1" customWidth="1"/>
    <col min="4869" max="4869" width="8.42578125" style="388" bestFit="1" customWidth="1"/>
    <col min="4870" max="4870" width="10.7109375" style="388" bestFit="1" customWidth="1"/>
    <col min="4871" max="4871" width="11.85546875" style="388" bestFit="1" customWidth="1"/>
    <col min="4872" max="4872" width="6" style="388" bestFit="1" customWidth="1"/>
    <col min="4873" max="5120" width="9.140625" style="388"/>
    <col min="5121" max="5121" width="16" style="388" customWidth="1"/>
    <col min="5122" max="5122" width="9.85546875" style="388" bestFit="1" customWidth="1"/>
    <col min="5123" max="5123" width="5" style="388" bestFit="1" customWidth="1"/>
    <col min="5124" max="5124" width="11.5703125" style="388" bestFit="1" customWidth="1"/>
    <col min="5125" max="5125" width="8.42578125" style="388" bestFit="1" customWidth="1"/>
    <col min="5126" max="5126" width="10.7109375" style="388" bestFit="1" customWidth="1"/>
    <col min="5127" max="5127" width="11.85546875" style="388" bestFit="1" customWidth="1"/>
    <col min="5128" max="5128" width="6" style="388" bestFit="1" customWidth="1"/>
    <col min="5129" max="5376" width="9.140625" style="388"/>
    <col min="5377" max="5377" width="16" style="388" customWidth="1"/>
    <col min="5378" max="5378" width="9.85546875" style="388" bestFit="1" customWidth="1"/>
    <col min="5379" max="5379" width="5" style="388" bestFit="1" customWidth="1"/>
    <col min="5380" max="5380" width="11.5703125" style="388" bestFit="1" customWidth="1"/>
    <col min="5381" max="5381" width="8.42578125" style="388" bestFit="1" customWidth="1"/>
    <col min="5382" max="5382" width="10.7109375" style="388" bestFit="1" customWidth="1"/>
    <col min="5383" max="5383" width="11.85546875" style="388" bestFit="1" customWidth="1"/>
    <col min="5384" max="5384" width="6" style="388" bestFit="1" customWidth="1"/>
    <col min="5385" max="5632" width="9.140625" style="388"/>
    <col min="5633" max="5633" width="16" style="388" customWidth="1"/>
    <col min="5634" max="5634" width="9.85546875" style="388" bestFit="1" customWidth="1"/>
    <col min="5635" max="5635" width="5" style="388" bestFit="1" customWidth="1"/>
    <col min="5636" max="5636" width="11.5703125" style="388" bestFit="1" customWidth="1"/>
    <col min="5637" max="5637" width="8.42578125" style="388" bestFit="1" customWidth="1"/>
    <col min="5638" max="5638" width="10.7109375" style="388" bestFit="1" customWidth="1"/>
    <col min="5639" max="5639" width="11.85546875" style="388" bestFit="1" customWidth="1"/>
    <col min="5640" max="5640" width="6" style="388" bestFit="1" customWidth="1"/>
    <col min="5641" max="5888" width="9.140625" style="388"/>
    <col min="5889" max="5889" width="16" style="388" customWidth="1"/>
    <col min="5890" max="5890" width="9.85546875" style="388" bestFit="1" customWidth="1"/>
    <col min="5891" max="5891" width="5" style="388" bestFit="1" customWidth="1"/>
    <col min="5892" max="5892" width="11.5703125" style="388" bestFit="1" customWidth="1"/>
    <col min="5893" max="5893" width="8.42578125" style="388" bestFit="1" customWidth="1"/>
    <col min="5894" max="5894" width="10.7109375" style="388" bestFit="1" customWidth="1"/>
    <col min="5895" max="5895" width="11.85546875" style="388" bestFit="1" customWidth="1"/>
    <col min="5896" max="5896" width="6" style="388" bestFit="1" customWidth="1"/>
    <col min="5897" max="6144" width="9.140625" style="388"/>
    <col min="6145" max="6145" width="16" style="388" customWidth="1"/>
    <col min="6146" max="6146" width="9.85546875" style="388" bestFit="1" customWidth="1"/>
    <col min="6147" max="6147" width="5" style="388" bestFit="1" customWidth="1"/>
    <col min="6148" max="6148" width="11.5703125" style="388" bestFit="1" customWidth="1"/>
    <col min="6149" max="6149" width="8.42578125" style="388" bestFit="1" customWidth="1"/>
    <col min="6150" max="6150" width="10.7109375" style="388" bestFit="1" customWidth="1"/>
    <col min="6151" max="6151" width="11.85546875" style="388" bestFit="1" customWidth="1"/>
    <col min="6152" max="6152" width="6" style="388" bestFit="1" customWidth="1"/>
    <col min="6153" max="6400" width="9.140625" style="388"/>
    <col min="6401" max="6401" width="16" style="388" customWidth="1"/>
    <col min="6402" max="6402" width="9.85546875" style="388" bestFit="1" customWidth="1"/>
    <col min="6403" max="6403" width="5" style="388" bestFit="1" customWidth="1"/>
    <col min="6404" max="6404" width="11.5703125" style="388" bestFit="1" customWidth="1"/>
    <col min="6405" max="6405" width="8.42578125" style="388" bestFit="1" customWidth="1"/>
    <col min="6406" max="6406" width="10.7109375" style="388" bestFit="1" customWidth="1"/>
    <col min="6407" max="6407" width="11.85546875" style="388" bestFit="1" customWidth="1"/>
    <col min="6408" max="6408" width="6" style="388" bestFit="1" customWidth="1"/>
    <col min="6409" max="6656" width="9.140625" style="388"/>
    <col min="6657" max="6657" width="16" style="388" customWidth="1"/>
    <col min="6658" max="6658" width="9.85546875" style="388" bestFit="1" customWidth="1"/>
    <col min="6659" max="6659" width="5" style="388" bestFit="1" customWidth="1"/>
    <col min="6660" max="6660" width="11.5703125" style="388" bestFit="1" customWidth="1"/>
    <col min="6661" max="6661" width="8.42578125" style="388" bestFit="1" customWidth="1"/>
    <col min="6662" max="6662" width="10.7109375" style="388" bestFit="1" customWidth="1"/>
    <col min="6663" max="6663" width="11.85546875" style="388" bestFit="1" customWidth="1"/>
    <col min="6664" max="6664" width="6" style="388" bestFit="1" customWidth="1"/>
    <col min="6665" max="6912" width="9.140625" style="388"/>
    <col min="6913" max="6913" width="16" style="388" customWidth="1"/>
    <col min="6914" max="6914" width="9.85546875" style="388" bestFit="1" customWidth="1"/>
    <col min="6915" max="6915" width="5" style="388" bestFit="1" customWidth="1"/>
    <col min="6916" max="6916" width="11.5703125" style="388" bestFit="1" customWidth="1"/>
    <col min="6917" max="6917" width="8.42578125" style="388" bestFit="1" customWidth="1"/>
    <col min="6918" max="6918" width="10.7109375" style="388" bestFit="1" customWidth="1"/>
    <col min="6919" max="6919" width="11.85546875" style="388" bestFit="1" customWidth="1"/>
    <col min="6920" max="6920" width="6" style="388" bestFit="1" customWidth="1"/>
    <col min="6921" max="7168" width="9.140625" style="388"/>
    <col min="7169" max="7169" width="16" style="388" customWidth="1"/>
    <col min="7170" max="7170" width="9.85546875" style="388" bestFit="1" customWidth="1"/>
    <col min="7171" max="7171" width="5" style="388" bestFit="1" customWidth="1"/>
    <col min="7172" max="7172" width="11.5703125" style="388" bestFit="1" customWidth="1"/>
    <col min="7173" max="7173" width="8.42578125" style="388" bestFit="1" customWidth="1"/>
    <col min="7174" max="7174" width="10.7109375" style="388" bestFit="1" customWidth="1"/>
    <col min="7175" max="7175" width="11.85546875" style="388" bestFit="1" customWidth="1"/>
    <col min="7176" max="7176" width="6" style="388" bestFit="1" customWidth="1"/>
    <col min="7177" max="7424" width="9.140625" style="388"/>
    <col min="7425" max="7425" width="16" style="388" customWidth="1"/>
    <col min="7426" max="7426" width="9.85546875" style="388" bestFit="1" customWidth="1"/>
    <col min="7427" max="7427" width="5" style="388" bestFit="1" customWidth="1"/>
    <col min="7428" max="7428" width="11.5703125" style="388" bestFit="1" customWidth="1"/>
    <col min="7429" max="7429" width="8.42578125" style="388" bestFit="1" customWidth="1"/>
    <col min="7430" max="7430" width="10.7109375" style="388" bestFit="1" customWidth="1"/>
    <col min="7431" max="7431" width="11.85546875" style="388" bestFit="1" customWidth="1"/>
    <col min="7432" max="7432" width="6" style="388" bestFit="1" customWidth="1"/>
    <col min="7433" max="7680" width="9.140625" style="388"/>
    <col min="7681" max="7681" width="16" style="388" customWidth="1"/>
    <col min="7682" max="7682" width="9.85546875" style="388" bestFit="1" customWidth="1"/>
    <col min="7683" max="7683" width="5" style="388" bestFit="1" customWidth="1"/>
    <col min="7684" max="7684" width="11.5703125" style="388" bestFit="1" customWidth="1"/>
    <col min="7685" max="7685" width="8.42578125" style="388" bestFit="1" customWidth="1"/>
    <col min="7686" max="7686" width="10.7109375" style="388" bestFit="1" customWidth="1"/>
    <col min="7687" max="7687" width="11.85546875" style="388" bestFit="1" customWidth="1"/>
    <col min="7688" max="7688" width="6" style="388" bestFit="1" customWidth="1"/>
    <col min="7689" max="7936" width="9.140625" style="388"/>
    <col min="7937" max="7937" width="16" style="388" customWidth="1"/>
    <col min="7938" max="7938" width="9.85546875" style="388" bestFit="1" customWidth="1"/>
    <col min="7939" max="7939" width="5" style="388" bestFit="1" customWidth="1"/>
    <col min="7940" max="7940" width="11.5703125" style="388" bestFit="1" customWidth="1"/>
    <col min="7941" max="7941" width="8.42578125" style="388" bestFit="1" customWidth="1"/>
    <col min="7942" max="7942" width="10.7109375" style="388" bestFit="1" customWidth="1"/>
    <col min="7943" max="7943" width="11.85546875" style="388" bestFit="1" customWidth="1"/>
    <col min="7944" max="7944" width="6" style="388" bestFit="1" customWidth="1"/>
    <col min="7945" max="8192" width="9.140625" style="388"/>
    <col min="8193" max="8193" width="16" style="388" customWidth="1"/>
    <col min="8194" max="8194" width="9.85546875" style="388" bestFit="1" customWidth="1"/>
    <col min="8195" max="8195" width="5" style="388" bestFit="1" customWidth="1"/>
    <col min="8196" max="8196" width="11.5703125" style="388" bestFit="1" customWidth="1"/>
    <col min="8197" max="8197" width="8.42578125" style="388" bestFit="1" customWidth="1"/>
    <col min="8198" max="8198" width="10.7109375" style="388" bestFit="1" customWidth="1"/>
    <col min="8199" max="8199" width="11.85546875" style="388" bestFit="1" customWidth="1"/>
    <col min="8200" max="8200" width="6" style="388" bestFit="1" customWidth="1"/>
    <col min="8201" max="8448" width="9.140625" style="388"/>
    <col min="8449" max="8449" width="16" style="388" customWidth="1"/>
    <col min="8450" max="8450" width="9.85546875" style="388" bestFit="1" customWidth="1"/>
    <col min="8451" max="8451" width="5" style="388" bestFit="1" customWidth="1"/>
    <col min="8452" max="8452" width="11.5703125" style="388" bestFit="1" customWidth="1"/>
    <col min="8453" max="8453" width="8.42578125" style="388" bestFit="1" customWidth="1"/>
    <col min="8454" max="8454" width="10.7109375" style="388" bestFit="1" customWidth="1"/>
    <col min="8455" max="8455" width="11.85546875" style="388" bestFit="1" customWidth="1"/>
    <col min="8456" max="8456" width="6" style="388" bestFit="1" customWidth="1"/>
    <col min="8457" max="8704" width="9.140625" style="388"/>
    <col min="8705" max="8705" width="16" style="388" customWidth="1"/>
    <col min="8706" max="8706" width="9.85546875" style="388" bestFit="1" customWidth="1"/>
    <col min="8707" max="8707" width="5" style="388" bestFit="1" customWidth="1"/>
    <col min="8708" max="8708" width="11.5703125" style="388" bestFit="1" customWidth="1"/>
    <col min="8709" max="8709" width="8.42578125" style="388" bestFit="1" customWidth="1"/>
    <col min="8710" max="8710" width="10.7109375" style="388" bestFit="1" customWidth="1"/>
    <col min="8711" max="8711" width="11.85546875" style="388" bestFit="1" customWidth="1"/>
    <col min="8712" max="8712" width="6" style="388" bestFit="1" customWidth="1"/>
    <col min="8713" max="8960" width="9.140625" style="388"/>
    <col min="8961" max="8961" width="16" style="388" customWidth="1"/>
    <col min="8962" max="8962" width="9.85546875" style="388" bestFit="1" customWidth="1"/>
    <col min="8963" max="8963" width="5" style="388" bestFit="1" customWidth="1"/>
    <col min="8964" max="8964" width="11.5703125" style="388" bestFit="1" customWidth="1"/>
    <col min="8965" max="8965" width="8.42578125" style="388" bestFit="1" customWidth="1"/>
    <col min="8966" max="8966" width="10.7109375" style="388" bestFit="1" customWidth="1"/>
    <col min="8967" max="8967" width="11.85546875" style="388" bestFit="1" customWidth="1"/>
    <col min="8968" max="8968" width="6" style="388" bestFit="1" customWidth="1"/>
    <col min="8969" max="9216" width="9.140625" style="388"/>
    <col min="9217" max="9217" width="16" style="388" customWidth="1"/>
    <col min="9218" max="9218" width="9.85546875" style="388" bestFit="1" customWidth="1"/>
    <col min="9219" max="9219" width="5" style="388" bestFit="1" customWidth="1"/>
    <col min="9220" max="9220" width="11.5703125" style="388" bestFit="1" customWidth="1"/>
    <col min="9221" max="9221" width="8.42578125" style="388" bestFit="1" customWidth="1"/>
    <col min="9222" max="9222" width="10.7109375" style="388" bestFit="1" customWidth="1"/>
    <col min="9223" max="9223" width="11.85546875" style="388" bestFit="1" customWidth="1"/>
    <col min="9224" max="9224" width="6" style="388" bestFit="1" customWidth="1"/>
    <col min="9225" max="9472" width="9.140625" style="388"/>
    <col min="9473" max="9473" width="16" style="388" customWidth="1"/>
    <col min="9474" max="9474" width="9.85546875" style="388" bestFit="1" customWidth="1"/>
    <col min="9475" max="9475" width="5" style="388" bestFit="1" customWidth="1"/>
    <col min="9476" max="9476" width="11.5703125" style="388" bestFit="1" customWidth="1"/>
    <col min="9477" max="9477" width="8.42578125" style="388" bestFit="1" customWidth="1"/>
    <col min="9478" max="9478" width="10.7109375" style="388" bestFit="1" customWidth="1"/>
    <col min="9479" max="9479" width="11.85546875" style="388" bestFit="1" customWidth="1"/>
    <col min="9480" max="9480" width="6" style="388" bestFit="1" customWidth="1"/>
    <col min="9481" max="9728" width="9.140625" style="388"/>
    <col min="9729" max="9729" width="16" style="388" customWidth="1"/>
    <col min="9730" max="9730" width="9.85546875" style="388" bestFit="1" customWidth="1"/>
    <col min="9731" max="9731" width="5" style="388" bestFit="1" customWidth="1"/>
    <col min="9732" max="9732" width="11.5703125" style="388" bestFit="1" customWidth="1"/>
    <col min="9733" max="9733" width="8.42578125" style="388" bestFit="1" customWidth="1"/>
    <col min="9734" max="9734" width="10.7109375" style="388" bestFit="1" customWidth="1"/>
    <col min="9735" max="9735" width="11.85546875" style="388" bestFit="1" customWidth="1"/>
    <col min="9736" max="9736" width="6" style="388" bestFit="1" customWidth="1"/>
    <col min="9737" max="9984" width="9.140625" style="388"/>
    <col min="9985" max="9985" width="16" style="388" customWidth="1"/>
    <col min="9986" max="9986" width="9.85546875" style="388" bestFit="1" customWidth="1"/>
    <col min="9987" max="9987" width="5" style="388" bestFit="1" customWidth="1"/>
    <col min="9988" max="9988" width="11.5703125" style="388" bestFit="1" customWidth="1"/>
    <col min="9989" max="9989" width="8.42578125" style="388" bestFit="1" customWidth="1"/>
    <col min="9990" max="9990" width="10.7109375" style="388" bestFit="1" customWidth="1"/>
    <col min="9991" max="9991" width="11.85546875" style="388" bestFit="1" customWidth="1"/>
    <col min="9992" max="9992" width="6" style="388" bestFit="1" customWidth="1"/>
    <col min="9993" max="10240" width="9.140625" style="388"/>
    <col min="10241" max="10241" width="16" style="388" customWidth="1"/>
    <col min="10242" max="10242" width="9.85546875" style="388" bestFit="1" customWidth="1"/>
    <col min="10243" max="10243" width="5" style="388" bestFit="1" customWidth="1"/>
    <col min="10244" max="10244" width="11.5703125" style="388" bestFit="1" customWidth="1"/>
    <col min="10245" max="10245" width="8.42578125" style="388" bestFit="1" customWidth="1"/>
    <col min="10246" max="10246" width="10.7109375" style="388" bestFit="1" customWidth="1"/>
    <col min="10247" max="10247" width="11.85546875" style="388" bestFit="1" customWidth="1"/>
    <col min="10248" max="10248" width="6" style="388" bestFit="1" customWidth="1"/>
    <col min="10249" max="10496" width="9.140625" style="388"/>
    <col min="10497" max="10497" width="16" style="388" customWidth="1"/>
    <col min="10498" max="10498" width="9.85546875" style="388" bestFit="1" customWidth="1"/>
    <col min="10499" max="10499" width="5" style="388" bestFit="1" customWidth="1"/>
    <col min="10500" max="10500" width="11.5703125" style="388" bestFit="1" customWidth="1"/>
    <col min="10501" max="10501" width="8.42578125" style="388" bestFit="1" customWidth="1"/>
    <col min="10502" max="10502" width="10.7109375" style="388" bestFit="1" customWidth="1"/>
    <col min="10503" max="10503" width="11.85546875" style="388" bestFit="1" customWidth="1"/>
    <col min="10504" max="10504" width="6" style="388" bestFit="1" customWidth="1"/>
    <col min="10505" max="10752" width="9.140625" style="388"/>
    <col min="10753" max="10753" width="16" style="388" customWidth="1"/>
    <col min="10754" max="10754" width="9.85546875" style="388" bestFit="1" customWidth="1"/>
    <col min="10755" max="10755" width="5" style="388" bestFit="1" customWidth="1"/>
    <col min="10756" max="10756" width="11.5703125" style="388" bestFit="1" customWidth="1"/>
    <col min="10757" max="10757" width="8.42578125" style="388" bestFit="1" customWidth="1"/>
    <col min="10758" max="10758" width="10.7109375" style="388" bestFit="1" customWidth="1"/>
    <col min="10759" max="10759" width="11.85546875" style="388" bestFit="1" customWidth="1"/>
    <col min="10760" max="10760" width="6" style="388" bestFit="1" customWidth="1"/>
    <col min="10761" max="11008" width="9.140625" style="388"/>
    <col min="11009" max="11009" width="16" style="388" customWidth="1"/>
    <col min="11010" max="11010" width="9.85546875" style="388" bestFit="1" customWidth="1"/>
    <col min="11011" max="11011" width="5" style="388" bestFit="1" customWidth="1"/>
    <col min="11012" max="11012" width="11.5703125" style="388" bestFit="1" customWidth="1"/>
    <col min="11013" max="11013" width="8.42578125" style="388" bestFit="1" customWidth="1"/>
    <col min="11014" max="11014" width="10.7109375" style="388" bestFit="1" customWidth="1"/>
    <col min="11015" max="11015" width="11.85546875" style="388" bestFit="1" customWidth="1"/>
    <col min="11016" max="11016" width="6" style="388" bestFit="1" customWidth="1"/>
    <col min="11017" max="11264" width="9.140625" style="388"/>
    <col min="11265" max="11265" width="16" style="388" customWidth="1"/>
    <col min="11266" max="11266" width="9.85546875" style="388" bestFit="1" customWidth="1"/>
    <col min="11267" max="11267" width="5" style="388" bestFit="1" customWidth="1"/>
    <col min="11268" max="11268" width="11.5703125" style="388" bestFit="1" customWidth="1"/>
    <col min="11269" max="11269" width="8.42578125" style="388" bestFit="1" customWidth="1"/>
    <col min="11270" max="11270" width="10.7109375" style="388" bestFit="1" customWidth="1"/>
    <col min="11271" max="11271" width="11.85546875" style="388" bestFit="1" customWidth="1"/>
    <col min="11272" max="11272" width="6" style="388" bestFit="1" customWidth="1"/>
    <col min="11273" max="11520" width="9.140625" style="388"/>
    <col min="11521" max="11521" width="16" style="388" customWidth="1"/>
    <col min="11522" max="11522" width="9.85546875" style="388" bestFit="1" customWidth="1"/>
    <col min="11523" max="11523" width="5" style="388" bestFit="1" customWidth="1"/>
    <col min="11524" max="11524" width="11.5703125" style="388" bestFit="1" customWidth="1"/>
    <col min="11525" max="11525" width="8.42578125" style="388" bestFit="1" customWidth="1"/>
    <col min="11526" max="11526" width="10.7109375" style="388" bestFit="1" customWidth="1"/>
    <col min="11527" max="11527" width="11.85546875" style="388" bestFit="1" customWidth="1"/>
    <col min="11528" max="11528" width="6" style="388" bestFit="1" customWidth="1"/>
    <col min="11529" max="11776" width="9.140625" style="388"/>
    <col min="11777" max="11777" width="16" style="388" customWidth="1"/>
    <col min="11778" max="11778" width="9.85546875" style="388" bestFit="1" customWidth="1"/>
    <col min="11779" max="11779" width="5" style="388" bestFit="1" customWidth="1"/>
    <col min="11780" max="11780" width="11.5703125" style="388" bestFit="1" customWidth="1"/>
    <col min="11781" max="11781" width="8.42578125" style="388" bestFit="1" customWidth="1"/>
    <col min="11782" max="11782" width="10.7109375" style="388" bestFit="1" customWidth="1"/>
    <col min="11783" max="11783" width="11.85546875" style="388" bestFit="1" customWidth="1"/>
    <col min="11784" max="11784" width="6" style="388" bestFit="1" customWidth="1"/>
    <col min="11785" max="12032" width="9.140625" style="388"/>
    <col min="12033" max="12033" width="16" style="388" customWidth="1"/>
    <col min="12034" max="12034" width="9.85546875" style="388" bestFit="1" customWidth="1"/>
    <col min="12035" max="12035" width="5" style="388" bestFit="1" customWidth="1"/>
    <col min="12036" max="12036" width="11.5703125" style="388" bestFit="1" customWidth="1"/>
    <col min="12037" max="12037" width="8.42578125" style="388" bestFit="1" customWidth="1"/>
    <col min="12038" max="12038" width="10.7109375" style="388" bestFit="1" customWidth="1"/>
    <col min="12039" max="12039" width="11.85546875" style="388" bestFit="1" customWidth="1"/>
    <col min="12040" max="12040" width="6" style="388" bestFit="1" customWidth="1"/>
    <col min="12041" max="12288" width="9.140625" style="388"/>
    <col min="12289" max="12289" width="16" style="388" customWidth="1"/>
    <col min="12290" max="12290" width="9.85546875" style="388" bestFit="1" customWidth="1"/>
    <col min="12291" max="12291" width="5" style="388" bestFit="1" customWidth="1"/>
    <col min="12292" max="12292" width="11.5703125" style="388" bestFit="1" customWidth="1"/>
    <col min="12293" max="12293" width="8.42578125" style="388" bestFit="1" customWidth="1"/>
    <col min="12294" max="12294" width="10.7109375" style="388" bestFit="1" customWidth="1"/>
    <col min="12295" max="12295" width="11.85546875" style="388" bestFit="1" customWidth="1"/>
    <col min="12296" max="12296" width="6" style="388" bestFit="1" customWidth="1"/>
    <col min="12297" max="12544" width="9.140625" style="388"/>
    <col min="12545" max="12545" width="16" style="388" customWidth="1"/>
    <col min="12546" max="12546" width="9.85546875" style="388" bestFit="1" customWidth="1"/>
    <col min="12547" max="12547" width="5" style="388" bestFit="1" customWidth="1"/>
    <col min="12548" max="12548" width="11.5703125" style="388" bestFit="1" customWidth="1"/>
    <col min="12549" max="12549" width="8.42578125" style="388" bestFit="1" customWidth="1"/>
    <col min="12550" max="12550" width="10.7109375" style="388" bestFit="1" customWidth="1"/>
    <col min="12551" max="12551" width="11.85546875" style="388" bestFit="1" customWidth="1"/>
    <col min="12552" max="12552" width="6" style="388" bestFit="1" customWidth="1"/>
    <col min="12553" max="12800" width="9.140625" style="388"/>
    <col min="12801" max="12801" width="16" style="388" customWidth="1"/>
    <col min="12802" max="12802" width="9.85546875" style="388" bestFit="1" customWidth="1"/>
    <col min="12803" max="12803" width="5" style="388" bestFit="1" customWidth="1"/>
    <col min="12804" max="12804" width="11.5703125" style="388" bestFit="1" customWidth="1"/>
    <col min="12805" max="12805" width="8.42578125" style="388" bestFit="1" customWidth="1"/>
    <col min="12806" max="12806" width="10.7109375" style="388" bestFit="1" customWidth="1"/>
    <col min="12807" max="12807" width="11.85546875" style="388" bestFit="1" customWidth="1"/>
    <col min="12808" max="12808" width="6" style="388" bestFit="1" customWidth="1"/>
    <col min="12809" max="13056" width="9.140625" style="388"/>
    <col min="13057" max="13057" width="16" style="388" customWidth="1"/>
    <col min="13058" max="13058" width="9.85546875" style="388" bestFit="1" customWidth="1"/>
    <col min="13059" max="13059" width="5" style="388" bestFit="1" customWidth="1"/>
    <col min="13060" max="13060" width="11.5703125" style="388" bestFit="1" customWidth="1"/>
    <col min="13061" max="13061" width="8.42578125" style="388" bestFit="1" customWidth="1"/>
    <col min="13062" max="13062" width="10.7109375" style="388" bestFit="1" customWidth="1"/>
    <col min="13063" max="13063" width="11.85546875" style="388" bestFit="1" customWidth="1"/>
    <col min="13064" max="13064" width="6" style="388" bestFit="1" customWidth="1"/>
    <col min="13065" max="13312" width="9.140625" style="388"/>
    <col min="13313" max="13313" width="16" style="388" customWidth="1"/>
    <col min="13314" max="13314" width="9.85546875" style="388" bestFit="1" customWidth="1"/>
    <col min="13315" max="13315" width="5" style="388" bestFit="1" customWidth="1"/>
    <col min="13316" max="13316" width="11.5703125" style="388" bestFit="1" customWidth="1"/>
    <col min="13317" max="13317" width="8.42578125" style="388" bestFit="1" customWidth="1"/>
    <col min="13318" max="13318" width="10.7109375" style="388" bestFit="1" customWidth="1"/>
    <col min="13319" max="13319" width="11.85546875" style="388" bestFit="1" customWidth="1"/>
    <col min="13320" max="13320" width="6" style="388" bestFit="1" customWidth="1"/>
    <col min="13321" max="13568" width="9.140625" style="388"/>
    <col min="13569" max="13569" width="16" style="388" customWidth="1"/>
    <col min="13570" max="13570" width="9.85546875" style="388" bestFit="1" customWidth="1"/>
    <col min="13571" max="13571" width="5" style="388" bestFit="1" customWidth="1"/>
    <col min="13572" max="13572" width="11.5703125" style="388" bestFit="1" customWidth="1"/>
    <col min="13573" max="13573" width="8.42578125" style="388" bestFit="1" customWidth="1"/>
    <col min="13574" max="13574" width="10.7109375" style="388" bestFit="1" customWidth="1"/>
    <col min="13575" max="13575" width="11.85546875" style="388" bestFit="1" customWidth="1"/>
    <col min="13576" max="13576" width="6" style="388" bestFit="1" customWidth="1"/>
    <col min="13577" max="13824" width="9.140625" style="388"/>
    <col min="13825" max="13825" width="16" style="388" customWidth="1"/>
    <col min="13826" max="13826" width="9.85546875" style="388" bestFit="1" customWidth="1"/>
    <col min="13827" max="13827" width="5" style="388" bestFit="1" customWidth="1"/>
    <col min="13828" max="13828" width="11.5703125" style="388" bestFit="1" customWidth="1"/>
    <col min="13829" max="13829" width="8.42578125" style="388" bestFit="1" customWidth="1"/>
    <col min="13830" max="13830" width="10.7109375" style="388" bestFit="1" customWidth="1"/>
    <col min="13831" max="13831" width="11.85546875" style="388" bestFit="1" customWidth="1"/>
    <col min="13832" max="13832" width="6" style="388" bestFit="1" customWidth="1"/>
    <col min="13833" max="14080" width="9.140625" style="388"/>
    <col min="14081" max="14081" width="16" style="388" customWidth="1"/>
    <col min="14082" max="14082" width="9.85546875" style="388" bestFit="1" customWidth="1"/>
    <col min="14083" max="14083" width="5" style="388" bestFit="1" customWidth="1"/>
    <col min="14084" max="14084" width="11.5703125" style="388" bestFit="1" customWidth="1"/>
    <col min="14085" max="14085" width="8.42578125" style="388" bestFit="1" customWidth="1"/>
    <col min="14086" max="14086" width="10.7109375" style="388" bestFit="1" customWidth="1"/>
    <col min="14087" max="14087" width="11.85546875" style="388" bestFit="1" customWidth="1"/>
    <col min="14088" max="14088" width="6" style="388" bestFit="1" customWidth="1"/>
    <col min="14089" max="14336" width="9.140625" style="388"/>
    <col min="14337" max="14337" width="16" style="388" customWidth="1"/>
    <col min="14338" max="14338" width="9.85546875" style="388" bestFit="1" customWidth="1"/>
    <col min="14339" max="14339" width="5" style="388" bestFit="1" customWidth="1"/>
    <col min="14340" max="14340" width="11.5703125" style="388" bestFit="1" customWidth="1"/>
    <col min="14341" max="14341" width="8.42578125" style="388" bestFit="1" customWidth="1"/>
    <col min="14342" max="14342" width="10.7109375" style="388" bestFit="1" customWidth="1"/>
    <col min="14343" max="14343" width="11.85546875" style="388" bestFit="1" customWidth="1"/>
    <col min="14344" max="14344" width="6" style="388" bestFit="1" customWidth="1"/>
    <col min="14345" max="14592" width="9.140625" style="388"/>
    <col min="14593" max="14593" width="16" style="388" customWidth="1"/>
    <col min="14594" max="14594" width="9.85546875" style="388" bestFit="1" customWidth="1"/>
    <col min="14595" max="14595" width="5" style="388" bestFit="1" customWidth="1"/>
    <col min="14596" max="14596" width="11.5703125" style="388" bestFit="1" customWidth="1"/>
    <col min="14597" max="14597" width="8.42578125" style="388" bestFit="1" customWidth="1"/>
    <col min="14598" max="14598" width="10.7109375" style="388" bestFit="1" customWidth="1"/>
    <col min="14599" max="14599" width="11.85546875" style="388" bestFit="1" customWidth="1"/>
    <col min="14600" max="14600" width="6" style="388" bestFit="1" customWidth="1"/>
    <col min="14601" max="14848" width="9.140625" style="388"/>
    <col min="14849" max="14849" width="16" style="388" customWidth="1"/>
    <col min="14850" max="14850" width="9.85546875" style="388" bestFit="1" customWidth="1"/>
    <col min="14851" max="14851" width="5" style="388" bestFit="1" customWidth="1"/>
    <col min="14852" max="14852" width="11.5703125" style="388" bestFit="1" customWidth="1"/>
    <col min="14853" max="14853" width="8.42578125" style="388" bestFit="1" customWidth="1"/>
    <col min="14854" max="14854" width="10.7109375" style="388" bestFit="1" customWidth="1"/>
    <col min="14855" max="14855" width="11.85546875" style="388" bestFit="1" customWidth="1"/>
    <col min="14856" max="14856" width="6" style="388" bestFit="1" customWidth="1"/>
    <col min="14857" max="15104" width="9.140625" style="388"/>
    <col min="15105" max="15105" width="16" style="388" customWidth="1"/>
    <col min="15106" max="15106" width="9.85546875" style="388" bestFit="1" customWidth="1"/>
    <col min="15107" max="15107" width="5" style="388" bestFit="1" customWidth="1"/>
    <col min="15108" max="15108" width="11.5703125" style="388" bestFit="1" customWidth="1"/>
    <col min="15109" max="15109" width="8.42578125" style="388" bestFit="1" customWidth="1"/>
    <col min="15110" max="15110" width="10.7109375" style="388" bestFit="1" customWidth="1"/>
    <col min="15111" max="15111" width="11.85546875" style="388" bestFit="1" customWidth="1"/>
    <col min="15112" max="15112" width="6" style="388" bestFit="1" customWidth="1"/>
    <col min="15113" max="15360" width="9.140625" style="388"/>
    <col min="15361" max="15361" width="16" style="388" customWidth="1"/>
    <col min="15362" max="15362" width="9.85546875" style="388" bestFit="1" customWidth="1"/>
    <col min="15363" max="15363" width="5" style="388" bestFit="1" customWidth="1"/>
    <col min="15364" max="15364" width="11.5703125" style="388" bestFit="1" customWidth="1"/>
    <col min="15365" max="15365" width="8.42578125" style="388" bestFit="1" customWidth="1"/>
    <col min="15366" max="15366" width="10.7109375" style="388" bestFit="1" customWidth="1"/>
    <col min="15367" max="15367" width="11.85546875" style="388" bestFit="1" customWidth="1"/>
    <col min="15368" max="15368" width="6" style="388" bestFit="1" customWidth="1"/>
    <col min="15369" max="15616" width="9.140625" style="388"/>
    <col min="15617" max="15617" width="16" style="388" customWidth="1"/>
    <col min="15618" max="15618" width="9.85546875" style="388" bestFit="1" customWidth="1"/>
    <col min="15619" max="15619" width="5" style="388" bestFit="1" customWidth="1"/>
    <col min="15620" max="15620" width="11.5703125" style="388" bestFit="1" customWidth="1"/>
    <col min="15621" max="15621" width="8.42578125" style="388" bestFit="1" customWidth="1"/>
    <col min="15622" max="15622" width="10.7109375" style="388" bestFit="1" customWidth="1"/>
    <col min="15623" max="15623" width="11.85546875" style="388" bestFit="1" customWidth="1"/>
    <col min="15624" max="15624" width="6" style="388" bestFit="1" customWidth="1"/>
    <col min="15625" max="15872" width="9.140625" style="388"/>
    <col min="15873" max="15873" width="16" style="388" customWidth="1"/>
    <col min="15874" max="15874" width="9.85546875" style="388" bestFit="1" customWidth="1"/>
    <col min="15875" max="15875" width="5" style="388" bestFit="1" customWidth="1"/>
    <col min="15876" max="15876" width="11.5703125" style="388" bestFit="1" customWidth="1"/>
    <col min="15877" max="15877" width="8.42578125" style="388" bestFit="1" customWidth="1"/>
    <col min="15878" max="15878" width="10.7109375" style="388" bestFit="1" customWidth="1"/>
    <col min="15879" max="15879" width="11.85546875" style="388" bestFit="1" customWidth="1"/>
    <col min="15880" max="15880" width="6" style="388" bestFit="1" customWidth="1"/>
    <col min="15881" max="16128" width="9.140625" style="388"/>
    <col min="16129" max="16129" width="16" style="388" customWidth="1"/>
    <col min="16130" max="16130" width="9.85546875" style="388" bestFit="1" customWidth="1"/>
    <col min="16131" max="16131" width="5" style="388" bestFit="1" customWidth="1"/>
    <col min="16132" max="16132" width="11.5703125" style="388" bestFit="1" customWidth="1"/>
    <col min="16133" max="16133" width="8.42578125" style="388" bestFit="1" customWidth="1"/>
    <col min="16134" max="16134" width="10.7109375" style="388" bestFit="1" customWidth="1"/>
    <col min="16135" max="16135" width="11.85546875" style="388" bestFit="1" customWidth="1"/>
    <col min="16136" max="16136" width="6" style="388" bestFit="1" customWidth="1"/>
    <col min="16137" max="16384" width="9.140625" style="388"/>
  </cols>
  <sheetData>
    <row r="1" spans="1:8">
      <c r="A1" s="682" t="s">
        <v>52</v>
      </c>
      <c r="D1" s="387"/>
      <c r="E1" s="683"/>
      <c r="F1" s="387"/>
      <c r="H1" s="684"/>
    </row>
    <row r="2" spans="1:8">
      <c r="A2" s="682" t="s">
        <v>225</v>
      </c>
      <c r="D2" s="387"/>
      <c r="E2" s="683"/>
      <c r="F2" s="387"/>
    </row>
    <row r="3" spans="1:8">
      <c r="A3" s="682" t="s">
        <v>607</v>
      </c>
      <c r="D3" s="387"/>
      <c r="E3" s="683"/>
      <c r="F3" s="387"/>
    </row>
    <row r="4" spans="1:8">
      <c r="D4" s="387"/>
      <c r="E4" s="683"/>
      <c r="F4" s="387"/>
      <c r="H4" s="387"/>
    </row>
    <row r="5" spans="1:8">
      <c r="D5" s="387"/>
      <c r="E5" s="683"/>
      <c r="F5" s="387"/>
    </row>
    <row r="6" spans="1:8">
      <c r="D6" s="387"/>
      <c r="E6" s="683"/>
      <c r="F6" s="387"/>
      <c r="H6" s="387"/>
    </row>
    <row r="7" spans="1:8">
      <c r="D7" s="387"/>
      <c r="E7" s="683"/>
      <c r="F7" s="387"/>
      <c r="H7" s="387"/>
    </row>
    <row r="8" spans="1:8">
      <c r="C8" s="387"/>
      <c r="D8" s="387"/>
      <c r="E8" s="685" t="s">
        <v>405</v>
      </c>
      <c r="F8" s="387"/>
      <c r="G8" s="387"/>
      <c r="H8" s="387" t="s">
        <v>439</v>
      </c>
    </row>
    <row r="9" spans="1:8">
      <c r="C9" s="397" t="s">
        <v>407</v>
      </c>
      <c r="D9" s="686" t="s">
        <v>408</v>
      </c>
      <c r="E9" s="687" t="s">
        <v>409</v>
      </c>
      <c r="F9" s="397" t="s">
        <v>410</v>
      </c>
      <c r="G9" s="686" t="s">
        <v>411</v>
      </c>
      <c r="H9" s="397" t="s">
        <v>412</v>
      </c>
    </row>
    <row r="10" spans="1:8">
      <c r="C10" s="397"/>
      <c r="D10" s="686"/>
      <c r="E10" s="687"/>
      <c r="F10" s="397"/>
      <c r="G10" s="686"/>
      <c r="H10" s="397"/>
    </row>
    <row r="11" spans="1:8">
      <c r="A11" s="688" t="s">
        <v>459</v>
      </c>
      <c r="C11" s="423"/>
      <c r="D11" s="394"/>
      <c r="E11" s="689"/>
      <c r="F11" s="394"/>
      <c r="G11" s="690"/>
      <c r="H11" s="691"/>
    </row>
    <row r="12" spans="1:8">
      <c r="A12" s="692" t="s">
        <v>468</v>
      </c>
      <c r="C12" s="693">
        <v>500</v>
      </c>
      <c r="D12" s="694" t="s">
        <v>443</v>
      </c>
      <c r="E12" s="695">
        <f>'[9]Adj. By Account (TC)'!H8</f>
        <v>619307.06917103822</v>
      </c>
      <c r="F12" s="696" t="s">
        <v>469</v>
      </c>
      <c r="G12" s="690">
        <v>0</v>
      </c>
      <c r="H12" s="697" t="s">
        <v>615</v>
      </c>
    </row>
    <row r="13" spans="1:8">
      <c r="A13" s="692" t="s">
        <v>468</v>
      </c>
      <c r="C13" s="698">
        <v>500</v>
      </c>
      <c r="D13" s="694" t="s">
        <v>443</v>
      </c>
      <c r="E13" s="695">
        <f>'[9]Adj. By Account (TC)'!H9</f>
        <v>15.505817338103116</v>
      </c>
      <c r="F13" s="696" t="s">
        <v>456</v>
      </c>
      <c r="G13" s="690">
        <v>0.22474202685414957</v>
      </c>
      <c r="H13" s="697" t="s">
        <v>615</v>
      </c>
    </row>
    <row r="14" spans="1:8">
      <c r="A14" s="692" t="s">
        <v>468</v>
      </c>
      <c r="C14" s="698">
        <v>500</v>
      </c>
      <c r="D14" s="694" t="s">
        <v>443</v>
      </c>
      <c r="E14" s="695">
        <f>'[9]Adj. By Account (TC)'!H10</f>
        <v>81096.214420494012</v>
      </c>
      <c r="F14" s="696" t="s">
        <v>470</v>
      </c>
      <c r="G14" s="690">
        <v>0.21559502636118569</v>
      </c>
      <c r="H14" s="697" t="s">
        <v>615</v>
      </c>
    </row>
    <row r="15" spans="1:8">
      <c r="A15" s="692" t="s">
        <v>468</v>
      </c>
      <c r="C15" s="698">
        <v>500</v>
      </c>
      <c r="D15" s="694" t="s">
        <v>443</v>
      </c>
      <c r="E15" s="695">
        <f>'[9]Adj. By Account (TC)'!H11</f>
        <v>358.94330700297468</v>
      </c>
      <c r="F15" s="696" t="s">
        <v>429</v>
      </c>
      <c r="G15" s="690">
        <v>8.1413745949899169E-2</v>
      </c>
      <c r="H15" s="697" t="s">
        <v>615</v>
      </c>
    </row>
    <row r="16" spans="1:8">
      <c r="A16" s="692" t="s">
        <v>471</v>
      </c>
      <c r="C16" s="698">
        <v>501</v>
      </c>
      <c r="D16" s="694" t="s">
        <v>443</v>
      </c>
      <c r="E16" s="695">
        <f>'[9]Adj. By Account (TC)'!H12</f>
        <v>17277.931465552971</v>
      </c>
      <c r="F16" s="696" t="s">
        <v>472</v>
      </c>
      <c r="G16" s="690">
        <v>0</v>
      </c>
      <c r="H16" s="697" t="s">
        <v>615</v>
      </c>
    </row>
    <row r="17" spans="1:8">
      <c r="A17" s="692" t="s">
        <v>471</v>
      </c>
      <c r="C17" s="698">
        <v>501</v>
      </c>
      <c r="D17" s="694" t="s">
        <v>443</v>
      </c>
      <c r="E17" s="695">
        <f>'[9]Adj. By Account (TC)'!H13</f>
        <v>15314.60036078938</v>
      </c>
      <c r="F17" s="696" t="s">
        <v>469</v>
      </c>
      <c r="G17" s="690">
        <v>0</v>
      </c>
      <c r="H17" s="697" t="s">
        <v>615</v>
      </c>
    </row>
    <row r="18" spans="1:8">
      <c r="A18" s="692" t="s">
        <v>471</v>
      </c>
      <c r="C18" s="698">
        <v>501</v>
      </c>
      <c r="D18" s="694" t="s">
        <v>443</v>
      </c>
      <c r="E18" s="695">
        <f>'[9]Adj. By Account (TC)'!H14</f>
        <v>-15794.35708155513</v>
      </c>
      <c r="F18" s="696" t="s">
        <v>473</v>
      </c>
      <c r="G18" s="690">
        <v>0.21415849143671642</v>
      </c>
      <c r="H18" s="697" t="s">
        <v>615</v>
      </c>
    </row>
    <row r="19" spans="1:8">
      <c r="A19" s="692" t="s">
        <v>471</v>
      </c>
      <c r="C19" s="698">
        <v>501</v>
      </c>
      <c r="D19" s="694" t="s">
        <v>443</v>
      </c>
      <c r="E19" s="695">
        <f>'[9]Adj. By Account (TC)'!H15</f>
        <v>-1158.7952293570213</v>
      </c>
      <c r="F19" s="696" t="s">
        <v>430</v>
      </c>
      <c r="G19" s="690">
        <v>7.6865230547261701E-2</v>
      </c>
      <c r="H19" s="697" t="s">
        <v>615</v>
      </c>
    </row>
    <row r="20" spans="1:8">
      <c r="A20" s="692" t="s">
        <v>474</v>
      </c>
      <c r="C20" s="698">
        <v>512</v>
      </c>
      <c r="D20" s="694" t="s">
        <v>443</v>
      </c>
      <c r="E20" s="695">
        <f>'[9]Adj. By Account (TC)'!H16</f>
        <v>298579.70014015422</v>
      </c>
      <c r="F20" s="696" t="s">
        <v>469</v>
      </c>
      <c r="G20" s="690">
        <v>0</v>
      </c>
      <c r="H20" s="697" t="s">
        <v>615</v>
      </c>
    </row>
    <row r="21" spans="1:8">
      <c r="A21" s="692" t="s">
        <v>474</v>
      </c>
      <c r="C21" s="698">
        <v>512</v>
      </c>
      <c r="D21" s="694" t="s">
        <v>443</v>
      </c>
      <c r="E21" s="695">
        <f>'[9]Adj. By Account (TC)'!H17</f>
        <v>-535.17002587517288</v>
      </c>
      <c r="F21" s="696" t="s">
        <v>456</v>
      </c>
      <c r="G21" s="690">
        <v>0.22474202685414957</v>
      </c>
      <c r="H21" s="697" t="s">
        <v>615</v>
      </c>
    </row>
    <row r="22" spans="1:8">
      <c r="A22" s="692" t="s">
        <v>474</v>
      </c>
      <c r="C22" s="698">
        <v>512</v>
      </c>
      <c r="D22" s="694" t="s">
        <v>443</v>
      </c>
      <c r="E22" s="695">
        <f>'[9]Adj. By Account (TC)'!H18</f>
        <v>174044.20801441063</v>
      </c>
      <c r="F22" s="696" t="s">
        <v>470</v>
      </c>
      <c r="G22" s="690">
        <v>0.21559502636118569</v>
      </c>
      <c r="H22" s="697" t="s">
        <v>615</v>
      </c>
    </row>
    <row r="23" spans="1:8">
      <c r="A23" s="692" t="s">
        <v>475</v>
      </c>
      <c r="C23" s="699">
        <v>535</v>
      </c>
      <c r="D23" s="694" t="s">
        <v>443</v>
      </c>
      <c r="E23" s="695">
        <f>'[9]Adj. By Account (TC)'!H19</f>
        <v>62635.450968931138</v>
      </c>
      <c r="F23" s="696" t="s">
        <v>469</v>
      </c>
      <c r="G23" s="690">
        <v>0</v>
      </c>
      <c r="H23" s="697" t="s">
        <v>615</v>
      </c>
    </row>
    <row r="24" spans="1:8">
      <c r="A24" s="692" t="s">
        <v>475</v>
      </c>
      <c r="C24" s="699">
        <v>535</v>
      </c>
      <c r="D24" s="694" t="s">
        <v>443</v>
      </c>
      <c r="E24" s="695">
        <f>'[9]Adj. By Account (TC)'!H20</f>
        <v>79511.589776528141</v>
      </c>
      <c r="F24" s="696" t="s">
        <v>456</v>
      </c>
      <c r="G24" s="690">
        <v>0.22474202685414957</v>
      </c>
      <c r="H24" s="697" t="s">
        <v>615</v>
      </c>
    </row>
    <row r="25" spans="1:8">
      <c r="A25" s="692" t="s">
        <v>476</v>
      </c>
      <c r="C25" s="699">
        <v>545</v>
      </c>
      <c r="D25" s="694" t="s">
        <v>443</v>
      </c>
      <c r="E25" s="695">
        <f>'[9]Adj. By Account (TC)'!H21</f>
        <v>10635.623746818832</v>
      </c>
      <c r="F25" s="696" t="s">
        <v>469</v>
      </c>
      <c r="G25" s="690">
        <v>0</v>
      </c>
      <c r="H25" s="697" t="s">
        <v>615</v>
      </c>
    </row>
    <row r="26" spans="1:8">
      <c r="A26" s="692" t="s">
        <v>476</v>
      </c>
      <c r="C26" s="699">
        <v>545</v>
      </c>
      <c r="D26" s="694" t="s">
        <v>443</v>
      </c>
      <c r="E26" s="695">
        <f>'[9]Adj. By Account (TC)'!H22</f>
        <v>20851.183315552724</v>
      </c>
      <c r="F26" s="696" t="s">
        <v>456</v>
      </c>
      <c r="G26" s="690">
        <v>0.22474202685414957</v>
      </c>
      <c r="H26" s="697" t="s">
        <v>615</v>
      </c>
    </row>
    <row r="27" spans="1:8">
      <c r="A27" s="692" t="s">
        <v>477</v>
      </c>
      <c r="C27" s="699">
        <v>548</v>
      </c>
      <c r="D27" s="694" t="s">
        <v>443</v>
      </c>
      <c r="E27" s="695">
        <f>'[9]Adj. By Account (TC)'!H23</f>
        <v>48065.625898629609</v>
      </c>
      <c r="F27" s="696" t="s">
        <v>469</v>
      </c>
      <c r="G27" s="690">
        <v>0</v>
      </c>
      <c r="H27" s="697" t="s">
        <v>615</v>
      </c>
    </row>
    <row r="28" spans="1:8">
      <c r="A28" s="692" t="s">
        <v>477</v>
      </c>
      <c r="C28" s="699">
        <v>548</v>
      </c>
      <c r="D28" s="694" t="s">
        <v>443</v>
      </c>
      <c r="E28" s="695">
        <f>'[9]Adj. By Account (TC)'!H24</f>
        <v>16254.421168096207</v>
      </c>
      <c r="F28" s="696" t="s">
        <v>456</v>
      </c>
      <c r="G28" s="690">
        <v>0.22474202685414957</v>
      </c>
      <c r="H28" s="697" t="s">
        <v>615</v>
      </c>
    </row>
    <row r="29" spans="1:8">
      <c r="A29" s="692" t="s">
        <v>477</v>
      </c>
      <c r="C29" s="699">
        <v>548</v>
      </c>
      <c r="D29" s="694" t="s">
        <v>443</v>
      </c>
      <c r="E29" s="695">
        <f>'[9]Adj. By Account (TC)'!H25</f>
        <v>11735.757442395392</v>
      </c>
      <c r="F29" s="696" t="s">
        <v>429</v>
      </c>
      <c r="G29" s="690">
        <v>8.1413745949899169E-2</v>
      </c>
      <c r="H29" s="697" t="s">
        <v>615</v>
      </c>
    </row>
    <row r="30" spans="1:8">
      <c r="A30" s="692" t="s">
        <v>478</v>
      </c>
      <c r="C30" s="699">
        <v>553</v>
      </c>
      <c r="D30" s="694" t="s">
        <v>443</v>
      </c>
      <c r="E30" s="695">
        <f>'[9]Adj. By Account (TC)'!H26</f>
        <v>17923.530405825139</v>
      </c>
      <c r="F30" s="696" t="s">
        <v>469</v>
      </c>
      <c r="G30" s="690">
        <v>0</v>
      </c>
      <c r="H30" s="697" t="s">
        <v>615</v>
      </c>
    </row>
    <row r="31" spans="1:8">
      <c r="A31" s="692" t="s">
        <v>478</v>
      </c>
      <c r="C31" s="699">
        <v>553</v>
      </c>
      <c r="D31" s="694" t="s">
        <v>443</v>
      </c>
      <c r="E31" s="695">
        <f>'[9]Adj. By Account (TC)'!H27</f>
        <v>4770.2261143941496</v>
      </c>
      <c r="F31" s="696" t="s">
        <v>456</v>
      </c>
      <c r="G31" s="690">
        <v>0.22474202685414957</v>
      </c>
      <c r="H31" s="697" t="s">
        <v>615</v>
      </c>
    </row>
    <row r="32" spans="1:8">
      <c r="A32" s="692" t="s">
        <v>479</v>
      </c>
      <c r="C32" s="699">
        <v>557</v>
      </c>
      <c r="D32" s="694" t="s">
        <v>443</v>
      </c>
      <c r="E32" s="695">
        <f>'[9]Adj. By Account (TC)'!H28</f>
        <v>82358.754962034101</v>
      </c>
      <c r="F32" s="696" t="s">
        <v>469</v>
      </c>
      <c r="G32" s="690">
        <v>0</v>
      </c>
      <c r="H32" s="697" t="s">
        <v>615</v>
      </c>
    </row>
    <row r="33" spans="1:8">
      <c r="A33" s="692" t="s">
        <v>479</v>
      </c>
      <c r="C33" s="699">
        <v>557</v>
      </c>
      <c r="D33" s="694" t="s">
        <v>443</v>
      </c>
      <c r="E33" s="695">
        <f>'[9]Adj. By Account (TC)'!H29</f>
        <v>1307.312779961358</v>
      </c>
      <c r="F33" s="696" t="s">
        <v>456</v>
      </c>
      <c r="G33" s="690">
        <v>0.22474202685414957</v>
      </c>
      <c r="H33" s="697" t="s">
        <v>615</v>
      </c>
    </row>
    <row r="34" spans="1:8">
      <c r="A34" s="692" t="s">
        <v>479</v>
      </c>
      <c r="C34" s="699">
        <v>557</v>
      </c>
      <c r="D34" s="694" t="s">
        <v>443</v>
      </c>
      <c r="E34" s="695">
        <f>'[9]Adj. By Account (TC)'!H30</f>
        <v>17205.131152797705</v>
      </c>
      <c r="F34" s="696" t="s">
        <v>470</v>
      </c>
      <c r="G34" s="690">
        <v>0.21559502636118569</v>
      </c>
      <c r="H34" s="697" t="s">
        <v>615</v>
      </c>
    </row>
    <row r="35" spans="1:8">
      <c r="A35" s="692" t="s">
        <v>479</v>
      </c>
      <c r="C35" s="699">
        <v>557</v>
      </c>
      <c r="D35" s="694" t="s">
        <v>443</v>
      </c>
      <c r="E35" s="695">
        <f>'[9]Adj. By Account (TC)'!H31</f>
        <v>212783.46682186262</v>
      </c>
      <c r="F35" s="696" t="s">
        <v>429</v>
      </c>
      <c r="G35" s="690">
        <v>8.1413745949899169E-2</v>
      </c>
      <c r="H35" s="697" t="s">
        <v>615</v>
      </c>
    </row>
    <row r="36" spans="1:8">
      <c r="A36" s="692" t="s">
        <v>480</v>
      </c>
      <c r="C36" s="699">
        <v>560</v>
      </c>
      <c r="D36" s="694" t="s">
        <v>443</v>
      </c>
      <c r="E36" s="695">
        <f>'[9]Adj. By Account (TC)'!H32</f>
        <v>22088.108336984045</v>
      </c>
      <c r="F36" s="696" t="s">
        <v>469</v>
      </c>
      <c r="G36" s="690">
        <v>0</v>
      </c>
      <c r="H36" s="697" t="s">
        <v>615</v>
      </c>
    </row>
    <row r="37" spans="1:8">
      <c r="A37" s="692" t="s">
        <v>480</v>
      </c>
      <c r="C37" s="699">
        <v>560</v>
      </c>
      <c r="D37" s="694" t="s">
        <v>443</v>
      </c>
      <c r="E37" s="695">
        <f>'[9]Adj. By Account (TC)'!H33</f>
        <v>7777.3008399582995</v>
      </c>
      <c r="F37" s="696" t="s">
        <v>456</v>
      </c>
      <c r="G37" s="690">
        <v>0.22474202685414957</v>
      </c>
      <c r="H37" s="697" t="s">
        <v>615</v>
      </c>
    </row>
    <row r="38" spans="1:8">
      <c r="A38" s="692" t="s">
        <v>480</v>
      </c>
      <c r="C38" s="699">
        <v>560</v>
      </c>
      <c r="D38" s="694" t="s">
        <v>443</v>
      </c>
      <c r="E38" s="695">
        <f>'[9]Adj. By Account (TC)'!H34</f>
        <v>20.697319582847548</v>
      </c>
      <c r="F38" s="696" t="s">
        <v>470</v>
      </c>
      <c r="G38" s="690">
        <v>0.21559502636118569</v>
      </c>
      <c r="H38" s="697" t="s">
        <v>615</v>
      </c>
    </row>
    <row r="39" spans="1:8">
      <c r="A39" s="692" t="s">
        <v>480</v>
      </c>
      <c r="C39" s="699">
        <v>560</v>
      </c>
      <c r="D39" s="694" t="s">
        <v>443</v>
      </c>
      <c r="E39" s="695">
        <f>'[9]Adj. By Account (TC)'!H35</f>
        <v>106401.53001081254</v>
      </c>
      <c r="F39" s="696" t="s">
        <v>429</v>
      </c>
      <c r="G39" s="690">
        <v>8.1413745949899169E-2</v>
      </c>
      <c r="H39" s="697" t="s">
        <v>615</v>
      </c>
    </row>
    <row r="40" spans="1:8">
      <c r="A40" s="692" t="s">
        <v>481</v>
      </c>
      <c r="C40" s="699">
        <v>571</v>
      </c>
      <c r="D40" s="694" t="s">
        <v>443</v>
      </c>
      <c r="E40" s="695">
        <f>'[9]Adj. By Account (TC)'!H36</f>
        <v>15804.186355026824</v>
      </c>
      <c r="F40" s="696" t="s">
        <v>469</v>
      </c>
      <c r="G40" s="690">
        <v>0</v>
      </c>
      <c r="H40" s="697" t="s">
        <v>615</v>
      </c>
    </row>
    <row r="41" spans="1:8">
      <c r="A41" s="692" t="s">
        <v>481</v>
      </c>
      <c r="C41" s="699">
        <v>571</v>
      </c>
      <c r="D41" s="694" t="s">
        <v>443</v>
      </c>
      <c r="E41" s="695">
        <f>'[9]Adj. By Account (TC)'!H37</f>
        <v>26216.762163627038</v>
      </c>
      <c r="F41" s="696" t="s">
        <v>456</v>
      </c>
      <c r="G41" s="690">
        <v>0.22474202685414957</v>
      </c>
      <c r="H41" s="697" t="s">
        <v>615</v>
      </c>
    </row>
    <row r="42" spans="1:8">
      <c r="A42" s="692" t="s">
        <v>481</v>
      </c>
      <c r="C42" s="699">
        <v>571</v>
      </c>
      <c r="D42" s="694" t="s">
        <v>443</v>
      </c>
      <c r="E42" s="695">
        <f>'[9]Adj. By Account (TC)'!H38</f>
        <v>277.10011562049061</v>
      </c>
      <c r="F42" s="696" t="s">
        <v>470</v>
      </c>
      <c r="G42" s="690">
        <v>0.21559502636118569</v>
      </c>
      <c r="H42" s="697" t="s">
        <v>615</v>
      </c>
    </row>
    <row r="43" spans="1:8">
      <c r="A43" s="692" t="s">
        <v>481</v>
      </c>
      <c r="C43" s="699">
        <v>571</v>
      </c>
      <c r="D43" s="694" t="s">
        <v>443</v>
      </c>
      <c r="E43" s="695">
        <f>'[9]Adj. By Account (TC)'!H39</f>
        <v>28374.385453632211</v>
      </c>
      <c r="F43" s="696" t="s">
        <v>429</v>
      </c>
      <c r="G43" s="690">
        <v>8.1413745949899169E-2</v>
      </c>
      <c r="H43" s="697" t="s">
        <v>615</v>
      </c>
    </row>
    <row r="44" spans="1:8">
      <c r="A44" s="692" t="s">
        <v>482</v>
      </c>
      <c r="C44" s="699">
        <v>580</v>
      </c>
      <c r="D44" s="694" t="s">
        <v>443</v>
      </c>
      <c r="E44" s="695">
        <f>SUM('[9]Adj. By Account (TC)'!H40:H42,'[9]Adj. By Account (TC)'!H44:H47)</f>
        <v>202977.14031160192</v>
      </c>
      <c r="F44" s="696" t="s">
        <v>406</v>
      </c>
      <c r="G44" s="690" t="s">
        <v>417</v>
      </c>
      <c r="H44" s="697" t="s">
        <v>615</v>
      </c>
    </row>
    <row r="45" spans="1:8">
      <c r="A45" s="692" t="s">
        <v>482</v>
      </c>
      <c r="C45" s="699">
        <v>580</v>
      </c>
      <c r="D45" s="694" t="s">
        <v>443</v>
      </c>
      <c r="E45" s="695">
        <f>'[9]Adj. By Account (TC)'!H43</f>
        <v>285909.0989880297</v>
      </c>
      <c r="F45" s="696" t="s">
        <v>432</v>
      </c>
      <c r="G45" s="690">
        <v>6.549584753778967E-2</v>
      </c>
      <c r="H45" s="697" t="s">
        <v>615</v>
      </c>
    </row>
    <row r="46" spans="1:8">
      <c r="A46" s="692" t="s">
        <v>483</v>
      </c>
      <c r="C46" s="699">
        <v>593</v>
      </c>
      <c r="D46" s="694" t="s">
        <v>443</v>
      </c>
      <c r="E46" s="695">
        <f>SUM('[9]Adj. By Account (TC)'!H48:H50,'[9]Adj. By Account (TC)'!H52:H55)</f>
        <v>478966.82621891919</v>
      </c>
      <c r="F46" s="696" t="s">
        <v>406</v>
      </c>
      <c r="G46" s="690" t="s">
        <v>417</v>
      </c>
      <c r="H46" s="697" t="s">
        <v>615</v>
      </c>
    </row>
    <row r="47" spans="1:8">
      <c r="A47" s="692" t="s">
        <v>483</v>
      </c>
      <c r="C47" s="699">
        <v>593</v>
      </c>
      <c r="D47" s="694" t="s">
        <v>443</v>
      </c>
      <c r="E47" s="695">
        <f>'[9]Adj. By Account (TC)'!H51</f>
        <v>75654.550039170979</v>
      </c>
      <c r="F47" s="696" t="s">
        <v>432</v>
      </c>
      <c r="G47" s="690">
        <v>6.549584753778967E-2</v>
      </c>
      <c r="H47" s="697" t="s">
        <v>615</v>
      </c>
    </row>
    <row r="48" spans="1:8">
      <c r="A48" s="692" t="s">
        <v>461</v>
      </c>
      <c r="C48" s="699">
        <v>903</v>
      </c>
      <c r="D48" s="694" t="s">
        <v>443</v>
      </c>
      <c r="E48" s="695">
        <f>'[9]Adj. By Account (TC)'!H57</f>
        <v>346443.54084299726</v>
      </c>
      <c r="F48" s="696" t="s">
        <v>433</v>
      </c>
      <c r="G48" s="690">
        <v>7.0289076871698261E-2</v>
      </c>
      <c r="H48" s="697" t="s">
        <v>615</v>
      </c>
    </row>
    <row r="49" spans="1:8">
      <c r="A49" s="692" t="s">
        <v>461</v>
      </c>
      <c r="C49" s="699">
        <v>903</v>
      </c>
      <c r="D49" s="694" t="s">
        <v>443</v>
      </c>
      <c r="E49" s="695">
        <f>SUM('[9]Adj. By Account (TC)'!H56,'[9]Adj. By Account (TC)'!H58:H63)</f>
        <v>217829.95032506232</v>
      </c>
      <c r="F49" s="696" t="s">
        <v>406</v>
      </c>
      <c r="G49" s="690" t="s">
        <v>417</v>
      </c>
      <c r="H49" s="697" t="s">
        <v>615</v>
      </c>
    </row>
    <row r="50" spans="1:8">
      <c r="A50" s="692" t="s">
        <v>484</v>
      </c>
      <c r="C50" s="699">
        <v>908</v>
      </c>
      <c r="D50" s="694" t="s">
        <v>443</v>
      </c>
      <c r="E50" s="695">
        <f>'[9]Adj. By Account (TC)'!H65</f>
        <v>30974.136744184922</v>
      </c>
      <c r="F50" s="696" t="s">
        <v>433</v>
      </c>
      <c r="G50" s="690">
        <v>7.0289076871698261E-2</v>
      </c>
      <c r="H50" s="697" t="s">
        <v>615</v>
      </c>
    </row>
    <row r="51" spans="1:8">
      <c r="A51" s="692" t="s">
        <v>484</v>
      </c>
      <c r="C51" s="699">
        <v>908</v>
      </c>
      <c r="D51" s="694" t="s">
        <v>443</v>
      </c>
      <c r="E51" s="695">
        <f>'[9]Adj. By Account (TC)'!H68</f>
        <v>361.12251042755503</v>
      </c>
      <c r="F51" s="696" t="s">
        <v>427</v>
      </c>
      <c r="G51" s="690">
        <v>0</v>
      </c>
      <c r="H51" s="697" t="s">
        <v>615</v>
      </c>
    </row>
    <row r="52" spans="1:8">
      <c r="A52" s="692" t="s">
        <v>484</v>
      </c>
      <c r="C52" s="699">
        <v>908</v>
      </c>
      <c r="D52" s="694" t="s">
        <v>443</v>
      </c>
      <c r="E52" s="695">
        <f>SUM('[9]Adj. By Account (TC)'!H64,'[9]Adj. By Account (TC)'!H66:H67,'[9]Adj. By Account (TC)'!H69:H70)</f>
        <v>43926.928459587696</v>
      </c>
      <c r="F52" s="696" t="s">
        <v>406</v>
      </c>
      <c r="G52" s="690" t="s">
        <v>417</v>
      </c>
      <c r="H52" s="697" t="s">
        <v>615</v>
      </c>
    </row>
    <row r="53" spans="1:8">
      <c r="A53" s="692" t="s">
        <v>72</v>
      </c>
      <c r="C53" s="700">
        <v>920</v>
      </c>
      <c r="D53" s="694" t="s">
        <v>443</v>
      </c>
      <c r="E53" s="695">
        <f>SUM('[9]Adj. By Account (TC)'!H71:H73,'[9]Adj. By Account (TC)'!H75,'[9]Adj. By Account (TC)'!H76,'[9]Adj. By Account (TC)'!H77)</f>
        <v>27221.056358476366</v>
      </c>
      <c r="F53" s="696" t="s">
        <v>406</v>
      </c>
      <c r="G53" s="690" t="s">
        <v>417</v>
      </c>
      <c r="H53" s="697" t="s">
        <v>615</v>
      </c>
    </row>
    <row r="54" spans="1:8">
      <c r="A54" s="692" t="s">
        <v>72</v>
      </c>
      <c r="C54" s="700">
        <v>920</v>
      </c>
      <c r="D54" s="694" t="s">
        <v>443</v>
      </c>
      <c r="E54" s="695">
        <f>'[9]Adj. By Account (TC)'!H74</f>
        <v>1015618.4724090905</v>
      </c>
      <c r="F54" s="696" t="s">
        <v>431</v>
      </c>
      <c r="G54" s="690">
        <v>7.2043717522988007E-2</v>
      </c>
      <c r="H54" s="697" t="s">
        <v>615</v>
      </c>
    </row>
    <row r="55" spans="1:8">
      <c r="A55" s="692" t="s">
        <v>72</v>
      </c>
      <c r="C55" s="700">
        <v>935</v>
      </c>
      <c r="D55" s="694" t="s">
        <v>443</v>
      </c>
      <c r="E55" s="695">
        <f>SUM('[9]Adj. By Account (TC)'!H78,'[9]Adj. By Account (TC)'!H80)</f>
        <v>186.11921286199822</v>
      </c>
      <c r="F55" s="696" t="s">
        <v>406</v>
      </c>
      <c r="G55" s="690" t="s">
        <v>417</v>
      </c>
      <c r="H55" s="697" t="s">
        <v>615</v>
      </c>
    </row>
    <row r="56" spans="1:8">
      <c r="A56" s="692" t="s">
        <v>72</v>
      </c>
      <c r="C56" s="700">
        <v>935</v>
      </c>
      <c r="D56" s="694" t="s">
        <v>443</v>
      </c>
      <c r="E56" s="695">
        <f>'[9]Adj. By Account (TC)'!H79</f>
        <v>23612.580215549933</v>
      </c>
      <c r="F56" s="696" t="s">
        <v>431</v>
      </c>
      <c r="G56" s="690">
        <v>7.2043717522988007E-2</v>
      </c>
      <c r="H56" s="697" t="s">
        <v>615</v>
      </c>
    </row>
    <row r="57" spans="1:8">
      <c r="A57" s="701"/>
      <c r="B57" s="702"/>
      <c r="C57" s="703"/>
      <c r="D57" s="694"/>
      <c r="E57" s="704">
        <f>SUM(E12:E56)</f>
        <v>4731185.5181450248</v>
      </c>
      <c r="F57" s="696"/>
      <c r="G57" s="705"/>
      <c r="H57" s="704">
        <f>SUM(H12:H56)</f>
        <v>0</v>
      </c>
    </row>
    <row r="58" spans="1:8">
      <c r="H58" s="706" t="s">
        <v>452</v>
      </c>
    </row>
    <row r="59" spans="1:8">
      <c r="B59" s="388" t="s">
        <v>485</v>
      </c>
    </row>
  </sheetData>
  <dataValidations count="2">
    <dataValidation type="list" allowBlank="1" showInputMessage="1" showErrorMessage="1" errorTitle="Adjsutment Type Input Error" error="An invalid adjustment type was entered._x000a__x000a_Valid values are 1, 2, or 3." sqref="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D11 D983042 D917506 D851970 D786434 D720898 D655362 D589826 D524290 D458754 D393218 D327682 D262146 D196610 D131074 D65538">
      <formula1>"1,2,3"</formula1>
    </dataValidation>
    <dataValidation type="list" allowBlank="1" showInputMessage="1" showErrorMessage="1" errorTitle="Account Input Error" error="The account number entered is not valid." sqref="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WVJ11 WLN11 WBR11 VRV11 VHZ11 UYD11 UOH11 UEL11 TUP11 TKT11 TAX11 SRB11 SHF11 RXJ11 RNN11 RDR11 QTV11 QJZ11 QAD11 PQH11 PGL11 OWP11 OMT11 OCX11 NTB11 NJF11 MZJ11 MPN11 MFR11 LVV11 LLZ11 LCD11 KSH11 KIL11 JYP11 JOT11 JEX11 IVB11 ILF11 IBJ11 HRN11 HHR11 GXV11 GNZ11 GED11 FUH11 FKL11 FAP11 EQT11 EGX11 DXB11 DNF11 DDJ11 CTN11 CJR11 BZV11 BPZ11 BGD11 AWH11 AML11 ACP11 ST11 IX11 C11 C983042 C917506 C851970 C786434 C720898 C655362 C589826 C524290 C458754 C393218 C327682 C262146 C196610 C131074 C65538">
      <formula1>ValidAccount</formula1>
    </dataValidation>
  </dataValidations>
  <pageMargins left="0.7" right="0.7" top="0.75" bottom="0.26" header="0.3" footer="0.17"/>
  <pageSetup scale="79" orientation="portrait" r:id="rId1"/>
</worksheet>
</file>

<file path=xl/worksheets/sheet11.xml><?xml version="1.0" encoding="utf-8"?>
<worksheet xmlns="http://schemas.openxmlformats.org/spreadsheetml/2006/main" xmlns:r="http://schemas.openxmlformats.org/officeDocument/2006/relationships">
  <sheetPr>
    <tabColor rgb="FFFFFF00"/>
    <pageSetUpPr fitToPage="1"/>
  </sheetPr>
  <dimension ref="A1:I49"/>
  <sheetViews>
    <sheetView workbookViewId="0">
      <selection activeCell="A4" sqref="A4"/>
    </sheetView>
  </sheetViews>
  <sheetFormatPr defaultRowHeight="15.75"/>
  <cols>
    <col min="1" max="1" width="6.85546875" style="458" customWidth="1"/>
    <col min="2" max="2" width="49.28515625" style="458" customWidth="1"/>
    <col min="3" max="3" width="11.42578125" style="458" customWidth="1"/>
    <col min="4" max="4" width="9.28515625" style="458" bestFit="1" customWidth="1"/>
    <col min="5" max="5" width="16.85546875" style="458" bestFit="1" customWidth="1"/>
    <col min="6" max="6" width="9.140625" style="458"/>
    <col min="7" max="7" width="12.7109375" style="458" customWidth="1"/>
    <col min="8" max="8" width="13.7109375" style="458" customWidth="1"/>
    <col min="9" max="16384" width="9.140625" style="458"/>
  </cols>
  <sheetData>
    <row r="1" spans="1:9">
      <c r="A1" s="707" t="s">
        <v>52</v>
      </c>
      <c r="B1" s="708"/>
      <c r="C1" s="709"/>
      <c r="D1" s="709"/>
      <c r="E1" s="709"/>
      <c r="F1" s="709"/>
      <c r="G1" s="709"/>
      <c r="H1" s="709"/>
      <c r="I1" s="710"/>
    </row>
    <row r="2" spans="1:9">
      <c r="A2" s="707" t="s">
        <v>225</v>
      </c>
      <c r="B2" s="708"/>
      <c r="C2" s="709"/>
      <c r="D2" s="709"/>
      <c r="E2" s="709"/>
      <c r="F2" s="709"/>
      <c r="G2" s="709"/>
      <c r="H2" s="709"/>
      <c r="I2" s="711"/>
    </row>
    <row r="3" spans="1:9">
      <c r="A3" s="707" t="s">
        <v>608</v>
      </c>
      <c r="B3" s="708"/>
      <c r="C3" s="709"/>
      <c r="D3" s="709"/>
      <c r="E3" s="709"/>
      <c r="F3" s="709"/>
      <c r="G3" s="709"/>
      <c r="H3" s="709"/>
      <c r="I3" s="711"/>
    </row>
    <row r="4" spans="1:9">
      <c r="A4" s="708"/>
      <c r="B4" s="708"/>
      <c r="C4" s="709"/>
      <c r="D4" s="709"/>
      <c r="E4" s="709"/>
      <c r="F4" s="709"/>
      <c r="G4" s="709"/>
      <c r="H4" s="709"/>
      <c r="I4" s="711"/>
    </row>
    <row r="5" spans="1:9">
      <c r="A5" s="708"/>
      <c r="B5" s="708"/>
      <c r="C5" s="709"/>
      <c r="D5" s="709"/>
      <c r="E5" s="709"/>
      <c r="F5" s="709"/>
      <c r="G5" s="709"/>
      <c r="H5" s="709"/>
      <c r="I5" s="711"/>
    </row>
    <row r="6" spans="1:9">
      <c r="A6" s="708"/>
      <c r="B6" s="708"/>
      <c r="C6" s="709"/>
      <c r="D6" s="709"/>
      <c r="E6" s="709" t="s">
        <v>405</v>
      </c>
      <c r="F6" s="709"/>
      <c r="G6" s="709"/>
      <c r="H6" s="709" t="s">
        <v>406</v>
      </c>
      <c r="I6" s="711"/>
    </row>
    <row r="7" spans="1:9">
      <c r="A7" s="708"/>
      <c r="B7" s="708"/>
      <c r="C7" s="712" t="s">
        <v>407</v>
      </c>
      <c r="D7" s="712" t="s">
        <v>486</v>
      </c>
      <c r="E7" s="712" t="s">
        <v>409</v>
      </c>
      <c r="F7" s="712" t="s">
        <v>410</v>
      </c>
      <c r="G7" s="712" t="s">
        <v>411</v>
      </c>
      <c r="H7" s="712" t="s">
        <v>412</v>
      </c>
      <c r="I7" s="713" t="s">
        <v>413</v>
      </c>
    </row>
    <row r="8" spans="1:9">
      <c r="A8" s="714" t="s">
        <v>459</v>
      </c>
      <c r="B8" s="715"/>
      <c r="C8" s="716"/>
      <c r="D8" s="716"/>
      <c r="E8" s="716"/>
      <c r="F8" s="716"/>
      <c r="G8" s="716"/>
      <c r="H8" s="717"/>
      <c r="I8" s="711"/>
    </row>
    <row r="9" spans="1:9">
      <c r="A9" s="718"/>
      <c r="B9" s="719"/>
      <c r="C9" s="720"/>
      <c r="D9" s="721"/>
      <c r="E9" s="720"/>
      <c r="F9" s="720"/>
      <c r="G9" s="722"/>
      <c r="H9" s="691"/>
      <c r="I9" s="723"/>
    </row>
    <row r="10" spans="1:9">
      <c r="A10" s="724" t="s">
        <v>487</v>
      </c>
      <c r="B10" s="407"/>
      <c r="C10" s="720">
        <v>925</v>
      </c>
      <c r="D10" s="720" t="s">
        <v>443</v>
      </c>
      <c r="E10" s="691">
        <f>-'[10]4.11.1 '!D14</f>
        <v>-1584944.3400000005</v>
      </c>
      <c r="F10" s="720" t="s">
        <v>431</v>
      </c>
      <c r="G10" s="725">
        <v>7.2043717522988007E-2</v>
      </c>
      <c r="H10" s="691">
        <f>E10*G10</f>
        <v>-114185.2823206187</v>
      </c>
      <c r="I10" s="723" t="s">
        <v>488</v>
      </c>
    </row>
    <row r="11" spans="1:9">
      <c r="A11" s="726"/>
      <c r="B11" s="727"/>
      <c r="C11" s="720"/>
      <c r="D11" s="720"/>
      <c r="E11" s="691"/>
      <c r="F11" s="720"/>
      <c r="G11" s="722"/>
      <c r="H11" s="691"/>
      <c r="I11" s="723"/>
    </row>
    <row r="12" spans="1:9">
      <c r="A12" s="728" t="s">
        <v>489</v>
      </c>
      <c r="B12" s="423"/>
      <c r="C12" s="729"/>
      <c r="D12" s="729"/>
      <c r="E12" s="729"/>
      <c r="F12" s="729"/>
      <c r="G12" s="730"/>
      <c r="H12" s="731"/>
      <c r="I12" s="729"/>
    </row>
    <row r="13" spans="1:9">
      <c r="A13" s="732" t="s">
        <v>490</v>
      </c>
      <c r="B13" s="423"/>
      <c r="C13" s="729"/>
      <c r="D13" s="729"/>
      <c r="E13" s="729"/>
      <c r="F13" s="729"/>
      <c r="G13" s="730"/>
      <c r="H13" s="731"/>
      <c r="I13" s="729"/>
    </row>
    <row r="14" spans="1:9">
      <c r="A14" s="733" t="s">
        <v>491</v>
      </c>
      <c r="B14" s="719"/>
      <c r="C14" s="734"/>
      <c r="D14" s="734"/>
      <c r="E14" s="735"/>
      <c r="F14" s="734"/>
      <c r="G14" s="730"/>
      <c r="H14" s="691"/>
      <c r="I14" s="723"/>
    </row>
    <row r="15" spans="1:9">
      <c r="A15" s="732" t="s">
        <v>492</v>
      </c>
      <c r="B15" s="719"/>
      <c r="C15" s="734">
        <v>925</v>
      </c>
      <c r="D15" s="734" t="s">
        <v>443</v>
      </c>
      <c r="E15" s="735">
        <f>'[10]4.11.1 '!E16</f>
        <v>0</v>
      </c>
      <c r="F15" s="734" t="s">
        <v>431</v>
      </c>
      <c r="G15" s="725">
        <v>7.2043717522988007E-2</v>
      </c>
      <c r="H15" s="691">
        <f>E15*G15</f>
        <v>0</v>
      </c>
      <c r="I15" s="723" t="s">
        <v>488</v>
      </c>
    </row>
    <row r="16" spans="1:9">
      <c r="A16" s="733" t="s">
        <v>493</v>
      </c>
      <c r="B16" s="719"/>
      <c r="C16" s="734"/>
      <c r="D16" s="734"/>
      <c r="E16" s="735"/>
      <c r="F16" s="734"/>
      <c r="G16" s="730"/>
      <c r="H16" s="691"/>
      <c r="I16" s="723"/>
    </row>
    <row r="17" spans="1:9">
      <c r="A17" s="407" t="s">
        <v>494</v>
      </c>
      <c r="B17" s="719"/>
      <c r="C17" s="734">
        <v>925</v>
      </c>
      <c r="D17" s="734" t="s">
        <v>443</v>
      </c>
      <c r="E17" s="735">
        <f>'[10]4.11.1 '!E31</f>
        <v>630898.80333333334</v>
      </c>
      <c r="F17" s="734" t="s">
        <v>431</v>
      </c>
      <c r="G17" s="725">
        <v>7.2043717522988007E-2</v>
      </c>
      <c r="H17" s="691">
        <f>E17*G17</f>
        <v>45452.295172937833</v>
      </c>
      <c r="I17" s="723" t="s">
        <v>488</v>
      </c>
    </row>
    <row r="18" spans="1:9">
      <c r="A18" s="732" t="s">
        <v>495</v>
      </c>
      <c r="B18" s="719"/>
      <c r="C18" s="734"/>
      <c r="D18" s="734"/>
      <c r="E18" s="736">
        <f>SUM(E14:E17)</f>
        <v>630898.80333333334</v>
      </c>
      <c r="F18" s="734"/>
      <c r="G18" s="730"/>
      <c r="H18" s="736">
        <f>SUM(H14:H17)</f>
        <v>45452.295172937833</v>
      </c>
      <c r="I18" s="723"/>
    </row>
    <row r="19" spans="1:9">
      <c r="A19" s="737"/>
      <c r="B19" s="407"/>
      <c r="C19" s="720"/>
      <c r="D19" s="720"/>
      <c r="E19" s="691"/>
      <c r="F19" s="720"/>
      <c r="G19" s="722"/>
      <c r="H19" s="691"/>
      <c r="I19" s="723"/>
    </row>
    <row r="20" spans="1:9">
      <c r="A20" s="728" t="s">
        <v>496</v>
      </c>
      <c r="B20" s="719"/>
      <c r="C20" s="720"/>
      <c r="D20" s="720"/>
      <c r="E20" s="691"/>
      <c r="F20" s="720"/>
      <c r="G20" s="722"/>
      <c r="H20" s="691"/>
      <c r="I20" s="723"/>
    </row>
    <row r="21" spans="1:9">
      <c r="A21" s="738" t="s">
        <v>497</v>
      </c>
      <c r="B21" s="407"/>
      <c r="C21" s="708"/>
      <c r="D21" s="708"/>
      <c r="E21" s="708"/>
      <c r="F21" s="708"/>
      <c r="G21" s="739"/>
      <c r="H21" s="691"/>
      <c r="I21" s="723"/>
    </row>
    <row r="22" spans="1:9">
      <c r="A22" s="738"/>
      <c r="B22" s="388" t="s">
        <v>498</v>
      </c>
      <c r="C22" s="394">
        <v>924</v>
      </c>
      <c r="D22" s="720" t="s">
        <v>443</v>
      </c>
      <c r="E22" s="691">
        <f>-'[10]4.11.2'!D15</f>
        <v>-5560493.4499999993</v>
      </c>
      <c r="F22" s="691" t="s">
        <v>431</v>
      </c>
      <c r="G22" s="725">
        <v>7.2043717522988007E-2</v>
      </c>
      <c r="H22" s="691">
        <f>E22*G22</f>
        <v>-400598.619400225</v>
      </c>
      <c r="I22" s="723" t="s">
        <v>499</v>
      </c>
    </row>
    <row r="23" spans="1:9">
      <c r="A23" s="738"/>
      <c r="B23" s="423" t="s">
        <v>500</v>
      </c>
      <c r="C23" s="394">
        <v>924</v>
      </c>
      <c r="D23" s="720" t="s">
        <v>443</v>
      </c>
      <c r="E23" s="691">
        <f>-'[10]4.11.2'!D16</f>
        <v>-8644573.6499999985</v>
      </c>
      <c r="F23" s="691" t="s">
        <v>431</v>
      </c>
      <c r="G23" s="725">
        <v>7.2043717522988007E-2</v>
      </c>
      <c r="H23" s="691">
        <f>E23*G23</f>
        <v>-622787.22214726533</v>
      </c>
      <c r="I23" s="723" t="s">
        <v>499</v>
      </c>
    </row>
    <row r="24" spans="1:9">
      <c r="A24" s="738" t="s">
        <v>501</v>
      </c>
      <c r="B24" s="423"/>
      <c r="C24" s="394"/>
      <c r="D24" s="720"/>
      <c r="E24" s="740">
        <f>SUM(E22:E23)</f>
        <v>-14205067.099999998</v>
      </c>
      <c r="F24" s="691"/>
      <c r="G24" s="739"/>
      <c r="H24" s="740">
        <f>SUM(H22:H23)</f>
        <v>-1023385.8415474903</v>
      </c>
      <c r="I24" s="723"/>
    </row>
    <row r="25" spans="1:9">
      <c r="A25" s="394"/>
      <c r="B25" s="423"/>
      <c r="C25" s="394"/>
      <c r="D25" s="720"/>
      <c r="E25" s="691"/>
      <c r="F25" s="691"/>
      <c r="G25" s="730"/>
      <c r="H25" s="731"/>
      <c r="I25" s="729"/>
    </row>
    <row r="26" spans="1:9">
      <c r="A26" s="728" t="s">
        <v>502</v>
      </c>
    </row>
    <row r="27" spans="1:9">
      <c r="A27" s="732" t="s">
        <v>503</v>
      </c>
      <c r="B27" s="423"/>
      <c r="C27" s="734"/>
      <c r="D27" s="734"/>
      <c r="E27" s="735"/>
      <c r="F27" s="734"/>
      <c r="G27" s="730"/>
      <c r="H27" s="731"/>
      <c r="I27" s="723"/>
    </row>
    <row r="28" spans="1:9">
      <c r="A28" s="737" t="s">
        <v>504</v>
      </c>
      <c r="B28" s="423"/>
      <c r="C28" s="734"/>
      <c r="D28" s="734"/>
      <c r="E28" s="735"/>
      <c r="F28" s="734"/>
      <c r="G28" s="730"/>
      <c r="H28" s="731"/>
      <c r="I28" s="723"/>
    </row>
    <row r="29" spans="1:9">
      <c r="A29" s="741" t="s">
        <v>505</v>
      </c>
      <c r="B29" s="733"/>
      <c r="C29" s="734">
        <v>924</v>
      </c>
      <c r="D29" s="734" t="s">
        <v>443</v>
      </c>
      <c r="E29" s="735">
        <v>0</v>
      </c>
      <c r="F29" s="691" t="s">
        <v>431</v>
      </c>
      <c r="G29" s="725">
        <v>7.2043717522988007E-2</v>
      </c>
      <c r="H29" s="691">
        <f>E29*G29</f>
        <v>0</v>
      </c>
      <c r="I29" s="723" t="s">
        <v>499</v>
      </c>
    </row>
    <row r="30" spans="1:9">
      <c r="A30" s="742" t="s">
        <v>506</v>
      </c>
      <c r="B30" s="733"/>
      <c r="C30" s="734">
        <v>924</v>
      </c>
      <c r="D30" s="734" t="s">
        <v>443</v>
      </c>
      <c r="E30" s="735">
        <v>0</v>
      </c>
      <c r="F30" s="691" t="s">
        <v>431</v>
      </c>
      <c r="G30" s="725">
        <v>7.2043717522988007E-2</v>
      </c>
      <c r="H30" s="691">
        <f>E30*G30</f>
        <v>0</v>
      </c>
      <c r="I30" s="723" t="s">
        <v>499</v>
      </c>
    </row>
    <row r="31" spans="1:9">
      <c r="A31" s="737" t="s">
        <v>507</v>
      </c>
      <c r="B31" s="733"/>
      <c r="C31" s="734"/>
      <c r="D31" s="734"/>
      <c r="E31" s="735"/>
      <c r="F31" s="734"/>
      <c r="G31" s="730"/>
      <c r="H31" s="731"/>
      <c r="I31" s="723"/>
    </row>
    <row r="32" spans="1:9">
      <c r="A32" s="742" t="s">
        <v>508</v>
      </c>
      <c r="B32" s="733"/>
      <c r="C32" s="734">
        <v>924</v>
      </c>
      <c r="D32" s="720" t="s">
        <v>443</v>
      </c>
      <c r="E32" s="691">
        <f>'[10]4.11.2'!C43</f>
        <v>0</v>
      </c>
      <c r="F32" s="691" t="s">
        <v>456</v>
      </c>
      <c r="G32" s="725">
        <v>0.22474202685414957</v>
      </c>
      <c r="H32" s="691">
        <f>E32*G32</f>
        <v>0</v>
      </c>
      <c r="I32" s="723" t="s">
        <v>499</v>
      </c>
    </row>
    <row r="33" spans="1:9">
      <c r="A33" s="742" t="s">
        <v>509</v>
      </c>
      <c r="B33" s="733"/>
      <c r="C33" s="734">
        <v>924</v>
      </c>
      <c r="D33" s="720" t="s">
        <v>443</v>
      </c>
      <c r="E33" s="691">
        <f>'[10]4.11.2'!D43</f>
        <v>325000</v>
      </c>
      <c r="F33" s="691" t="s">
        <v>406</v>
      </c>
      <c r="G33" s="743" t="s">
        <v>417</v>
      </c>
      <c r="H33" s="731">
        <f>E33</f>
        <v>325000</v>
      </c>
      <c r="I33" s="723" t="s">
        <v>499</v>
      </c>
    </row>
    <row r="34" spans="1:9">
      <c r="A34" s="742" t="s">
        <v>510</v>
      </c>
      <c r="B34" s="733"/>
      <c r="C34" s="734">
        <v>924</v>
      </c>
      <c r="D34" s="720" t="s">
        <v>443</v>
      </c>
      <c r="E34" s="691">
        <f>'[10]4.11.2'!E43</f>
        <v>0</v>
      </c>
      <c r="F34" s="691" t="s">
        <v>456</v>
      </c>
      <c r="G34" s="743">
        <v>0.22474202685414957</v>
      </c>
      <c r="H34" s="691">
        <f>E34*G34</f>
        <v>0</v>
      </c>
      <c r="I34" s="723" t="s">
        <v>499</v>
      </c>
    </row>
    <row r="35" spans="1:9">
      <c r="A35" s="738" t="s">
        <v>501</v>
      </c>
      <c r="B35" s="666"/>
      <c r="C35" s="720"/>
      <c r="D35" s="721"/>
      <c r="E35" s="744">
        <f>SUM(E29:E34)</f>
        <v>325000</v>
      </c>
      <c r="F35" s="720"/>
      <c r="G35" s="656"/>
      <c r="H35" s="744">
        <f>SUM(H29:H34)</f>
        <v>325000</v>
      </c>
      <c r="I35" s="711"/>
    </row>
    <row r="36" spans="1:9">
      <c r="A36" s="667"/>
      <c r="B36" s="666"/>
      <c r="C36" s="720"/>
      <c r="D36" s="720"/>
      <c r="E36" s="745"/>
      <c r="F36" s="720"/>
      <c r="G36" s="746"/>
      <c r="H36" s="747"/>
      <c r="I36" s="711"/>
    </row>
    <row r="37" spans="1:9">
      <c r="A37" s="748" t="s">
        <v>511</v>
      </c>
      <c r="B37" s="666"/>
      <c r="C37" s="716"/>
      <c r="D37" s="716"/>
      <c r="E37" s="691"/>
      <c r="F37" s="716"/>
      <c r="G37" s="746"/>
      <c r="H37" s="747"/>
      <c r="I37" s="711"/>
    </row>
    <row r="38" spans="1:9">
      <c r="A38" s="749" t="s">
        <v>512</v>
      </c>
      <c r="B38" s="666"/>
      <c r="C38" s="716">
        <v>571</v>
      </c>
      <c r="D38" s="716" t="s">
        <v>443</v>
      </c>
      <c r="E38" s="691">
        <f>'[10]4.11.3'!B34</f>
        <v>714233.88533333328</v>
      </c>
      <c r="F38" s="691" t="s">
        <v>456</v>
      </c>
      <c r="G38" s="725">
        <v>0.22474202685414957</v>
      </c>
      <c r="H38" s="691">
        <f>E38*G38</f>
        <v>160518.37103772757</v>
      </c>
      <c r="I38" s="723" t="s">
        <v>513</v>
      </c>
    </row>
    <row r="39" spans="1:9">
      <c r="A39" s="749" t="s">
        <v>514</v>
      </c>
      <c r="B39" s="666"/>
      <c r="C39" s="716">
        <v>593</v>
      </c>
      <c r="D39" s="716" t="s">
        <v>443</v>
      </c>
      <c r="E39" s="691">
        <f>'[10]4.11.3'!C34</f>
        <v>365620.68538776349</v>
      </c>
      <c r="F39" s="667" t="s">
        <v>406</v>
      </c>
      <c r="G39" s="743" t="s">
        <v>417</v>
      </c>
      <c r="H39" s="747">
        <f>E39</f>
        <v>365620.68538776349</v>
      </c>
      <c r="I39" s="723" t="s">
        <v>513</v>
      </c>
    </row>
    <row r="40" spans="1:9">
      <c r="A40" s="749" t="s">
        <v>515</v>
      </c>
      <c r="B40" s="666"/>
      <c r="C40" s="716">
        <v>553</v>
      </c>
      <c r="D40" s="716" t="s">
        <v>443</v>
      </c>
      <c r="E40" s="691">
        <f>'[10]4.11.3'!D34</f>
        <v>368649.86666666664</v>
      </c>
      <c r="F40" s="667" t="s">
        <v>456</v>
      </c>
      <c r="G40" s="743">
        <v>0.22474202685414957</v>
      </c>
      <c r="H40" s="691">
        <f>E40*G40</f>
        <v>82851.118234178648</v>
      </c>
      <c r="I40" s="723" t="s">
        <v>513</v>
      </c>
    </row>
    <row r="41" spans="1:9">
      <c r="A41" s="750"/>
      <c r="B41" s="751"/>
      <c r="C41" s="752"/>
      <c r="D41" s="752"/>
      <c r="E41" s="740">
        <f>SUM(E38:E40)</f>
        <v>1448504.4373877635</v>
      </c>
      <c r="F41" s="667"/>
      <c r="G41" s="746"/>
      <c r="H41" s="740">
        <f>SUM(H38:H40)</f>
        <v>608990.17465966975</v>
      </c>
      <c r="I41" s="711"/>
    </row>
    <row r="42" spans="1:9">
      <c r="A42" s="750"/>
      <c r="B42" s="751"/>
      <c r="C42" s="752"/>
      <c r="D42" s="752"/>
      <c r="E42" s="691"/>
      <c r="F42" s="667"/>
      <c r="G42" s="746"/>
      <c r="H42" s="747"/>
      <c r="I42" s="711"/>
    </row>
    <row r="43" spans="1:9">
      <c r="A43" s="753" t="s">
        <v>423</v>
      </c>
      <c r="B43" s="423"/>
      <c r="C43" s="720"/>
      <c r="D43" s="720"/>
      <c r="E43" s="691"/>
      <c r="F43" s="394"/>
      <c r="G43" s="754"/>
      <c r="H43" s="747"/>
      <c r="I43" s="711"/>
    </row>
    <row r="44" spans="1:9">
      <c r="A44" s="733" t="s">
        <v>516</v>
      </c>
      <c r="B44" s="755"/>
      <c r="C44" s="394" t="s">
        <v>436</v>
      </c>
      <c r="D44" s="394" t="s">
        <v>443</v>
      </c>
      <c r="E44" s="731">
        <f>'[10]4.11.4'!E15</f>
        <v>-5750262.7095890418</v>
      </c>
      <c r="F44" s="667" t="s">
        <v>431</v>
      </c>
      <c r="G44" s="725">
        <v>7.2043717522988007E-2</v>
      </c>
      <c r="H44" s="691">
        <f>E44*G44</f>
        <v>-414270.30233260454</v>
      </c>
      <c r="I44" s="711" t="s">
        <v>517</v>
      </c>
    </row>
    <row r="45" spans="1:9">
      <c r="A45" s="733" t="s">
        <v>516</v>
      </c>
      <c r="B45" s="423"/>
      <c r="C45" s="394" t="s">
        <v>437</v>
      </c>
      <c r="D45" s="394" t="s">
        <v>443</v>
      </c>
      <c r="E45" s="731">
        <f>-'[10]4.11.4'!F32</f>
        <v>-16311944</v>
      </c>
      <c r="F45" s="667" t="s">
        <v>431</v>
      </c>
      <c r="G45" s="725">
        <v>7.2043717522988007E-2</v>
      </c>
      <c r="H45" s="691">
        <f>E45*G45</f>
        <v>-1175173.0857867992</v>
      </c>
      <c r="I45" s="711" t="s">
        <v>517</v>
      </c>
    </row>
    <row r="46" spans="1:9">
      <c r="A46" s="733"/>
      <c r="B46" s="755"/>
      <c r="C46" s="394"/>
      <c r="D46" s="394"/>
      <c r="E46" s="731"/>
      <c r="F46" s="667"/>
      <c r="G46" s="754"/>
      <c r="H46" s="747"/>
      <c r="I46" s="711"/>
    </row>
    <row r="47" spans="1:9">
      <c r="A47" s="733" t="s">
        <v>516</v>
      </c>
      <c r="B47" s="755"/>
      <c r="C47" s="394" t="s">
        <v>438</v>
      </c>
      <c r="D47" s="394" t="s">
        <v>443</v>
      </c>
      <c r="E47" s="731">
        <f>-'[10]4.11.4'!F39</f>
        <v>-109564</v>
      </c>
      <c r="F47" s="667" t="s">
        <v>431</v>
      </c>
      <c r="G47" s="725">
        <v>7.2043717522988007E-2</v>
      </c>
      <c r="H47" s="691">
        <f>E47*G47</f>
        <v>-7893.3978666886578</v>
      </c>
      <c r="I47" s="711" t="s">
        <v>517</v>
      </c>
    </row>
    <row r="48" spans="1:9">
      <c r="A48" s="733"/>
      <c r="B48" s="423"/>
      <c r="C48" s="394"/>
      <c r="D48" s="394"/>
      <c r="E48" s="731"/>
      <c r="F48" s="666"/>
      <c r="G48" s="746"/>
      <c r="H48" s="747"/>
      <c r="I48" s="711"/>
    </row>
    <row r="49" spans="1:9">
      <c r="A49" s="733"/>
      <c r="B49" s="755"/>
      <c r="C49" s="394"/>
      <c r="D49" s="394"/>
      <c r="E49" s="731"/>
      <c r="F49" s="666"/>
      <c r="G49" s="716"/>
      <c r="H49" s="716"/>
      <c r="I49" s="711"/>
    </row>
  </sheetData>
  <conditionalFormatting sqref="A37 A10 A13">
    <cfRule type="cellIs" dxfId="9" priority="7" stopIfTrue="1" operator="equal">
      <formula>"Title"</formula>
    </cfRule>
  </conditionalFormatting>
  <conditionalFormatting sqref="I1">
    <cfRule type="cellIs" dxfId="8" priority="6" stopIfTrue="1" operator="equal">
      <formula>"x.x"</formula>
    </cfRule>
  </conditionalFormatting>
  <conditionalFormatting sqref="A35 A24 A26:A31 A8:A20">
    <cfRule type="cellIs" dxfId="7" priority="5" stopIfTrue="1" operator="equal">
      <formula>"Adjustment to Income/Expense/Rate Base:"</formula>
    </cfRule>
  </conditionalFormatting>
  <dataValidations count="2">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D1:D1048576"/>
    <dataValidation type="list" errorStyle="warning" allowBlank="1" showInputMessage="1" showErrorMessage="1" errorTitle="FERC ACCOUNT" error="This FERC Account is not included in the drop-down list. Is this the account you want to use?" sqref="C38:C42">
      <formula1>$D$59:$D$393</formula1>
    </dataValidation>
  </dataValidations>
  <pageMargins left="0.7" right="0.28000000000000003" top="0.75" bottom="0.75" header="0.3" footer="0.3"/>
  <pageSetup scale="70" orientation="portrait" r:id="rId1"/>
</worksheet>
</file>

<file path=xl/worksheets/sheet12.xml><?xml version="1.0" encoding="utf-8"?>
<worksheet xmlns="http://schemas.openxmlformats.org/spreadsheetml/2006/main" xmlns:r="http://schemas.openxmlformats.org/officeDocument/2006/relationships">
  <sheetPr>
    <tabColor rgb="FFFFFF00"/>
    <pageSetUpPr fitToPage="1"/>
  </sheetPr>
  <dimension ref="A1:G44"/>
  <sheetViews>
    <sheetView workbookViewId="0">
      <selection sqref="A1:XFD1048576"/>
    </sheetView>
  </sheetViews>
  <sheetFormatPr defaultRowHeight="15.75"/>
  <cols>
    <col min="1" max="1" width="9.28515625" style="758" bestFit="1" customWidth="1"/>
    <col min="2" max="2" width="9.140625" style="758"/>
    <col min="3" max="3" width="41" style="758" customWidth="1"/>
    <col min="4" max="4" width="14.7109375" style="758" bestFit="1" customWidth="1"/>
    <col min="5" max="5" width="14.85546875" style="758" bestFit="1" customWidth="1"/>
    <col min="6" max="6" width="9.140625" style="758"/>
    <col min="7" max="7" width="12.85546875" style="758" bestFit="1" customWidth="1"/>
    <col min="8" max="16384" width="9.140625" style="758"/>
  </cols>
  <sheetData>
    <row r="1" spans="1:7">
      <c r="A1" s="756" t="s">
        <v>52</v>
      </c>
      <c r="B1" s="757"/>
      <c r="C1" s="757"/>
      <c r="D1" s="757"/>
      <c r="E1" s="757"/>
      <c r="F1" s="757"/>
      <c r="G1" s="757"/>
    </row>
    <row r="2" spans="1:7">
      <c r="A2" s="756" t="s">
        <v>225</v>
      </c>
      <c r="B2" s="757"/>
      <c r="C2" s="757"/>
      <c r="D2" s="757"/>
      <c r="E2" s="757"/>
      <c r="F2" s="757"/>
      <c r="G2" s="757"/>
    </row>
    <row r="3" spans="1:7">
      <c r="A3" s="756" t="s">
        <v>609</v>
      </c>
      <c r="B3" s="757"/>
      <c r="C3" s="757"/>
      <c r="D3" s="757"/>
      <c r="E3" s="757"/>
      <c r="F3" s="757"/>
      <c r="G3" s="757"/>
    </row>
    <row r="4" spans="1:7">
      <c r="A4" s="759" t="s">
        <v>518</v>
      </c>
      <c r="B4" s="760"/>
      <c r="C4" s="760"/>
      <c r="D4" s="760"/>
      <c r="E4" s="760"/>
      <c r="F4" s="760"/>
      <c r="G4" s="760"/>
    </row>
    <row r="5" spans="1:7">
      <c r="A5" s="759"/>
      <c r="B5" s="760"/>
      <c r="C5" s="760"/>
      <c r="D5" s="760"/>
      <c r="E5" s="760"/>
      <c r="F5" s="760"/>
      <c r="G5" s="760"/>
    </row>
    <row r="6" spans="1:7">
      <c r="A6" s="718" t="s">
        <v>452</v>
      </c>
      <c r="B6" s="760"/>
      <c r="C6" s="760"/>
      <c r="D6" s="760"/>
      <c r="E6" s="760"/>
      <c r="F6" s="760"/>
      <c r="G6" s="760"/>
    </row>
    <row r="7" spans="1:7">
      <c r="A7" s="759" t="s">
        <v>519</v>
      </c>
      <c r="B7" s="760"/>
      <c r="C7" s="760"/>
      <c r="D7" s="760"/>
      <c r="E7" s="760"/>
      <c r="F7" s="760"/>
      <c r="G7" s="760"/>
    </row>
    <row r="8" spans="1:7">
      <c r="A8" s="760"/>
      <c r="B8" s="760"/>
      <c r="C8" s="760"/>
      <c r="D8" s="760"/>
      <c r="E8" s="760"/>
      <c r="F8" s="760"/>
      <c r="G8" s="760"/>
    </row>
    <row r="9" spans="1:7">
      <c r="A9" s="760" t="s">
        <v>520</v>
      </c>
      <c r="B9" s="760"/>
      <c r="C9" s="760"/>
      <c r="D9" s="760"/>
      <c r="E9" s="760"/>
      <c r="F9" s="760"/>
      <c r="G9" s="760"/>
    </row>
    <row r="10" spans="1:7">
      <c r="A10" s="760" t="s">
        <v>521</v>
      </c>
      <c r="B10" s="760"/>
      <c r="C10" s="760"/>
      <c r="D10" s="760"/>
      <c r="E10" s="760"/>
      <c r="F10" s="760"/>
      <c r="G10" s="760"/>
    </row>
    <row r="11" spans="1:7">
      <c r="A11" s="760"/>
      <c r="B11" s="760"/>
      <c r="C11" s="760"/>
      <c r="D11" s="760"/>
      <c r="E11" s="760"/>
      <c r="F11" s="760"/>
      <c r="G11" s="760"/>
    </row>
    <row r="12" spans="1:7">
      <c r="A12" s="760"/>
      <c r="B12" s="760"/>
      <c r="C12" s="760"/>
      <c r="D12" s="760"/>
      <c r="E12" s="761" t="s">
        <v>288</v>
      </c>
      <c r="F12" s="760"/>
      <c r="G12" s="760"/>
    </row>
    <row r="13" spans="1:7">
      <c r="A13" s="762" t="s">
        <v>522</v>
      </c>
      <c r="B13" s="760"/>
      <c r="C13" s="760"/>
      <c r="D13" s="760"/>
      <c r="E13" s="760"/>
      <c r="F13" s="760"/>
      <c r="G13" s="760"/>
    </row>
    <row r="14" spans="1:7">
      <c r="A14" s="763" t="s">
        <v>523</v>
      </c>
      <c r="B14" s="760"/>
      <c r="C14" s="760"/>
      <c r="D14" s="764">
        <v>1584944.3400000005</v>
      </c>
      <c r="E14" s="765" t="s">
        <v>524</v>
      </c>
      <c r="F14" s="760"/>
      <c r="G14" s="760" t="s">
        <v>452</v>
      </c>
    </row>
    <row r="15" spans="1:7">
      <c r="A15" s="763" t="s">
        <v>525</v>
      </c>
      <c r="B15" s="760"/>
      <c r="C15" s="760"/>
      <c r="D15" s="766">
        <v>0</v>
      </c>
      <c r="E15" s="760"/>
      <c r="F15" s="760"/>
      <c r="G15" s="760" t="s">
        <v>452</v>
      </c>
    </row>
    <row r="16" spans="1:7">
      <c r="A16" s="767" t="s">
        <v>526</v>
      </c>
      <c r="B16" s="760"/>
      <c r="C16" s="760"/>
      <c r="D16" s="760"/>
      <c r="E16" s="768">
        <f>D14*D15</f>
        <v>0</v>
      </c>
      <c r="F16" s="769" t="s">
        <v>524</v>
      </c>
      <c r="G16" s="760" t="s">
        <v>452</v>
      </c>
    </row>
    <row r="17" spans="1:7">
      <c r="A17" s="760"/>
      <c r="B17" s="760"/>
      <c r="C17" s="760"/>
      <c r="D17" s="760"/>
      <c r="E17" s="760"/>
      <c r="F17" s="760"/>
      <c r="G17" s="760"/>
    </row>
    <row r="18" spans="1:7">
      <c r="A18" s="760"/>
      <c r="B18" s="760"/>
      <c r="C18" s="760"/>
      <c r="D18" s="760"/>
      <c r="E18" s="760"/>
      <c r="F18" s="760"/>
      <c r="G18" s="760"/>
    </row>
    <row r="19" spans="1:7">
      <c r="A19" s="760"/>
      <c r="B19" s="760"/>
      <c r="C19" s="760"/>
      <c r="D19" s="760"/>
      <c r="E19" s="760"/>
      <c r="F19" s="760"/>
      <c r="G19" s="760"/>
    </row>
    <row r="20" spans="1:7">
      <c r="A20" s="760"/>
      <c r="B20" s="760"/>
      <c r="C20" s="760"/>
      <c r="D20" s="760"/>
      <c r="E20" s="760"/>
      <c r="F20" s="760"/>
      <c r="G20" s="760"/>
    </row>
    <row r="21" spans="1:7">
      <c r="A21" s="762" t="s">
        <v>527</v>
      </c>
      <c r="B21" s="760"/>
      <c r="C21" s="760"/>
      <c r="D21" s="760"/>
      <c r="E21" s="760"/>
      <c r="F21" s="760"/>
      <c r="G21" s="760"/>
    </row>
    <row r="22" spans="1:7">
      <c r="A22" s="760"/>
      <c r="B22" s="760"/>
      <c r="C22" s="760"/>
      <c r="D22" s="760"/>
      <c r="E22" s="760"/>
      <c r="F22" s="760"/>
      <c r="G22" s="760"/>
    </row>
    <row r="23" spans="1:7" ht="12.75" customHeight="1">
      <c r="A23" s="665" t="s">
        <v>528</v>
      </c>
      <c r="B23" s="757"/>
      <c r="C23" s="770"/>
      <c r="D23" s="771" t="s">
        <v>529</v>
      </c>
      <c r="E23" s="760"/>
      <c r="F23" s="772"/>
      <c r="G23" s="760"/>
    </row>
    <row r="24" spans="1:7">
      <c r="A24" s="773">
        <v>2008</v>
      </c>
      <c r="B24" s="757"/>
      <c r="C24" s="774"/>
      <c r="D24" s="731">
        <v>65407.41</v>
      </c>
      <c r="E24" s="775"/>
      <c r="F24" s="776"/>
      <c r="G24" s="760"/>
    </row>
    <row r="25" spans="1:7">
      <c r="A25" s="773">
        <v>2009</v>
      </c>
      <c r="B25" s="757"/>
      <c r="C25" s="774"/>
      <c r="D25" s="731">
        <v>1500000</v>
      </c>
      <c r="E25" s="775"/>
      <c r="F25" s="776"/>
      <c r="G25" s="735"/>
    </row>
    <row r="26" spans="1:7">
      <c r="A26" s="773">
        <v>2010</v>
      </c>
      <c r="B26" s="757"/>
      <c r="C26" s="774"/>
      <c r="D26" s="777">
        <v>327289</v>
      </c>
      <c r="E26" s="775"/>
      <c r="F26" s="776"/>
      <c r="G26" s="735"/>
    </row>
    <row r="27" spans="1:7">
      <c r="A27" s="778" t="s">
        <v>530</v>
      </c>
      <c r="B27" s="757"/>
      <c r="C27" s="774"/>
      <c r="D27" s="731">
        <f>SUM(D24:D26)</f>
        <v>1892696.41</v>
      </c>
      <c r="E27" s="775"/>
      <c r="F27" s="776"/>
      <c r="G27" s="735"/>
    </row>
    <row r="28" spans="1:7">
      <c r="A28" s="779"/>
      <c r="B28" s="760"/>
      <c r="C28" s="760"/>
      <c r="D28" s="760"/>
      <c r="E28" s="760"/>
      <c r="F28" s="760"/>
      <c r="G28" s="735"/>
    </row>
    <row r="29" spans="1:7">
      <c r="A29" s="779" t="s">
        <v>531</v>
      </c>
      <c r="B29" s="760"/>
      <c r="C29" s="760"/>
      <c r="D29" s="778">
        <f>D27/3</f>
        <v>630898.80333333334</v>
      </c>
      <c r="E29" s="760"/>
      <c r="F29" s="760"/>
      <c r="G29" s="735"/>
    </row>
    <row r="30" spans="1:7">
      <c r="A30" s="760" t="s">
        <v>532</v>
      </c>
      <c r="B30" s="780"/>
      <c r="C30" s="760"/>
      <c r="D30" s="766">
        <f>1-D15</f>
        <v>1</v>
      </c>
      <c r="E30" s="760"/>
      <c r="F30" s="760"/>
      <c r="G30" s="735"/>
    </row>
    <row r="31" spans="1:7">
      <c r="A31" s="767" t="s">
        <v>533</v>
      </c>
      <c r="B31" s="780"/>
      <c r="C31" s="760"/>
      <c r="D31" s="760"/>
      <c r="E31" s="781">
        <f>D30*D29</f>
        <v>630898.80333333334</v>
      </c>
      <c r="F31" s="769" t="s">
        <v>524</v>
      </c>
      <c r="G31" s="735"/>
    </row>
    <row r="32" spans="1:7">
      <c r="A32" s="760"/>
      <c r="B32" s="780"/>
      <c r="C32" s="760"/>
      <c r="D32" s="760"/>
      <c r="E32" s="760"/>
      <c r="F32" s="760"/>
      <c r="G32" s="735"/>
    </row>
    <row r="33" spans="1:7" ht="16.5" thickBot="1">
      <c r="A33" s="760" t="s">
        <v>534</v>
      </c>
      <c r="B33" s="780"/>
      <c r="C33" s="760"/>
      <c r="D33" s="760"/>
      <c r="E33" s="782">
        <f>E16+E31</f>
        <v>630898.80333333334</v>
      </c>
      <c r="F33" s="760"/>
      <c r="G33" s="735"/>
    </row>
    <row r="34" spans="1:7" ht="16.5" thickTop="1">
      <c r="A34" s="783"/>
      <c r="B34" s="784"/>
      <c r="C34" s="783"/>
      <c r="D34" s="783"/>
      <c r="E34" s="785"/>
      <c r="F34" s="783"/>
      <c r="G34" s="735"/>
    </row>
    <row r="35" spans="1:7">
      <c r="A35" s="786"/>
      <c r="B35" s="783"/>
      <c r="C35" s="783"/>
      <c r="D35" s="783"/>
      <c r="E35" s="783"/>
      <c r="F35" s="783"/>
      <c r="G35" s="760"/>
    </row>
    <row r="36" spans="1:7">
      <c r="A36" s="786"/>
      <c r="B36" s="783"/>
      <c r="C36" s="783"/>
      <c r="D36" s="785"/>
      <c r="E36" s="783"/>
      <c r="F36" s="783"/>
      <c r="G36" s="760"/>
    </row>
    <row r="37" spans="1:7">
      <c r="A37" s="783"/>
      <c r="B37" s="784"/>
      <c r="C37" s="783"/>
      <c r="D37" s="787"/>
      <c r="E37" s="783"/>
      <c r="F37" s="783"/>
      <c r="G37" s="760"/>
    </row>
    <row r="38" spans="1:7">
      <c r="A38" s="788"/>
      <c r="B38" s="784"/>
      <c r="C38" s="783"/>
      <c r="D38" s="783"/>
      <c r="E38" s="789"/>
      <c r="F38" s="769"/>
      <c r="G38" s="760"/>
    </row>
    <row r="39" spans="1:7">
      <c r="A39" s="783"/>
      <c r="B39" s="784"/>
      <c r="C39" s="783"/>
      <c r="D39" s="783"/>
      <c r="E39" s="783"/>
      <c r="F39" s="783"/>
      <c r="G39" s="760"/>
    </row>
    <row r="40" spans="1:7">
      <c r="A40" s="783"/>
      <c r="B40" s="784"/>
      <c r="C40" s="783"/>
      <c r="D40" s="783"/>
      <c r="E40" s="785"/>
      <c r="F40" s="783"/>
      <c r="G40" s="760"/>
    </row>
    <row r="41" spans="1:7">
      <c r="A41" s="760"/>
      <c r="B41" s="780"/>
      <c r="C41" s="760"/>
      <c r="D41" s="760"/>
      <c r="F41" s="760"/>
      <c r="G41" s="760"/>
    </row>
    <row r="42" spans="1:7">
      <c r="A42" s="760"/>
      <c r="B42" s="760"/>
      <c r="C42" s="760"/>
      <c r="D42" s="760"/>
      <c r="E42" s="760"/>
      <c r="F42" s="760"/>
      <c r="G42" s="760"/>
    </row>
    <row r="43" spans="1:7">
      <c r="A43" s="760"/>
      <c r="B43" s="760"/>
      <c r="C43" s="760"/>
      <c r="D43" s="760"/>
      <c r="E43" s="760"/>
      <c r="F43" s="760"/>
      <c r="G43" s="760"/>
    </row>
    <row r="44" spans="1:7">
      <c r="A44" s="760"/>
      <c r="B44" s="760"/>
      <c r="C44" s="760"/>
      <c r="D44" s="760"/>
      <c r="E44" s="760"/>
      <c r="F44" s="760"/>
      <c r="G44" s="760"/>
    </row>
  </sheetData>
  <conditionalFormatting sqref="A6">
    <cfRule type="cellIs" dxfId="6" priority="1" stopIfTrue="1" operator="equal">
      <formula>"Adjustment to Income/Expense/Rate Base:"</formula>
    </cfRule>
  </conditionalFormatting>
  <pageMargins left="0.7" right="0.42" top="0.75" bottom="0.75" header="0.3" footer="0.3"/>
  <pageSetup scale="84" orientation="portrait" r:id="rId1"/>
</worksheet>
</file>

<file path=xl/worksheets/sheet13.xml><?xml version="1.0" encoding="utf-8"?>
<worksheet xmlns="http://schemas.openxmlformats.org/spreadsheetml/2006/main" xmlns:r="http://schemas.openxmlformats.org/officeDocument/2006/relationships">
  <sheetPr>
    <tabColor rgb="FFFFFF00"/>
    <pageSetUpPr fitToPage="1"/>
  </sheetPr>
  <dimension ref="A1:M46"/>
  <sheetViews>
    <sheetView workbookViewId="0">
      <selection sqref="A1:XFD1048576"/>
    </sheetView>
  </sheetViews>
  <sheetFormatPr defaultRowHeight="15.75"/>
  <cols>
    <col min="1" max="1" width="30.5703125" style="458" customWidth="1"/>
    <col min="2" max="2" width="9.140625" style="458"/>
    <col min="3" max="3" width="19.42578125" style="458" bestFit="1" customWidth="1"/>
    <col min="4" max="4" width="14.85546875" style="458" bestFit="1" customWidth="1"/>
    <col min="5" max="5" width="15.140625" style="458" bestFit="1" customWidth="1"/>
    <col min="6" max="10" width="9.140625" style="458"/>
    <col min="11" max="11" width="0" style="458" hidden="1" customWidth="1"/>
    <col min="12" max="12" width="13.140625" style="458" hidden="1" customWidth="1"/>
    <col min="13" max="13" width="0" style="458" hidden="1" customWidth="1"/>
    <col min="14" max="16384" width="9.140625" style="458"/>
  </cols>
  <sheetData>
    <row r="1" spans="1:12">
      <c r="A1" s="756" t="s">
        <v>52</v>
      </c>
      <c r="B1" s="756"/>
      <c r="C1" s="756"/>
      <c r="D1" s="756"/>
      <c r="E1" s="757"/>
      <c r="F1" s="757"/>
      <c r="G1" s="757"/>
      <c r="H1" s="757"/>
      <c r="I1" s="757"/>
    </row>
    <row r="2" spans="1:12">
      <c r="A2" s="756" t="s">
        <v>225</v>
      </c>
      <c r="B2" s="756"/>
      <c r="C2" s="756"/>
      <c r="D2" s="756"/>
      <c r="E2" s="757"/>
      <c r="F2" s="757"/>
      <c r="G2" s="757"/>
      <c r="H2" s="757"/>
      <c r="I2" s="757"/>
    </row>
    <row r="3" spans="1:12">
      <c r="A3" s="756" t="s">
        <v>610</v>
      </c>
      <c r="B3" s="756"/>
      <c r="C3" s="756"/>
      <c r="D3" s="756"/>
      <c r="E3" s="757"/>
      <c r="F3" s="757"/>
      <c r="G3" s="757"/>
      <c r="H3" s="757"/>
      <c r="I3" s="757"/>
    </row>
    <row r="4" spans="1:12">
      <c r="A4" s="765" t="s">
        <v>535</v>
      </c>
      <c r="B4" s="759"/>
      <c r="C4" s="759"/>
      <c r="D4" s="759"/>
      <c r="E4" s="760"/>
      <c r="F4" s="760"/>
      <c r="G4" s="760"/>
      <c r="H4" s="760"/>
      <c r="I4" s="760"/>
    </row>
    <row r="5" spans="1:12">
      <c r="A5" s="760"/>
      <c r="B5" s="765"/>
      <c r="C5" s="765"/>
      <c r="D5" s="765"/>
      <c r="E5" s="760"/>
      <c r="F5" s="760"/>
      <c r="G5" s="760"/>
      <c r="H5" s="760"/>
      <c r="I5" s="760"/>
    </row>
    <row r="6" spans="1:12">
      <c r="A6" s="718" t="s">
        <v>452</v>
      </c>
      <c r="B6" s="765"/>
      <c r="C6" s="765"/>
      <c r="D6" s="765"/>
      <c r="E6" s="760"/>
      <c r="F6" s="760"/>
      <c r="G6" s="760"/>
      <c r="H6" s="760"/>
      <c r="I6" s="760"/>
    </row>
    <row r="7" spans="1:12">
      <c r="B7" s="765"/>
      <c r="C7" s="765"/>
      <c r="D7" s="765"/>
      <c r="E7" s="760"/>
      <c r="F7" s="760"/>
      <c r="G7" s="760"/>
      <c r="H7" s="760"/>
      <c r="I7" s="760"/>
    </row>
    <row r="8" spans="1:12">
      <c r="A8" s="790"/>
      <c r="B8" s="790"/>
      <c r="C8" s="790"/>
      <c r="D8" s="790"/>
      <c r="E8" s="783"/>
      <c r="F8" s="783"/>
      <c r="G8" s="783"/>
      <c r="H8" s="760"/>
      <c r="I8" s="760"/>
    </row>
    <row r="9" spans="1:12">
      <c r="A9" s="783" t="s">
        <v>536</v>
      </c>
      <c r="B9" s="783"/>
      <c r="C9" s="783"/>
      <c r="D9" s="783"/>
      <c r="E9" s="783"/>
      <c r="F9" s="783"/>
      <c r="G9" s="783"/>
      <c r="H9" s="760"/>
      <c r="I9" s="760"/>
    </row>
    <row r="10" spans="1:12">
      <c r="A10" s="783" t="s">
        <v>537</v>
      </c>
      <c r="B10" s="783"/>
      <c r="C10" s="783"/>
      <c r="D10" s="783"/>
      <c r="E10" s="783"/>
      <c r="F10" s="783"/>
      <c r="G10" s="783"/>
      <c r="H10" s="760"/>
      <c r="I10" s="760"/>
    </row>
    <row r="11" spans="1:12">
      <c r="A11" s="783" t="s">
        <v>538</v>
      </c>
      <c r="B11" s="783"/>
      <c r="C11" s="783"/>
      <c r="D11" s="783"/>
      <c r="E11" s="783"/>
      <c r="F11" s="783"/>
      <c r="G11" s="783"/>
      <c r="H11" s="760"/>
      <c r="I11" s="760"/>
    </row>
    <row r="12" spans="1:12">
      <c r="A12" s="783"/>
      <c r="B12" s="783"/>
      <c r="C12" s="783"/>
      <c r="D12" s="783"/>
      <c r="E12" s="783"/>
      <c r="F12" s="783"/>
      <c r="G12" s="783"/>
      <c r="H12" s="760"/>
      <c r="I12" s="760"/>
    </row>
    <row r="13" spans="1:12" ht="16.5" thickBot="1">
      <c r="A13" s="783"/>
      <c r="B13" s="784"/>
      <c r="C13" s="789"/>
      <c r="D13" s="785"/>
      <c r="E13" s="775"/>
      <c r="F13" s="775"/>
      <c r="G13" s="783"/>
      <c r="H13" s="760"/>
      <c r="I13" s="760"/>
    </row>
    <row r="14" spans="1:12">
      <c r="A14" s="791"/>
      <c r="B14" s="792"/>
      <c r="C14" s="793" t="s">
        <v>452</v>
      </c>
      <c r="D14" s="794" t="s">
        <v>288</v>
      </c>
      <c r="E14" s="795"/>
      <c r="F14" s="796"/>
      <c r="G14" s="796"/>
      <c r="H14" s="783"/>
      <c r="I14" s="783"/>
      <c r="J14" s="666"/>
      <c r="K14" s="666"/>
      <c r="L14" s="666"/>
    </row>
    <row r="15" spans="1:12">
      <c r="A15" s="797" t="s">
        <v>539</v>
      </c>
      <c r="B15" s="798"/>
      <c r="C15" s="796"/>
      <c r="D15" s="764">
        <v>5560493.4499999993</v>
      </c>
      <c r="E15" s="799" t="s">
        <v>524</v>
      </c>
      <c r="F15" s="796"/>
      <c r="G15" s="796"/>
      <c r="H15" s="783"/>
      <c r="J15" s="666"/>
      <c r="K15" s="666"/>
      <c r="L15" s="666"/>
    </row>
    <row r="16" spans="1:12">
      <c r="A16" s="797" t="s">
        <v>540</v>
      </c>
      <c r="B16" s="800"/>
      <c r="C16" s="796"/>
      <c r="D16" s="764">
        <v>8644573.6499999985</v>
      </c>
      <c r="E16" s="799" t="s">
        <v>524</v>
      </c>
      <c r="F16" s="796"/>
      <c r="G16" s="796"/>
      <c r="H16" s="783"/>
      <c r="I16" s="783"/>
      <c r="J16" s="666"/>
      <c r="K16" s="666"/>
      <c r="L16" s="666"/>
    </row>
    <row r="17" spans="1:13" ht="16.5" thickBot="1">
      <c r="A17" s="801" t="s">
        <v>541</v>
      </c>
      <c r="B17" s="802" t="s">
        <v>452</v>
      </c>
      <c r="C17" s="803" t="s">
        <v>452</v>
      </c>
      <c r="D17" s="804">
        <f>D15+D16</f>
        <v>14205067.099999998</v>
      </c>
      <c r="E17" s="805"/>
      <c r="F17" s="796"/>
      <c r="G17" s="796"/>
      <c r="H17" s="783"/>
      <c r="I17" s="783"/>
      <c r="J17" s="666"/>
      <c r="K17" s="666"/>
      <c r="L17" s="666"/>
    </row>
    <row r="18" spans="1:13" ht="16.5" thickTop="1">
      <c r="A18" s="801"/>
      <c r="B18" s="796"/>
      <c r="C18" s="806"/>
      <c r="D18" s="796"/>
      <c r="E18" s="805"/>
      <c r="F18" s="796"/>
      <c r="G18" s="796"/>
      <c r="H18" s="783"/>
      <c r="I18" s="783"/>
      <c r="J18" s="666"/>
      <c r="K18" s="666"/>
      <c r="L18" s="666"/>
    </row>
    <row r="19" spans="1:13">
      <c r="A19" s="807" t="s">
        <v>542</v>
      </c>
      <c r="B19" s="796"/>
      <c r="C19" s="802"/>
      <c r="D19" s="803"/>
      <c r="E19" s="805"/>
      <c r="F19" s="796"/>
      <c r="G19" s="796"/>
      <c r="H19" s="783"/>
      <c r="I19" s="783"/>
      <c r="J19" s="666"/>
      <c r="K19" s="666"/>
      <c r="L19" s="666"/>
    </row>
    <row r="20" spans="1:13">
      <c r="A20" s="808" t="s">
        <v>543</v>
      </c>
      <c r="B20" s="796"/>
      <c r="C20" s="802"/>
      <c r="D20" s="803">
        <f>D15*M25</f>
        <v>1218738.2904109587</v>
      </c>
      <c r="E20" s="799" t="s">
        <v>524</v>
      </c>
      <c r="F20" s="796"/>
      <c r="G20" s="796"/>
      <c r="H20" s="783"/>
      <c r="I20" s="783"/>
      <c r="J20" s="666"/>
      <c r="K20" s="666"/>
      <c r="L20" s="666"/>
    </row>
    <row r="21" spans="1:13">
      <c r="A21" s="808" t="s">
        <v>544</v>
      </c>
      <c r="B21" s="796"/>
      <c r="C21" s="802"/>
      <c r="D21" s="809">
        <f>D16*M25</f>
        <v>1894701.0739726024</v>
      </c>
      <c r="E21" s="799" t="s">
        <v>524</v>
      </c>
      <c r="F21" s="796"/>
      <c r="G21" s="796"/>
      <c r="H21" s="783"/>
      <c r="I21" s="783"/>
      <c r="J21" s="666"/>
      <c r="K21" s="666"/>
      <c r="L21" s="666"/>
    </row>
    <row r="22" spans="1:13" ht="16.5" thickBot="1">
      <c r="A22" s="810"/>
      <c r="B22" s="811"/>
      <c r="C22" s="811"/>
      <c r="D22" s="812">
        <f>SUM(D20:D21)</f>
        <v>3113439.3643835611</v>
      </c>
      <c r="E22" s="813"/>
      <c r="F22" s="796"/>
      <c r="G22" s="796"/>
      <c r="H22" s="783"/>
      <c r="I22" s="783"/>
      <c r="J22" s="666"/>
      <c r="K22" s="666"/>
      <c r="L22" s="666"/>
    </row>
    <row r="23" spans="1:13">
      <c r="A23" s="796" t="s">
        <v>452</v>
      </c>
      <c r="B23" s="796"/>
      <c r="C23" s="814" t="s">
        <v>452</v>
      </c>
      <c r="D23" s="814" t="s">
        <v>452</v>
      </c>
      <c r="E23" s="796"/>
      <c r="F23" s="796"/>
      <c r="G23" s="796"/>
      <c r="H23" s="783"/>
      <c r="I23" s="783"/>
      <c r="J23" s="666"/>
      <c r="K23" s="666"/>
      <c r="L23" s="666"/>
    </row>
    <row r="24" spans="1:13">
      <c r="A24" s="786"/>
      <c r="B24" s="783"/>
      <c r="C24" s="815"/>
      <c r="D24" s="731"/>
      <c r="E24" s="783"/>
      <c r="F24" s="783"/>
      <c r="G24" s="783"/>
      <c r="H24" s="760"/>
      <c r="I24" s="760"/>
    </row>
    <row r="25" spans="1:13">
      <c r="A25" s="783"/>
      <c r="B25" s="783"/>
      <c r="C25" s="783"/>
      <c r="D25" s="789"/>
      <c r="E25" s="783"/>
      <c r="F25" s="783"/>
      <c r="G25" s="783"/>
      <c r="H25" s="760"/>
      <c r="I25" s="760"/>
      <c r="L25" s="458" t="s">
        <v>545</v>
      </c>
      <c r="M25" s="458">
        <f>(31+28+21)/365</f>
        <v>0.21917808219178081</v>
      </c>
    </row>
    <row r="26" spans="1:13">
      <c r="A26" s="783" t="s">
        <v>452</v>
      </c>
      <c r="B26" s="783"/>
      <c r="C26" s="785" t="s">
        <v>452</v>
      </c>
      <c r="D26" s="785" t="s">
        <v>452</v>
      </c>
      <c r="E26" s="783"/>
      <c r="F26" s="783"/>
      <c r="G26" s="783"/>
      <c r="H26" s="760"/>
      <c r="I26" s="760"/>
      <c r="L26" s="458" t="s">
        <v>546</v>
      </c>
      <c r="M26" s="458">
        <f>1-M25</f>
        <v>0.78082191780821919</v>
      </c>
    </row>
    <row r="27" spans="1:13">
      <c r="A27" s="760"/>
      <c r="B27" s="760"/>
      <c r="C27" s="760"/>
      <c r="D27" s="760"/>
      <c r="E27" s="760"/>
      <c r="F27" s="760"/>
      <c r="G27" s="760"/>
      <c r="H27" s="760"/>
      <c r="I27" s="760"/>
    </row>
    <row r="28" spans="1:13" ht="16.5" thickBot="1">
      <c r="A28" s="760"/>
      <c r="B28" s="760"/>
      <c r="C28" s="760"/>
      <c r="D28" s="760"/>
      <c r="E28" s="760"/>
      <c r="F28" s="760"/>
      <c r="G28" s="760"/>
      <c r="H28" s="760"/>
      <c r="I28" s="760"/>
    </row>
    <row r="29" spans="1:13">
      <c r="A29" s="816" t="s">
        <v>547</v>
      </c>
      <c r="B29" s="817"/>
      <c r="C29" s="817"/>
      <c r="D29" s="818"/>
      <c r="E29" s="818"/>
      <c r="F29" s="818"/>
      <c r="G29" s="817"/>
      <c r="H29" s="817"/>
      <c r="I29" s="819"/>
      <c r="J29" s="666"/>
      <c r="K29" s="666"/>
      <c r="L29" s="666"/>
    </row>
    <row r="30" spans="1:13">
      <c r="A30" s="797" t="s">
        <v>548</v>
      </c>
      <c r="B30" s="783"/>
      <c r="C30" s="783"/>
      <c r="D30" s="731"/>
      <c r="E30" s="731"/>
      <c r="F30" s="731"/>
      <c r="G30" s="783"/>
      <c r="H30" s="783"/>
      <c r="I30" s="820"/>
      <c r="J30" s="666"/>
      <c r="K30" s="666"/>
      <c r="L30" s="666"/>
    </row>
    <row r="31" spans="1:13">
      <c r="A31" s="821"/>
      <c r="B31" s="822"/>
      <c r="C31" s="823" t="s">
        <v>549</v>
      </c>
      <c r="D31" s="823"/>
      <c r="E31" s="823"/>
      <c r="F31" s="822" t="s">
        <v>452</v>
      </c>
      <c r="G31" s="824"/>
      <c r="H31" s="783"/>
      <c r="I31" s="820"/>
      <c r="J31" s="666"/>
      <c r="K31" s="666"/>
      <c r="L31" s="666"/>
    </row>
    <row r="32" spans="1:13" ht="47.25">
      <c r="A32" s="825"/>
      <c r="B32" s="826"/>
      <c r="C32" s="827" t="s">
        <v>550</v>
      </c>
      <c r="D32" s="828" t="s">
        <v>551</v>
      </c>
      <c r="E32" s="827" t="s">
        <v>552</v>
      </c>
      <c r="F32" s="829"/>
      <c r="G32" s="829"/>
      <c r="H32" s="783"/>
      <c r="I32" s="820"/>
      <c r="J32" s="666"/>
      <c r="K32" s="666"/>
      <c r="L32" s="666"/>
    </row>
    <row r="33" spans="1:12">
      <c r="A33" s="830" t="s">
        <v>553</v>
      </c>
      <c r="B33" s="831"/>
      <c r="C33" s="832">
        <v>1000000</v>
      </c>
      <c r="D33" s="832">
        <v>250000</v>
      </c>
      <c r="E33" s="832">
        <v>1000000</v>
      </c>
      <c r="F33" s="829"/>
      <c r="G33" s="829"/>
      <c r="H33" s="783"/>
      <c r="I33" s="820"/>
      <c r="J33" s="666"/>
      <c r="K33" s="666"/>
      <c r="L33" s="666"/>
    </row>
    <row r="34" spans="1:12">
      <c r="A34" s="825"/>
      <c r="B34" s="826"/>
      <c r="C34" s="829"/>
      <c r="D34" s="829"/>
      <c r="E34" s="829"/>
      <c r="F34" s="829"/>
      <c r="G34" s="829"/>
      <c r="H34" s="783"/>
      <c r="I34" s="820"/>
      <c r="J34" s="666"/>
      <c r="K34" s="666"/>
      <c r="L34" s="666"/>
    </row>
    <row r="35" spans="1:12">
      <c r="A35" s="825" t="s">
        <v>554</v>
      </c>
      <c r="B35" s="826"/>
      <c r="C35" s="731">
        <v>255868</v>
      </c>
      <c r="D35" s="731">
        <v>1118802.2</v>
      </c>
      <c r="E35" s="731">
        <v>0</v>
      </c>
      <c r="F35" s="731"/>
      <c r="G35" s="731"/>
      <c r="H35" s="783"/>
      <c r="I35" s="820"/>
      <c r="J35" s="666"/>
      <c r="K35" s="666"/>
      <c r="L35" s="666"/>
    </row>
    <row r="36" spans="1:12">
      <c r="A36" s="825" t="s">
        <v>555</v>
      </c>
      <c r="B36" s="826"/>
      <c r="C36" s="731">
        <v>110715</v>
      </c>
      <c r="D36" s="731">
        <v>65731</v>
      </c>
      <c r="E36" s="731">
        <v>5410474</v>
      </c>
      <c r="F36" s="731"/>
      <c r="G36" s="731"/>
      <c r="H36" s="783"/>
      <c r="I36" s="820"/>
      <c r="J36" s="666"/>
      <c r="K36" s="666"/>
      <c r="L36" s="666"/>
    </row>
    <row r="37" spans="1:12">
      <c r="A37" s="825" t="s">
        <v>556</v>
      </c>
      <c r="B37" s="826"/>
      <c r="C37" s="731">
        <v>0</v>
      </c>
      <c r="D37" s="731">
        <v>2382</v>
      </c>
      <c r="E37" s="731">
        <v>847444</v>
      </c>
      <c r="F37" s="731"/>
      <c r="G37" s="731"/>
      <c r="H37" s="783"/>
      <c r="I37" s="820"/>
      <c r="J37" s="666"/>
      <c r="K37" s="666"/>
      <c r="L37" s="666"/>
    </row>
    <row r="38" spans="1:12">
      <c r="A38" s="825" t="s">
        <v>557</v>
      </c>
      <c r="B38" s="826"/>
      <c r="C38" s="777">
        <v>0</v>
      </c>
      <c r="D38" s="777">
        <v>0</v>
      </c>
      <c r="E38" s="777">
        <v>122</v>
      </c>
      <c r="F38" s="731"/>
      <c r="G38" s="731"/>
      <c r="H38" s="783"/>
      <c r="I38" s="820"/>
      <c r="J38" s="666"/>
      <c r="K38" s="666"/>
      <c r="L38" s="666"/>
    </row>
    <row r="39" spans="1:12">
      <c r="A39" s="833" t="s">
        <v>288</v>
      </c>
      <c r="B39" s="826"/>
      <c r="C39" s="834">
        <f>SUM(C35:C38)</f>
        <v>366583</v>
      </c>
      <c r="D39" s="834">
        <f t="shared" ref="D39:E39" si="0">SUM(D35:D38)</f>
        <v>1186915.2</v>
      </c>
      <c r="E39" s="834">
        <f t="shared" si="0"/>
        <v>6258040</v>
      </c>
      <c r="F39" s="835"/>
      <c r="G39" s="731"/>
      <c r="H39" s="783"/>
      <c r="I39" s="820"/>
      <c r="J39" s="666"/>
      <c r="K39" s="666"/>
      <c r="L39" s="666"/>
    </row>
    <row r="40" spans="1:12">
      <c r="A40" s="825"/>
      <c r="B40" s="770"/>
      <c r="C40" s="826"/>
      <c r="D40" s="826"/>
      <c r="E40" s="826"/>
      <c r="F40" s="826"/>
      <c r="G40" s="826"/>
      <c r="H40" s="783"/>
      <c r="I40" s="820"/>
      <c r="J40" s="666"/>
      <c r="K40" s="666"/>
      <c r="L40" s="666"/>
    </row>
    <row r="41" spans="1:12">
      <c r="A41" s="833" t="s">
        <v>558</v>
      </c>
      <c r="B41" s="815"/>
      <c r="C41" s="835">
        <f>C39/3.75</f>
        <v>97755.46666666666</v>
      </c>
      <c r="D41" s="835">
        <f t="shared" ref="D41:E41" si="1">D39/3.75</f>
        <v>316510.71999999997</v>
      </c>
      <c r="E41" s="835">
        <f t="shared" si="1"/>
        <v>1668810.6666666667</v>
      </c>
      <c r="F41" s="836"/>
      <c r="G41" s="826"/>
      <c r="H41" s="783"/>
      <c r="I41" s="820"/>
      <c r="J41" s="666"/>
      <c r="K41" s="666"/>
      <c r="L41" s="666"/>
    </row>
    <row r="42" spans="1:12">
      <c r="A42" s="808"/>
      <c r="B42" s="806"/>
      <c r="C42" s="837"/>
      <c r="D42" s="837"/>
      <c r="E42" s="837"/>
      <c r="F42" s="786"/>
      <c r="G42" s="826"/>
      <c r="H42" s="783"/>
      <c r="I42" s="820"/>
      <c r="J42" s="666"/>
      <c r="K42" s="666"/>
      <c r="L42" s="666"/>
    </row>
    <row r="43" spans="1:12">
      <c r="A43" s="838" t="s">
        <v>559</v>
      </c>
      <c r="B43" s="839"/>
      <c r="C43" s="840">
        <v>0</v>
      </c>
      <c r="D43" s="840">
        <v>325000</v>
      </c>
      <c r="E43" s="840">
        <v>0</v>
      </c>
      <c r="F43" s="786"/>
      <c r="G43" s="786"/>
      <c r="H43" s="783"/>
      <c r="I43" s="820"/>
      <c r="J43" s="666"/>
      <c r="K43" s="666"/>
      <c r="L43" s="666"/>
    </row>
    <row r="44" spans="1:12" ht="16.5" thickBot="1">
      <c r="A44" s="841"/>
      <c r="B44" s="842"/>
      <c r="C44" s="843" t="s">
        <v>524</v>
      </c>
      <c r="D44" s="843" t="s">
        <v>524</v>
      </c>
      <c r="E44" s="843" t="s">
        <v>524</v>
      </c>
      <c r="F44" s="844"/>
      <c r="G44" s="844"/>
      <c r="H44" s="845"/>
      <c r="I44" s="846"/>
      <c r="J44" s="666"/>
      <c r="K44" s="666"/>
      <c r="L44" s="666"/>
    </row>
    <row r="45" spans="1:12">
      <c r="A45" s="837"/>
      <c r="B45" s="837"/>
      <c r="C45" s="837"/>
      <c r="D45" s="837"/>
      <c r="E45" s="837"/>
      <c r="F45" s="783"/>
      <c r="G45" s="783"/>
      <c r="H45" s="783"/>
      <c r="I45" s="783"/>
      <c r="J45" s="666"/>
      <c r="K45" s="666"/>
      <c r="L45" s="666"/>
    </row>
    <row r="46" spans="1:12">
      <c r="A46" s="796"/>
      <c r="B46" s="796"/>
      <c r="C46" s="796"/>
      <c r="D46" s="796"/>
      <c r="E46" s="796"/>
      <c r="F46" s="796"/>
      <c r="G46" s="796"/>
      <c r="H46" s="796"/>
      <c r="I46" s="796"/>
      <c r="J46" s="666"/>
      <c r="K46" s="666"/>
      <c r="L46" s="666"/>
    </row>
  </sheetData>
  <conditionalFormatting sqref="A6">
    <cfRule type="cellIs" dxfId="5" priority="1" stopIfTrue="1" operator="equal">
      <formula>"Adjustment to Income/Expense/Rate Base:"</formula>
    </cfRule>
  </conditionalFormatting>
  <pageMargins left="0.7" right="0.7" top="0.75" bottom="0.75" header="0.3" footer="0.3"/>
  <pageSetup scale="72" orientation="portrait" r:id="rId1"/>
</worksheet>
</file>

<file path=xl/worksheets/sheet14.xml><?xml version="1.0" encoding="utf-8"?>
<worksheet xmlns="http://schemas.openxmlformats.org/spreadsheetml/2006/main" xmlns:r="http://schemas.openxmlformats.org/officeDocument/2006/relationships">
  <sheetPr>
    <tabColor rgb="FFFFFF00"/>
    <pageSetUpPr fitToPage="1"/>
  </sheetPr>
  <dimension ref="A1:G42"/>
  <sheetViews>
    <sheetView workbookViewId="0">
      <selection activeCell="A4" sqref="A4"/>
    </sheetView>
  </sheetViews>
  <sheetFormatPr defaultRowHeight="12.75"/>
  <cols>
    <col min="1" max="1" width="39.7109375" style="330" customWidth="1"/>
    <col min="2" max="4" width="15.7109375" style="330" customWidth="1"/>
    <col min="5" max="5" width="15.7109375" style="330" hidden="1" customWidth="1"/>
    <col min="6" max="7" width="12.140625" style="330" hidden="1" customWidth="1"/>
    <col min="8" max="16384" width="9.140625" style="330"/>
  </cols>
  <sheetData>
    <row r="1" spans="1:5" s="329" customFormat="1" ht="15.75">
      <c r="A1" s="756" t="s">
        <v>52</v>
      </c>
      <c r="B1" s="328"/>
      <c r="C1" s="328"/>
      <c r="D1" s="328"/>
      <c r="E1" s="335" t="s">
        <v>452</v>
      </c>
    </row>
    <row r="2" spans="1:5" s="329" customFormat="1">
      <c r="A2" s="328" t="s">
        <v>225</v>
      </c>
      <c r="B2" s="328"/>
      <c r="C2" s="328"/>
      <c r="D2" s="328"/>
      <c r="E2" s="328"/>
    </row>
    <row r="3" spans="1:5" s="329" customFormat="1">
      <c r="A3" s="328" t="s">
        <v>611</v>
      </c>
      <c r="B3" s="328"/>
      <c r="C3" s="328"/>
      <c r="D3" s="328"/>
      <c r="E3" s="328"/>
    </row>
    <row r="4" spans="1:5" ht="15.75">
      <c r="A4" s="862" t="s">
        <v>560</v>
      </c>
    </row>
    <row r="5" spans="1:5">
      <c r="A5" s="337"/>
      <c r="B5" s="337"/>
      <c r="C5" s="337"/>
      <c r="D5" s="337"/>
      <c r="E5" s="337"/>
    </row>
    <row r="6" spans="1:5">
      <c r="A6" s="337"/>
      <c r="B6" s="337"/>
      <c r="C6" s="337"/>
      <c r="D6" s="337"/>
      <c r="E6" s="337"/>
    </row>
    <row r="7" spans="1:5">
      <c r="A7" s="337"/>
      <c r="B7" s="337"/>
      <c r="C7" s="337"/>
      <c r="D7" s="337"/>
      <c r="E7" s="337"/>
    </row>
    <row r="8" spans="1:5">
      <c r="A8" s="336" t="s">
        <v>561</v>
      </c>
      <c r="B8" s="336"/>
      <c r="C8" s="336"/>
      <c r="D8" s="336"/>
      <c r="E8" s="336"/>
    </row>
    <row r="9" spans="1:5" s="339" customFormat="1" ht="38.25">
      <c r="A9" s="338"/>
      <c r="B9" s="333" t="s">
        <v>550</v>
      </c>
      <c r="C9" s="333" t="s">
        <v>551</v>
      </c>
      <c r="D9" s="333" t="s">
        <v>552</v>
      </c>
      <c r="E9" s="338"/>
    </row>
    <row r="10" spans="1:5">
      <c r="A10" s="340" t="s">
        <v>562</v>
      </c>
      <c r="B10" s="340"/>
      <c r="C10" s="340"/>
      <c r="D10" s="340"/>
      <c r="E10" s="340"/>
    </row>
    <row r="11" spans="1:5">
      <c r="A11" s="341" t="s">
        <v>554</v>
      </c>
      <c r="B11" s="326">
        <v>1426202.8</v>
      </c>
      <c r="C11" s="326">
        <v>1493728.3470484873</v>
      </c>
      <c r="D11" s="326">
        <v>199641</v>
      </c>
      <c r="E11" s="326"/>
    </row>
    <row r="12" spans="1:5">
      <c r="A12" s="341" t="s">
        <v>555</v>
      </c>
      <c r="B12" s="326">
        <v>335570.69</v>
      </c>
      <c r="C12" s="326">
        <v>425221.35929831635</v>
      </c>
      <c r="D12" s="326">
        <v>6593230</v>
      </c>
      <c r="E12" s="326"/>
    </row>
    <row r="13" spans="1:5">
      <c r="A13" s="341" t="s">
        <v>556</v>
      </c>
      <c r="B13" s="326">
        <v>1058871.78</v>
      </c>
      <c r="C13" s="326">
        <v>246684.89385730951</v>
      </c>
      <c r="D13" s="326">
        <v>847444</v>
      </c>
      <c r="E13" s="326"/>
    </row>
    <row r="14" spans="1:5">
      <c r="A14" s="341" t="s">
        <v>563</v>
      </c>
      <c r="B14" s="326">
        <v>224731.80000000002</v>
      </c>
      <c r="C14" s="326">
        <v>392442.97000000003</v>
      </c>
      <c r="D14" s="326">
        <v>122</v>
      </c>
      <c r="E14" s="326"/>
    </row>
    <row r="15" spans="1:5">
      <c r="A15" s="342" t="s">
        <v>564</v>
      </c>
      <c r="B15" s="343">
        <v>-367000</v>
      </c>
      <c r="C15" s="343">
        <v>-1187000</v>
      </c>
      <c r="D15" s="343">
        <v>-6258000</v>
      </c>
      <c r="E15" s="326"/>
    </row>
    <row r="17" spans="1:7">
      <c r="A17" s="341" t="s">
        <v>288</v>
      </c>
      <c r="B17" s="327">
        <f>SUM(B10:B16)</f>
        <v>2678377.0699999998</v>
      </c>
      <c r="C17" s="327">
        <f t="shared" ref="C17:D17" si="0">SUM(C10:C16)</f>
        <v>1371077.5702041131</v>
      </c>
      <c r="D17" s="327">
        <f t="shared" si="0"/>
        <v>1382437</v>
      </c>
      <c r="E17" s="326"/>
    </row>
    <row r="18" spans="1:7">
      <c r="A18" s="341" t="s">
        <v>558</v>
      </c>
      <c r="B18" s="344">
        <f>+B17/3.75</f>
        <v>714233.88533333328</v>
      </c>
      <c r="C18" s="344">
        <f>+C17/3.75</f>
        <v>365620.68538776349</v>
      </c>
      <c r="D18" s="344">
        <f>+D17/3.75</f>
        <v>368649.86666666664</v>
      </c>
      <c r="E18" s="345" t="s">
        <v>565</v>
      </c>
      <c r="F18" s="346">
        <f>SUM(B18,D18)</f>
        <v>1082883.7519999999</v>
      </c>
      <c r="G18" s="347">
        <f>F18*0.22474</f>
        <v>243367.29442447997</v>
      </c>
    </row>
    <row r="19" spans="1:7">
      <c r="E19" s="332"/>
    </row>
    <row r="20" spans="1:7">
      <c r="A20" s="348" t="s">
        <v>566</v>
      </c>
      <c r="B20" s="349">
        <v>25000</v>
      </c>
      <c r="C20" s="349">
        <v>25000</v>
      </c>
      <c r="D20" s="349">
        <v>25000</v>
      </c>
      <c r="E20" s="344"/>
    </row>
    <row r="21" spans="1:7">
      <c r="A21" s="332"/>
      <c r="B21" s="332"/>
      <c r="C21" s="332"/>
      <c r="D21" s="332"/>
      <c r="E21" s="332"/>
    </row>
    <row r="22" spans="1:7">
      <c r="A22" s="332"/>
      <c r="B22" s="332"/>
      <c r="C22" s="332"/>
      <c r="D22" s="332"/>
      <c r="E22" s="332"/>
    </row>
    <row r="23" spans="1:7" ht="38.25">
      <c r="A23" s="334"/>
      <c r="B23" s="333" t="s">
        <v>550</v>
      </c>
      <c r="C23" s="333" t="s">
        <v>551</v>
      </c>
      <c r="D23" s="333" t="s">
        <v>552</v>
      </c>
      <c r="E23" s="338"/>
    </row>
    <row r="24" spans="1:7">
      <c r="A24" s="340" t="s">
        <v>567</v>
      </c>
      <c r="B24" s="340"/>
      <c r="C24" s="340"/>
      <c r="D24" s="340"/>
      <c r="E24" s="340"/>
    </row>
    <row r="25" spans="1:7">
      <c r="A25" s="341" t="s">
        <v>554</v>
      </c>
      <c r="B25" s="326"/>
      <c r="C25" s="326"/>
      <c r="D25" s="326"/>
      <c r="E25" s="326"/>
    </row>
    <row r="26" spans="1:7">
      <c r="A26" s="341" t="s">
        <v>555</v>
      </c>
      <c r="B26" s="326"/>
      <c r="C26" s="326"/>
      <c r="D26" s="326"/>
      <c r="E26" s="326"/>
    </row>
    <row r="27" spans="1:7">
      <c r="A27" s="341" t="s">
        <v>556</v>
      </c>
      <c r="B27" s="326"/>
      <c r="C27" s="326"/>
      <c r="D27" s="326"/>
      <c r="E27" s="326"/>
    </row>
    <row r="28" spans="1:7">
      <c r="A28" s="341" t="s">
        <v>563</v>
      </c>
      <c r="B28" s="326"/>
      <c r="C28" s="326"/>
      <c r="D28" s="326"/>
      <c r="E28" s="326"/>
    </row>
    <row r="29" spans="1:7">
      <c r="A29" s="341"/>
      <c r="B29" s="327"/>
      <c r="C29" s="327"/>
      <c r="D29" s="327"/>
      <c r="E29" s="326"/>
    </row>
    <row r="30" spans="1:7">
      <c r="A30" s="341" t="s">
        <v>558</v>
      </c>
      <c r="B30" s="344"/>
      <c r="C30" s="344"/>
      <c r="D30" s="344"/>
      <c r="E30" s="345" t="s">
        <v>568</v>
      </c>
    </row>
    <row r="31" spans="1:7">
      <c r="A31" s="334"/>
      <c r="B31" s="334"/>
      <c r="C31" s="334"/>
      <c r="D31" s="334"/>
      <c r="E31" s="334"/>
    </row>
    <row r="32" spans="1:7">
      <c r="A32" s="341" t="s">
        <v>353</v>
      </c>
      <c r="B32" s="344"/>
      <c r="C32" s="344"/>
      <c r="D32" s="344"/>
      <c r="E32" s="350" t="s">
        <v>569</v>
      </c>
    </row>
    <row r="33" spans="1:5">
      <c r="A33" s="351" t="s">
        <v>570</v>
      </c>
      <c r="B33" s="352"/>
      <c r="C33" s="352"/>
      <c r="D33" s="352"/>
      <c r="E33" s="326"/>
    </row>
    <row r="34" spans="1:5" ht="13.5" thickBot="1">
      <c r="A34" s="353" t="s">
        <v>571</v>
      </c>
      <c r="B34" s="354">
        <f>B18+B33</f>
        <v>714233.88533333328</v>
      </c>
      <c r="C34" s="354">
        <f t="shared" ref="C34:D34" si="1">C18+C33</f>
        <v>365620.68538776349</v>
      </c>
      <c r="D34" s="354">
        <f t="shared" si="1"/>
        <v>368649.86666666664</v>
      </c>
      <c r="E34" s="355"/>
    </row>
    <row r="35" spans="1:5" ht="13.5" thickTop="1">
      <c r="A35" s="348"/>
      <c r="B35" s="356" t="s">
        <v>524</v>
      </c>
      <c r="C35" s="356" t="s">
        <v>524</v>
      </c>
      <c r="D35" s="356" t="s">
        <v>524</v>
      </c>
      <c r="E35" s="334"/>
    </row>
    <row r="36" spans="1:5">
      <c r="A36" s="334"/>
      <c r="B36" s="334"/>
      <c r="C36" s="334"/>
      <c r="D36" s="334"/>
      <c r="E36" s="334"/>
    </row>
    <row r="37" spans="1:5">
      <c r="A37" s="348" t="s">
        <v>572</v>
      </c>
      <c r="B37" s="349">
        <v>1000000</v>
      </c>
      <c r="C37" s="349">
        <v>250000</v>
      </c>
      <c r="D37" s="349">
        <v>1000000</v>
      </c>
      <c r="E37" s="344"/>
    </row>
    <row r="38" spans="1:5">
      <c r="A38" s="334"/>
      <c r="B38" s="332"/>
      <c r="C38" s="332"/>
      <c r="D38" s="332"/>
      <c r="E38" s="332"/>
    </row>
    <row r="39" spans="1:5">
      <c r="A39" s="334"/>
      <c r="B39" s="357" t="s">
        <v>452</v>
      </c>
      <c r="C39" s="357" t="s">
        <v>452</v>
      </c>
      <c r="D39" s="357" t="s">
        <v>452</v>
      </c>
      <c r="E39" s="334" t="s">
        <v>452</v>
      </c>
    </row>
    <row r="40" spans="1:5">
      <c r="A40" s="337"/>
      <c r="B40" s="337"/>
      <c r="C40" s="337"/>
      <c r="D40" s="337"/>
      <c r="E40" s="337"/>
    </row>
    <row r="41" spans="1:5">
      <c r="A41" s="337"/>
      <c r="B41" s="337"/>
      <c r="C41" s="337"/>
      <c r="D41" s="337"/>
      <c r="E41" s="337"/>
    </row>
    <row r="42" spans="1:5">
      <c r="A42" s="337"/>
      <c r="B42" s="337"/>
      <c r="C42" s="337"/>
      <c r="D42" s="337"/>
      <c r="E42" s="337"/>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sheetPr>
    <tabColor rgb="FFFFFF00"/>
    <pageSetUpPr fitToPage="1"/>
  </sheetPr>
  <dimension ref="A1:F40"/>
  <sheetViews>
    <sheetView workbookViewId="0">
      <selection activeCell="A4" sqref="A4"/>
    </sheetView>
  </sheetViews>
  <sheetFormatPr defaultRowHeight="12.75"/>
  <cols>
    <col min="1" max="1" width="11.140625" style="330" customWidth="1"/>
    <col min="2" max="2" width="13.85546875" style="330" bestFit="1" customWidth="1"/>
    <col min="3" max="3" width="12.5703125" style="330" bestFit="1" customWidth="1"/>
    <col min="4" max="4" width="55.85546875" style="330" bestFit="1" customWidth="1"/>
    <col min="5" max="5" width="15" style="330" bestFit="1" customWidth="1"/>
    <col min="6" max="6" width="18.28515625" style="330" bestFit="1" customWidth="1"/>
    <col min="7" max="16384" width="9.140625" style="330"/>
  </cols>
  <sheetData>
    <row r="1" spans="1:5">
      <c r="A1" s="328" t="s">
        <v>52</v>
      </c>
    </row>
    <row r="2" spans="1:5">
      <c r="A2" s="328" t="s">
        <v>225</v>
      </c>
    </row>
    <row r="3" spans="1:5" ht="15.75">
      <c r="A3" s="756" t="s">
        <v>612</v>
      </c>
    </row>
    <row r="5" spans="1:5">
      <c r="A5" s="331" t="s">
        <v>573</v>
      </c>
      <c r="B5" s="358"/>
      <c r="C5" s="358"/>
      <c r="D5" s="358"/>
      <c r="E5" s="358"/>
    </row>
    <row r="6" spans="1:5">
      <c r="A6" s="358"/>
      <c r="B6" s="358"/>
      <c r="C6" s="358"/>
      <c r="D6" s="358"/>
      <c r="E6" s="358"/>
    </row>
    <row r="7" spans="1:5">
      <c r="A7" s="358" t="s">
        <v>520</v>
      </c>
      <c r="B7" s="358"/>
      <c r="C7" s="358"/>
      <c r="D7" s="358"/>
      <c r="E7" s="358"/>
    </row>
    <row r="8" spans="1:5">
      <c r="A8" s="358" t="s">
        <v>521</v>
      </c>
      <c r="B8" s="358"/>
      <c r="C8" s="358"/>
      <c r="D8" s="358"/>
      <c r="E8" s="358"/>
    </row>
    <row r="9" spans="1:5">
      <c r="A9" s="358"/>
      <c r="B9" s="358"/>
      <c r="C9" s="358"/>
      <c r="D9" s="358"/>
      <c r="E9" s="358"/>
    </row>
    <row r="10" spans="1:5">
      <c r="A10" s="358"/>
      <c r="B10" s="358"/>
      <c r="C10" s="358"/>
      <c r="D10" s="358"/>
      <c r="E10" s="359" t="s">
        <v>288</v>
      </c>
    </row>
    <row r="11" spans="1:5">
      <c r="A11" s="361" t="s">
        <v>574</v>
      </c>
      <c r="B11" s="358"/>
      <c r="C11" s="358"/>
      <c r="D11" s="358"/>
      <c r="E11" s="358"/>
    </row>
    <row r="12" spans="1:5">
      <c r="A12" s="362" t="s">
        <v>575</v>
      </c>
      <c r="B12" s="358"/>
      <c r="C12" s="358"/>
      <c r="D12" s="358"/>
      <c r="E12" s="363">
        <v>-6969001</v>
      </c>
    </row>
    <row r="13" spans="1:5">
      <c r="A13" s="362" t="s">
        <v>576</v>
      </c>
      <c r="B13" s="358"/>
      <c r="C13" s="358"/>
      <c r="D13" s="364"/>
      <c r="E13" s="363">
        <f>+'[10]4.11.1 '!E16</f>
        <v>0</v>
      </c>
    </row>
    <row r="14" spans="1:5">
      <c r="A14" s="362" t="s">
        <v>577</v>
      </c>
      <c r="B14" s="358"/>
      <c r="C14" s="358"/>
      <c r="D14" s="365"/>
      <c r="E14" s="366">
        <f>+'[10]4.11.2'!D20</f>
        <v>1218738.2904109587</v>
      </c>
    </row>
    <row r="15" spans="1:5">
      <c r="A15" s="367" t="s">
        <v>578</v>
      </c>
      <c r="B15" s="358"/>
      <c r="C15" s="358"/>
      <c r="D15" s="358"/>
      <c r="E15" s="368">
        <f>SUM(E12:E14)</f>
        <v>-5750262.7095890418</v>
      </c>
    </row>
    <row r="16" spans="1:5">
      <c r="A16" s="358"/>
      <c r="B16" s="358"/>
      <c r="C16" s="358"/>
      <c r="D16" s="358"/>
      <c r="E16" s="369" t="s">
        <v>579</v>
      </c>
    </row>
    <row r="22" spans="1:6">
      <c r="A22" s="361" t="s">
        <v>580</v>
      </c>
    </row>
    <row r="24" spans="1:6">
      <c r="A24" s="360" t="s">
        <v>581</v>
      </c>
      <c r="B24" s="360" t="s">
        <v>582</v>
      </c>
      <c r="C24" s="370" t="s">
        <v>528</v>
      </c>
      <c r="D24" s="371"/>
      <c r="E24" s="372"/>
      <c r="F24" s="363"/>
    </row>
    <row r="25" spans="1:6">
      <c r="A25" s="330">
        <v>4099200</v>
      </c>
      <c r="B25" s="330">
        <v>130560</v>
      </c>
      <c r="C25" s="330">
        <v>2008</v>
      </c>
      <c r="D25" s="373" t="s">
        <v>583</v>
      </c>
      <c r="E25" s="372" t="s">
        <v>431</v>
      </c>
      <c r="F25" s="363">
        <v>5460079</v>
      </c>
    </row>
    <row r="26" spans="1:6">
      <c r="A26" s="330">
        <v>4099200</v>
      </c>
      <c r="B26" s="330">
        <v>130560</v>
      </c>
      <c r="C26" s="330">
        <v>2009</v>
      </c>
      <c r="D26" s="373" t="s">
        <v>583</v>
      </c>
      <c r="E26" s="372" t="s">
        <v>431</v>
      </c>
      <c r="F26" s="374">
        <v>20310554</v>
      </c>
    </row>
    <row r="27" spans="1:6">
      <c r="A27" s="330">
        <v>4099200</v>
      </c>
      <c r="B27" s="330">
        <v>130560</v>
      </c>
      <c r="C27" s="330">
        <v>2010</v>
      </c>
      <c r="D27" s="373" t="s">
        <v>583</v>
      </c>
      <c r="E27" s="363" t="s">
        <v>431</v>
      </c>
      <c r="F27" s="366">
        <v>16311944</v>
      </c>
    </row>
    <row r="28" spans="1:6">
      <c r="D28" s="371" t="s">
        <v>584</v>
      </c>
      <c r="E28" s="363"/>
      <c r="F28" s="363">
        <f>AVERAGE(F25:F27)</f>
        <v>14027525.666666666</v>
      </c>
    </row>
    <row r="29" spans="1:6">
      <c r="D29" s="371"/>
      <c r="E29" s="363"/>
      <c r="F29" s="375">
        <f>ROUND('[10]4.11.1 '!D15,4)</f>
        <v>0</v>
      </c>
    </row>
    <row r="30" spans="1:6">
      <c r="C30" s="335"/>
      <c r="D30" s="371" t="s">
        <v>585</v>
      </c>
      <c r="E30" s="372"/>
      <c r="F30" s="363">
        <f>F28*F29</f>
        <v>0</v>
      </c>
    </row>
    <row r="31" spans="1:6">
      <c r="D31" s="371"/>
      <c r="E31" s="363"/>
      <c r="F31" s="363"/>
    </row>
    <row r="32" spans="1:6" ht="15.75" thickBot="1">
      <c r="D32" s="371" t="s">
        <v>586</v>
      </c>
      <c r="E32" s="363"/>
      <c r="F32" s="376">
        <f>F27-F30</f>
        <v>16311944</v>
      </c>
    </row>
    <row r="33" spans="1:6" ht="13.5" thickTop="1"/>
    <row r="35" spans="1:6">
      <c r="A35" s="377"/>
      <c r="B35" s="377"/>
      <c r="C35" s="377"/>
      <c r="D35" s="377"/>
      <c r="E35" s="377"/>
      <c r="F35" s="377"/>
    </row>
    <row r="36" spans="1:6">
      <c r="A36" s="378" t="s">
        <v>587</v>
      </c>
      <c r="B36" s="379"/>
      <c r="C36" s="379"/>
      <c r="D36" s="377"/>
      <c r="E36" s="377"/>
      <c r="F36" s="377"/>
    </row>
    <row r="37" spans="1:6">
      <c r="A37" s="380"/>
      <c r="B37" s="377"/>
      <c r="C37" s="377"/>
      <c r="D37" s="377"/>
      <c r="E37" s="377"/>
      <c r="F37" s="377"/>
    </row>
    <row r="38" spans="1:6">
      <c r="A38" s="377"/>
      <c r="B38" s="381" t="s">
        <v>588</v>
      </c>
      <c r="C38" s="381" t="s">
        <v>589</v>
      </c>
      <c r="D38" s="381" t="s">
        <v>590</v>
      </c>
      <c r="E38" s="381" t="s">
        <v>591</v>
      </c>
      <c r="F38" s="381" t="s">
        <v>592</v>
      </c>
    </row>
    <row r="39" spans="1:6">
      <c r="A39" s="382"/>
      <c r="B39" s="383" t="s">
        <v>593</v>
      </c>
      <c r="C39" s="383">
        <v>705210</v>
      </c>
      <c r="D39" s="384" t="s">
        <v>594</v>
      </c>
      <c r="E39" s="384" t="s">
        <v>431</v>
      </c>
      <c r="F39" s="385">
        <v>109564</v>
      </c>
    </row>
    <row r="40" spans="1:6">
      <c r="A40" s="377"/>
      <c r="B40" s="377"/>
      <c r="C40" s="377"/>
      <c r="D40" s="377"/>
      <c r="E40" s="377"/>
      <c r="F40" s="369" t="s">
        <v>579</v>
      </c>
    </row>
  </sheetData>
  <pageMargins left="0.7" right="0.38" top="0.75" bottom="0.51" header="0.3" footer="0.3"/>
  <pageSetup scale="76" orientation="portrait" r:id="rId1"/>
</worksheet>
</file>

<file path=xl/worksheets/sheet16.xml><?xml version="1.0" encoding="utf-8"?>
<worksheet xmlns="http://schemas.openxmlformats.org/spreadsheetml/2006/main" xmlns:r="http://schemas.openxmlformats.org/officeDocument/2006/relationships">
  <sheetPr>
    <tabColor rgb="FFFFFF00"/>
    <pageSetUpPr fitToPage="1"/>
  </sheetPr>
  <dimension ref="A1:I37"/>
  <sheetViews>
    <sheetView workbookViewId="0">
      <selection activeCell="A4" sqref="A4"/>
    </sheetView>
  </sheetViews>
  <sheetFormatPr defaultRowHeight="15.75"/>
  <cols>
    <col min="1" max="1" width="2.7109375" style="848" customWidth="1"/>
    <col min="2" max="2" width="6.85546875" style="848" customWidth="1"/>
    <col min="3" max="3" width="28.140625" style="848" customWidth="1"/>
    <col min="4" max="4" width="13.140625" style="848" customWidth="1"/>
    <col min="5" max="5" width="9.140625" style="848"/>
    <col min="6" max="6" width="14.5703125" style="849" customWidth="1"/>
    <col min="7" max="7" width="9.140625" style="850"/>
    <col min="8" max="8" width="14" style="850" customWidth="1"/>
    <col min="9" max="9" width="15.5703125" style="850" customWidth="1"/>
    <col min="10" max="16384" width="9.140625" style="848"/>
  </cols>
  <sheetData>
    <row r="1" spans="1:9">
      <c r="A1" s="847" t="s">
        <v>52</v>
      </c>
      <c r="B1" s="847"/>
    </row>
    <row r="2" spans="1:9">
      <c r="A2" s="847" t="s">
        <v>225</v>
      </c>
      <c r="B2" s="847"/>
    </row>
    <row r="3" spans="1:9">
      <c r="A3" s="847" t="s">
        <v>613</v>
      </c>
      <c r="B3" s="847"/>
    </row>
    <row r="5" spans="1:9">
      <c r="F5" s="851" t="s">
        <v>405</v>
      </c>
      <c r="I5" s="850" t="s">
        <v>595</v>
      </c>
    </row>
    <row r="6" spans="1:9" ht="18">
      <c r="D6" s="852" t="s">
        <v>407</v>
      </c>
      <c r="E6" s="852" t="s">
        <v>486</v>
      </c>
      <c r="F6" s="853" t="s">
        <v>409</v>
      </c>
      <c r="G6" s="852" t="s">
        <v>410</v>
      </c>
      <c r="H6" s="852" t="s">
        <v>411</v>
      </c>
      <c r="I6" s="852" t="s">
        <v>412</v>
      </c>
    </row>
    <row r="7" spans="1:9" ht="18">
      <c r="B7" s="847" t="s">
        <v>596</v>
      </c>
      <c r="D7" s="852"/>
      <c r="E7" s="852"/>
      <c r="F7" s="853"/>
      <c r="G7" s="852"/>
      <c r="H7" s="852"/>
      <c r="I7" s="852"/>
    </row>
    <row r="8" spans="1:9" ht="18">
      <c r="B8" s="847"/>
      <c r="D8" s="852"/>
      <c r="E8" s="852"/>
      <c r="F8" s="853"/>
      <c r="G8" s="852"/>
      <c r="H8" s="852"/>
      <c r="I8" s="852"/>
    </row>
    <row r="9" spans="1:9">
      <c r="B9" s="847" t="str">
        <f>'[11]Summary '!A14</f>
        <v>Sales for Resale  (Account 447)</v>
      </c>
    </row>
    <row r="10" spans="1:9">
      <c r="B10" s="848" t="str">
        <f>'[11]Summary '!A15</f>
        <v>Firm Sales</v>
      </c>
      <c r="D10" s="854" t="str">
        <f>'[11]Summary '!B15</f>
        <v>447NPC</v>
      </c>
      <c r="E10" s="854" t="s">
        <v>443</v>
      </c>
      <c r="F10" s="849">
        <f>'[11]Summary '!Q15</f>
        <v>-146796164.30000001</v>
      </c>
      <c r="G10" s="850" t="str">
        <f>+'[11]Summary '!C15</f>
        <v>CAGW</v>
      </c>
      <c r="H10" s="855">
        <v>0.22474202685414957</v>
      </c>
      <c r="I10" s="850">
        <f>+F10*H10</f>
        <v>-32991267.499196757</v>
      </c>
    </row>
    <row r="11" spans="1:9">
      <c r="B11" s="848" t="str">
        <f>'[11]Summary '!A16</f>
        <v>Non-Firm Sales</v>
      </c>
      <c r="D11" s="854" t="str">
        <f>'[11]Summary '!B16</f>
        <v>447NPC</v>
      </c>
      <c r="E11" s="854" t="s">
        <v>443</v>
      </c>
      <c r="F11" s="849">
        <f>'[11]Summary '!Q16</f>
        <v>0</v>
      </c>
      <c r="G11" s="850" t="str">
        <f>+'[11]Summary '!C16</f>
        <v>CAEW</v>
      </c>
      <c r="H11" s="855">
        <v>0.22324454439353322</v>
      </c>
      <c r="I11" s="850">
        <f>+F11*H11</f>
        <v>0</v>
      </c>
    </row>
    <row r="12" spans="1:9">
      <c r="B12" s="848" t="str">
        <f>'[11]Summary '!A17</f>
        <v>Total Sales for Resale</v>
      </c>
      <c r="D12" s="854"/>
      <c r="E12" s="854"/>
      <c r="F12" s="856">
        <f>'[11]Summary '!Q17</f>
        <v>-146796164.30000001</v>
      </c>
      <c r="I12" s="856">
        <f>SUM(I10:I11)</f>
        <v>-32991267.499196757</v>
      </c>
    </row>
    <row r="13" spans="1:9">
      <c r="C13" s="857"/>
      <c r="D13" s="854"/>
      <c r="E13" s="854"/>
    </row>
    <row r="14" spans="1:9">
      <c r="B14" s="847" t="str">
        <f>'[11]Summary '!A19</f>
        <v>Purchased Power (Account 555)</v>
      </c>
      <c r="C14" s="857"/>
      <c r="D14" s="854"/>
      <c r="E14" s="854"/>
    </row>
    <row r="15" spans="1:9">
      <c r="B15" s="848" t="str">
        <f>'[11]Summary '!A20</f>
        <v>Firm Demand</v>
      </c>
      <c r="C15" s="857"/>
      <c r="D15" s="854" t="str">
        <f>'[11]Summary '!B20</f>
        <v>555NPC</v>
      </c>
      <c r="E15" s="854" t="s">
        <v>443</v>
      </c>
      <c r="F15" s="849">
        <f>'[11]Summary '!Q20</f>
        <v>-45060803.631957173</v>
      </c>
      <c r="G15" s="850" t="str">
        <f>+'[11]Summary '!C20</f>
        <v>CAGW</v>
      </c>
      <c r="H15" s="855">
        <v>0.22474202685414957</v>
      </c>
      <c r="I15" s="850">
        <f t="shared" ref="I15:I18" si="0">+F15*H15</f>
        <v>-10127056.339922879</v>
      </c>
    </row>
    <row r="16" spans="1:9">
      <c r="B16" s="848" t="str">
        <f>'[11]Summary '!A21</f>
        <v>Firm Energy</v>
      </c>
      <c r="C16" s="857"/>
      <c r="D16" s="854" t="str">
        <f>'[11]Summary '!B21</f>
        <v>555NPC</v>
      </c>
      <c r="E16" s="854" t="s">
        <v>443</v>
      </c>
      <c r="F16" s="849">
        <f>'[11]Summary '!Q21</f>
        <v>-21253060.928042836</v>
      </c>
      <c r="G16" s="850" t="str">
        <f>+'[11]Summary '!C21</f>
        <v>CAEW</v>
      </c>
      <c r="H16" s="855">
        <v>0.22324454439353322</v>
      </c>
      <c r="I16" s="850">
        <f t="shared" si="0"/>
        <v>-4744629.9038489256</v>
      </c>
    </row>
    <row r="17" spans="2:9">
      <c r="B17" s="848" t="str">
        <f>'[11]Summary '!A22</f>
        <v>WA Qualifying Facilities</v>
      </c>
      <c r="C17" s="857"/>
      <c r="D17" s="854" t="str">
        <f>'[11]Summary '!B22</f>
        <v>555NPC</v>
      </c>
      <c r="E17" s="854" t="s">
        <v>443</v>
      </c>
      <c r="F17" s="849">
        <f>'[11]Summary '!Q22</f>
        <v>-1017027.8799999999</v>
      </c>
      <c r="G17" s="850" t="str">
        <f>+'[11]Summary '!C22</f>
        <v>WA</v>
      </c>
      <c r="H17" s="855">
        <v>1</v>
      </c>
      <c r="I17" s="850">
        <f t="shared" si="0"/>
        <v>-1017027.8799999999</v>
      </c>
    </row>
    <row r="18" spans="2:9">
      <c r="B18" s="848" t="str">
        <f>'[11]Summary '!A23</f>
        <v>Other Generation Expenses</v>
      </c>
      <c r="D18" s="854" t="str">
        <f>'[11]Summary '!B23</f>
        <v>555NPC</v>
      </c>
      <c r="E18" s="854" t="s">
        <v>443</v>
      </c>
      <c r="F18" s="849">
        <f>'[11]Summary '!Q23</f>
        <v>-9772402.4900000002</v>
      </c>
      <c r="G18" s="850" t="str">
        <f>+'[11]Summary '!C23</f>
        <v>CAGW</v>
      </c>
      <c r="H18" s="855">
        <v>0.22474202685414957</v>
      </c>
      <c r="I18" s="850">
        <f t="shared" si="0"/>
        <v>-2196269.5428371383</v>
      </c>
    </row>
    <row r="19" spans="2:9">
      <c r="B19" s="848" t="str">
        <f>'[11]Summary '!A24</f>
        <v>Total Purchased Power</v>
      </c>
      <c r="D19" s="854"/>
      <c r="E19" s="854"/>
      <c r="F19" s="856">
        <f>'[11]Summary '!Q24</f>
        <v>-77103294.930000007</v>
      </c>
      <c r="I19" s="856">
        <f>SUM(I15:I18)</f>
        <v>-18084983.666608945</v>
      </c>
    </row>
    <row r="20" spans="2:9">
      <c r="D20" s="854"/>
      <c r="E20" s="854"/>
    </row>
    <row r="21" spans="2:9">
      <c r="B21" s="847" t="str">
        <f>'[11]Summary '!A26</f>
        <v>Wheeling (Account 565)</v>
      </c>
      <c r="D21" s="854"/>
      <c r="E21" s="854"/>
    </row>
    <row r="22" spans="2:9">
      <c r="B22" s="848" t="str">
        <f>'[11]Summary '!A27</f>
        <v>Firm</v>
      </c>
      <c r="D22" s="854" t="str">
        <f>'[11]Summary '!B27</f>
        <v>565NPC</v>
      </c>
      <c r="E22" s="854" t="s">
        <v>443</v>
      </c>
      <c r="F22" s="849">
        <f>'[11]Summary '!Q27</f>
        <v>-15880101.5</v>
      </c>
      <c r="G22" s="850" t="str">
        <f>+'[11]Summary '!C27</f>
        <v>CAGW</v>
      </c>
      <c r="H22" s="855">
        <v>0.22474202685414957</v>
      </c>
      <c r="I22" s="850">
        <f t="shared" ref="I22:I23" si="1">+F22*H22</f>
        <v>-3568926.1977596208</v>
      </c>
    </row>
    <row r="23" spans="2:9">
      <c r="B23" s="848" t="str">
        <f>'[11]Summary '!A28</f>
        <v>Non Firm</v>
      </c>
      <c r="C23" s="857"/>
      <c r="D23" s="854" t="str">
        <f>'[11]Summary '!B28</f>
        <v>565NPC</v>
      </c>
      <c r="E23" s="854" t="s">
        <v>443</v>
      </c>
      <c r="F23" s="849">
        <f>'[11]Summary '!Q28</f>
        <v>0</v>
      </c>
      <c r="G23" s="850" t="str">
        <f>+'[11]Summary '!C28</f>
        <v>CAEW</v>
      </c>
      <c r="H23" s="855">
        <v>0.22324454439353322</v>
      </c>
      <c r="I23" s="850">
        <f t="shared" si="1"/>
        <v>0</v>
      </c>
    </row>
    <row r="24" spans="2:9">
      <c r="B24" s="848" t="str">
        <f>'[11]Summary '!A29</f>
        <v>Total Wheeling Expense</v>
      </c>
      <c r="D24" s="854"/>
      <c r="E24" s="854"/>
      <c r="F24" s="856">
        <f>'[11]Summary '!Q29</f>
        <v>-15880101.5</v>
      </c>
      <c r="I24" s="856">
        <f>SUM(I22:I23)</f>
        <v>-3568926.1977596208</v>
      </c>
    </row>
    <row r="25" spans="2:9">
      <c r="D25" s="854"/>
      <c r="E25" s="854"/>
    </row>
    <row r="26" spans="2:9">
      <c r="B26" s="847" t="str">
        <f>'[11]Summary '!A31</f>
        <v>Fuel Expense (Accounts 501 and 547)</v>
      </c>
      <c r="C26" s="847"/>
      <c r="D26" s="854"/>
      <c r="E26" s="854"/>
    </row>
    <row r="27" spans="2:9">
      <c r="B27" s="848" t="str">
        <f>'[11]Summary '!A32</f>
        <v>Fuel Consumed - Coal</v>
      </c>
      <c r="C27" s="847"/>
      <c r="D27" s="854" t="str">
        <f>'[11]Summary '!B32</f>
        <v>501NPC</v>
      </c>
      <c r="E27" s="854" t="s">
        <v>443</v>
      </c>
      <c r="F27" s="849">
        <f>'[11]Summary '!Q32</f>
        <v>10623879.009636223</v>
      </c>
      <c r="G27" s="850" t="str">
        <f>+'[11]Summary '!C32</f>
        <v>CAEW</v>
      </c>
      <c r="H27" s="855">
        <v>0.22324454439353322</v>
      </c>
      <c r="I27" s="850">
        <f t="shared" ref="I27:I28" si="2">+F27*H27</f>
        <v>2371723.0291982596</v>
      </c>
    </row>
    <row r="28" spans="2:9">
      <c r="B28" s="848" t="str">
        <f>'[11]Summary '!A33</f>
        <v>Fuel Consumed - Natural Gas</v>
      </c>
      <c r="C28" s="847"/>
      <c r="D28" s="854" t="str">
        <f>'[11]Summary '!B33</f>
        <v>547NPC</v>
      </c>
      <c r="E28" s="854" t="s">
        <v>443</v>
      </c>
      <c r="F28" s="849">
        <f>'[11]Summary '!Q33</f>
        <v>-294901.36000001431</v>
      </c>
      <c r="G28" s="850" t="str">
        <f>+'[11]Summary '!C33</f>
        <v>CAEW</v>
      </c>
      <c r="H28" s="855">
        <v>0.22324454439353322</v>
      </c>
      <c r="I28" s="850">
        <f t="shared" si="2"/>
        <v>-65835.119754236512</v>
      </c>
    </row>
    <row r="29" spans="2:9">
      <c r="B29" s="848" t="str">
        <f>'[11]Summary '!A34</f>
        <v>Total Fuel and Other Expense</v>
      </c>
      <c r="C29" s="847"/>
      <c r="D29" s="854"/>
      <c r="E29" s="854"/>
      <c r="F29" s="856">
        <f>'[11]Summary '!Q34</f>
        <v>10328977.649636209</v>
      </c>
      <c r="I29" s="856">
        <f>SUM(I27:I28)</f>
        <v>2305887.9094440229</v>
      </c>
    </row>
    <row r="30" spans="2:9">
      <c r="C30" s="847"/>
      <c r="D30" s="854"/>
      <c r="E30" s="854"/>
      <c r="I30" s="849"/>
    </row>
    <row r="31" spans="2:9">
      <c r="B31" s="847" t="s">
        <v>597</v>
      </c>
      <c r="C31" s="847"/>
      <c r="D31" s="854"/>
      <c r="E31" s="854"/>
      <c r="F31" s="856">
        <f>'[11]Summary '!Q36</f>
        <v>64141745.519636214</v>
      </c>
      <c r="I31" s="856">
        <f>-I12+I19+I24+I29</f>
        <v>13643245.544272214</v>
      </c>
    </row>
    <row r="32" spans="2:9">
      <c r="C32" s="847"/>
      <c r="F32" s="609"/>
    </row>
    <row r="33" spans="3:6">
      <c r="C33" s="847"/>
      <c r="F33" s="609"/>
    </row>
    <row r="34" spans="3:6">
      <c r="C34" s="847"/>
      <c r="F34" s="609"/>
    </row>
    <row r="35" spans="3:6">
      <c r="C35" s="847"/>
      <c r="F35" s="609"/>
    </row>
    <row r="36" spans="3:6">
      <c r="C36" s="847"/>
      <c r="F36" s="609"/>
    </row>
    <row r="37" spans="3:6">
      <c r="C37" s="847"/>
      <c r="F37" s="609"/>
    </row>
  </sheetData>
  <conditionalFormatting sqref="B9:B31">
    <cfRule type="cellIs" dxfId="4" priority="3" stopIfTrue="1" operator="equal">
      <formula>"Adjustment to Income/Expense/Rate Base:"</formula>
    </cfRule>
  </conditionalFormatting>
  <conditionalFormatting sqref="B18:B20">
    <cfRule type="cellIs" dxfId="3" priority="2" stopIfTrue="1" operator="equal">
      <formula>"Title"</formula>
    </cfRule>
  </conditionalFormatting>
  <pageMargins left="0.52" right="0.33" top="0.75" bottom="0.75" header="0.3" footer="0.3"/>
  <pageSetup scale="86" orientation="portrait" r:id="rId1"/>
</worksheet>
</file>

<file path=xl/worksheets/sheet17.xml><?xml version="1.0" encoding="utf-8"?>
<worksheet xmlns="http://schemas.openxmlformats.org/spreadsheetml/2006/main" xmlns:r="http://schemas.openxmlformats.org/officeDocument/2006/relationships">
  <sheetPr>
    <tabColor rgb="FFFFFF00"/>
    <pageSetUpPr fitToPage="1"/>
  </sheetPr>
  <dimension ref="A1:I75"/>
  <sheetViews>
    <sheetView workbookViewId="0">
      <selection sqref="A1:XFD1048576"/>
    </sheetView>
  </sheetViews>
  <sheetFormatPr defaultColWidth="10" defaultRowHeight="14.1" customHeight="1"/>
  <cols>
    <col min="1" max="1" width="1.5703125" style="458" customWidth="1"/>
    <col min="2" max="2" width="7.140625" style="458" customWidth="1"/>
    <col min="3" max="3" width="23.5703125" style="458" customWidth="1"/>
    <col min="4" max="4" width="12.42578125" style="458" customWidth="1"/>
    <col min="5" max="5" width="6.5703125" style="458" customWidth="1"/>
    <col min="6" max="6" width="14.42578125" style="458" customWidth="1"/>
    <col min="7" max="7" width="11.140625" style="458" customWidth="1"/>
    <col min="8" max="8" width="13.5703125" style="388" customWidth="1"/>
    <col min="9" max="9" width="16.140625" style="458" customWidth="1"/>
    <col min="10" max="16384" width="10" style="458"/>
  </cols>
  <sheetData>
    <row r="1" spans="1:9" ht="14.1" customHeight="1">
      <c r="B1" s="662" t="s">
        <v>52</v>
      </c>
      <c r="D1" s="663"/>
      <c r="E1" s="663"/>
      <c r="F1" s="663"/>
      <c r="G1" s="663"/>
      <c r="H1" s="387"/>
    </row>
    <row r="2" spans="1:9" ht="14.1" customHeight="1">
      <c r="B2" s="662" t="s">
        <v>225</v>
      </c>
      <c r="D2" s="663"/>
      <c r="E2" s="663"/>
      <c r="F2" s="663"/>
      <c r="G2" s="663"/>
      <c r="H2" s="387"/>
    </row>
    <row r="3" spans="1:9" ht="14.1" customHeight="1">
      <c r="B3" s="662" t="s">
        <v>614</v>
      </c>
      <c r="D3" s="663"/>
      <c r="E3" s="663"/>
      <c r="F3" s="663"/>
      <c r="G3" s="663"/>
      <c r="H3" s="387"/>
      <c r="I3" s="663"/>
    </row>
    <row r="4" spans="1:9" ht="14.1" customHeight="1">
      <c r="B4" s="662"/>
      <c r="D4" s="663"/>
      <c r="E4" s="663"/>
      <c r="F4" s="663"/>
      <c r="G4" s="663"/>
      <c r="H4" s="387"/>
      <c r="I4" s="663"/>
    </row>
    <row r="5" spans="1:9" ht="14.1" customHeight="1">
      <c r="D5" s="663"/>
      <c r="E5" s="663"/>
      <c r="F5" s="663"/>
      <c r="G5" s="663"/>
      <c r="H5" s="387"/>
      <c r="I5" s="663"/>
    </row>
    <row r="6" spans="1:9" ht="14.1" customHeight="1">
      <c r="D6" s="663"/>
      <c r="E6" s="663"/>
      <c r="F6" s="663" t="s">
        <v>405</v>
      </c>
      <c r="G6" s="663"/>
      <c r="H6" s="387"/>
      <c r="I6" s="663" t="s">
        <v>439</v>
      </c>
    </row>
    <row r="7" spans="1:9" ht="14.1" customHeight="1">
      <c r="D7" s="665" t="s">
        <v>407</v>
      </c>
      <c r="E7" s="665" t="s">
        <v>408</v>
      </c>
      <c r="F7" s="665" t="s">
        <v>409</v>
      </c>
      <c r="G7" s="665" t="s">
        <v>410</v>
      </c>
      <c r="H7" s="397" t="s">
        <v>411</v>
      </c>
      <c r="I7" s="665" t="s">
        <v>412</v>
      </c>
    </row>
    <row r="8" spans="1:9" ht="14.1" customHeight="1">
      <c r="A8" s="666"/>
      <c r="B8" s="678" t="str">
        <f>'[12]Production Factor Adj'!A7</f>
        <v>Electric Plant In Service</v>
      </c>
      <c r="C8" s="666"/>
      <c r="D8" s="667"/>
      <c r="E8" s="667"/>
      <c r="F8" s="643"/>
      <c r="G8" s="667"/>
      <c r="H8" s="615"/>
      <c r="I8" s="643"/>
    </row>
    <row r="9" spans="1:9" ht="14.1" customHeight="1">
      <c r="A9" s="666"/>
      <c r="B9" s="858" t="str">
        <f>'[12]Production Factor Adj'!A8</f>
        <v>Steam Production</v>
      </c>
      <c r="C9" s="666"/>
      <c r="D9" s="394">
        <v>310</v>
      </c>
      <c r="E9" s="458" t="s">
        <v>443</v>
      </c>
      <c r="F9" s="643">
        <f>I9/H9</f>
        <v>-17747923.545424242</v>
      </c>
      <c r="G9" s="663" t="str">
        <f>'[12]Production Factor Adj'!C8</f>
        <v>JBG</v>
      </c>
      <c r="H9" s="615">
        <f>IF(G9="WA",1,VLOOKUP(G9,[13]Factors!$B$4:$E$88,4,0))</f>
        <v>0.21559502636118569</v>
      </c>
      <c r="I9" s="643">
        <f>'[12]Production Factor Adj'!Y8</f>
        <v>-3826364.0446320474</v>
      </c>
    </row>
    <row r="10" spans="1:9" ht="14.1" customHeight="1">
      <c r="A10" s="666"/>
      <c r="B10" s="858" t="str">
        <f>'[12]Production Factor Adj'!A9</f>
        <v>Steam Production</v>
      </c>
      <c r="C10" s="666"/>
      <c r="D10" s="394">
        <v>310</v>
      </c>
      <c r="E10" s="458" t="s">
        <v>443</v>
      </c>
      <c r="F10" s="643">
        <f t="shared" ref="F10:F14" si="0">I10/H10</f>
        <v>-38267.02025313348</v>
      </c>
      <c r="G10" s="663" t="str">
        <f>'[12]Production Factor Adj'!C9</f>
        <v>SG</v>
      </c>
      <c r="H10" s="615">
        <f>IF(G10="WA",1,VLOOKUP(G10,[13]Factors!$B$4:$E$88,4,0))</f>
        <v>8.1413745949899169E-2</v>
      </c>
      <c r="I10" s="643">
        <f>'[12]Production Factor Adj'!Y9</f>
        <v>-3115.4614651482552</v>
      </c>
    </row>
    <row r="11" spans="1:9" ht="14.1" customHeight="1">
      <c r="A11" s="666"/>
      <c r="B11" s="858" t="str">
        <f>'[12]Production Factor Adj'!A10</f>
        <v>Steam Production</v>
      </c>
      <c r="C11" s="666"/>
      <c r="D11" s="394">
        <v>310</v>
      </c>
      <c r="E11" s="458" t="s">
        <v>443</v>
      </c>
      <c r="F11" s="643">
        <f t="shared" si="0"/>
        <v>-2311511.4712639321</v>
      </c>
      <c r="G11" s="663" t="str">
        <f>'[12]Production Factor Adj'!C10</f>
        <v>CAGW</v>
      </c>
      <c r="H11" s="615">
        <f>IF(G11="WA",1,VLOOKUP(G11,[13]Factors!$B$4:$E$88,4,0))</f>
        <v>0.22474202685414957</v>
      </c>
      <c r="I11" s="643">
        <f>'[12]Production Factor Adj'!Y10</f>
        <v>-519493.77314847335</v>
      </c>
    </row>
    <row r="12" spans="1:9" ht="14.1" customHeight="1">
      <c r="A12" s="666"/>
      <c r="B12" s="858" t="str">
        <f>'[12]Production Factor Adj'!A11</f>
        <v>Steam Production</v>
      </c>
      <c r="C12" s="666"/>
      <c r="D12" s="394">
        <v>310</v>
      </c>
      <c r="E12" s="458" t="s">
        <v>443</v>
      </c>
      <c r="F12" s="643">
        <f t="shared" si="0"/>
        <v>7394.312229547766</v>
      </c>
      <c r="G12" s="663" t="str">
        <f>'[12]Production Factor Adj'!C11</f>
        <v>WA</v>
      </c>
      <c r="H12" s="615">
        <f>IF(G12="WA",1,VLOOKUP(G12,[13]Factors!$B$4:$E$88,4,0))</f>
        <v>1</v>
      </c>
      <c r="I12" s="643">
        <f>'[12]Production Factor Adj'!Y11</f>
        <v>7394.312229547766</v>
      </c>
    </row>
    <row r="13" spans="1:9" ht="14.1" customHeight="1">
      <c r="A13" s="666"/>
      <c r="B13" s="858" t="str">
        <f>'[12]Production Factor Adj'!A12</f>
        <v>Hydro Production</v>
      </c>
      <c r="C13" s="666"/>
      <c r="D13" s="394">
        <v>330</v>
      </c>
      <c r="E13" s="458" t="s">
        <v>443</v>
      </c>
      <c r="F13" s="643">
        <f t="shared" si="0"/>
        <v>-8652491.4034460969</v>
      </c>
      <c r="G13" s="663" t="str">
        <f>'[12]Production Factor Adj'!C12</f>
        <v>CAGW</v>
      </c>
      <c r="H13" s="615">
        <f>IF(G13="WA",1,VLOOKUP(G13,[13]Factors!$B$4:$E$88,4,0))</f>
        <v>0.22474202685414957</v>
      </c>
      <c r="I13" s="643">
        <f>'[12]Production Factor Adj'!Y12</f>
        <v>-1944578.4553485811</v>
      </c>
    </row>
    <row r="14" spans="1:9" ht="14.1" customHeight="1">
      <c r="A14" s="666"/>
      <c r="B14" s="858" t="str">
        <f>'[12]Production Factor Adj'!A13</f>
        <v>Other Production</v>
      </c>
      <c r="C14" s="666"/>
      <c r="D14" s="394">
        <v>340</v>
      </c>
      <c r="E14" s="458" t="s">
        <v>443</v>
      </c>
      <c r="F14" s="643">
        <f t="shared" si="0"/>
        <v>-21483706.861457113</v>
      </c>
      <c r="G14" s="663" t="str">
        <f>'[12]Production Factor Adj'!C13</f>
        <v>CAGW</v>
      </c>
      <c r="H14" s="615">
        <f>IF(G14="WA",1,VLOOKUP(G14,[13]Factors!$B$4:$E$88,4,0))</f>
        <v>0.22474202685414957</v>
      </c>
      <c r="I14" s="643">
        <f>'[12]Production Factor Adj'!Y13</f>
        <v>-4828291.8243842721</v>
      </c>
    </row>
    <row r="15" spans="1:9" ht="14.1" customHeight="1">
      <c r="A15" s="666"/>
      <c r="C15" s="666"/>
      <c r="D15" s="394"/>
      <c r="E15" s="667"/>
      <c r="F15" s="859">
        <f>SUM(F9:F14)</f>
        <v>-50226505.989614964</v>
      </c>
      <c r="G15" s="663"/>
      <c r="H15" s="615"/>
      <c r="I15" s="859">
        <f>SUM(I9:I14)</f>
        <v>-11114449.246748975</v>
      </c>
    </row>
    <row r="16" spans="1:9" ht="14.1" customHeight="1">
      <c r="A16" s="666"/>
      <c r="B16" s="662" t="str">
        <f>'[12]Production Factor Adj'!A15</f>
        <v>Depreciation Reserve</v>
      </c>
      <c r="C16" s="666"/>
      <c r="D16" s="394"/>
      <c r="E16" s="667"/>
      <c r="F16" s="643"/>
      <c r="G16" s="663"/>
      <c r="H16" s="615"/>
      <c r="I16" s="643"/>
    </row>
    <row r="17" spans="1:9" ht="14.1" customHeight="1">
      <c r="A17" s="666"/>
      <c r="B17" s="458" t="str">
        <f>'[12]Production Factor Adj'!A16</f>
        <v>Steam Production</v>
      </c>
      <c r="C17" s="666"/>
      <c r="D17" s="394" t="str">
        <f>'[12]Production Factor Adj'!B16</f>
        <v>108SP</v>
      </c>
      <c r="E17" s="458" t="s">
        <v>443</v>
      </c>
      <c r="F17" s="643">
        <f t="shared" ref="F17:F20" si="1">I17/H17</f>
        <v>1110037.4658398977</v>
      </c>
      <c r="G17" s="663" t="str">
        <f>'[12]Production Factor Adj'!C16</f>
        <v>CAGW</v>
      </c>
      <c r="H17" s="615">
        <f>IF(G17="WA",1,VLOOKUP(G17,[13]Factors!$B$4:$E$88,4,0))</f>
        <v>0.22474202685414957</v>
      </c>
      <c r="I17" s="643">
        <f>'[12]Production Factor Adj'!Y16</f>
        <v>249472.06995690241</v>
      </c>
    </row>
    <row r="18" spans="1:9" ht="14.1" customHeight="1">
      <c r="A18" s="666"/>
      <c r="B18" s="458" t="str">
        <f>'[12]Production Factor Adj'!A17</f>
        <v>Steam Production</v>
      </c>
      <c r="C18" s="666"/>
      <c r="D18" s="394" t="str">
        <f>'[12]Production Factor Adj'!B17</f>
        <v>108SP</v>
      </c>
      <c r="E18" s="458" t="s">
        <v>443</v>
      </c>
      <c r="F18" s="643">
        <f t="shared" si="1"/>
        <v>8600245.3936529309</v>
      </c>
      <c r="G18" s="663" t="str">
        <f>'[12]Production Factor Adj'!C17</f>
        <v>JBG</v>
      </c>
      <c r="H18" s="615">
        <f>IF(G18="WA",1,VLOOKUP(G18,[13]Factors!$B$4:$E$88,4,0))</f>
        <v>0.21559502636118569</v>
      </c>
      <c r="I18" s="643">
        <f>'[12]Production Factor Adj'!Y17</f>
        <v>1854170.1323572695</v>
      </c>
    </row>
    <row r="19" spans="1:9" ht="14.1" customHeight="1">
      <c r="A19" s="666"/>
      <c r="B19" s="458" t="str">
        <f>'[12]Production Factor Adj'!A18</f>
        <v>Hydro Production</v>
      </c>
      <c r="C19" s="666"/>
      <c r="D19" s="394" t="str">
        <f>'[12]Production Factor Adj'!B18</f>
        <v>108HP</v>
      </c>
      <c r="E19" s="458" t="s">
        <v>443</v>
      </c>
      <c r="F19" s="643">
        <f t="shared" si="1"/>
        <v>3501846.2610474788</v>
      </c>
      <c r="G19" s="663" t="str">
        <f>'[12]Production Factor Adj'!C18</f>
        <v>CAGW</v>
      </c>
      <c r="H19" s="615">
        <f>IF(G19="WA",1,VLOOKUP(G19,[13]Factors!$B$4:$E$88,4,0))</f>
        <v>0.22474202685414957</v>
      </c>
      <c r="I19" s="643">
        <f>'[12]Production Factor Adj'!Y18</f>
        <v>787012.02643943578</v>
      </c>
    </row>
    <row r="20" spans="1:9" ht="14.1" customHeight="1">
      <c r="A20" s="666"/>
      <c r="B20" s="458" t="str">
        <f>'[12]Production Factor Adj'!A19</f>
        <v>Other Production</v>
      </c>
      <c r="C20" s="666"/>
      <c r="D20" s="394" t="str">
        <f>'[12]Production Factor Adj'!B19</f>
        <v>108OP</v>
      </c>
      <c r="E20" s="458" t="s">
        <v>443</v>
      </c>
      <c r="F20" s="643">
        <f t="shared" si="1"/>
        <v>3170668.513448176</v>
      </c>
      <c r="G20" s="663" t="str">
        <f>'[12]Production Factor Adj'!C19</f>
        <v>CAGW</v>
      </c>
      <c r="H20" s="615">
        <f>IF(G20="WA",1,VLOOKUP(G20,[13]Factors!$B$4:$E$88,4,0))</f>
        <v>0.22474202685414957</v>
      </c>
      <c r="I20" s="643">
        <f>'[12]Production Factor Adj'!Y19</f>
        <v>712582.46819497645</v>
      </c>
    </row>
    <row r="21" spans="1:9" ht="14.1" customHeight="1">
      <c r="A21" s="666"/>
      <c r="C21" s="666"/>
      <c r="D21" s="394"/>
      <c r="E21" s="667"/>
      <c r="F21" s="859">
        <f>SUM(F17:F20)</f>
        <v>16382797.633988485</v>
      </c>
      <c r="G21" s="663"/>
      <c r="H21" s="615"/>
      <c r="I21" s="859">
        <f>SUM(I17:I20)</f>
        <v>3603236.6969485842</v>
      </c>
    </row>
    <row r="22" spans="1:9" ht="14.1" customHeight="1">
      <c r="A22" s="666"/>
      <c r="B22" s="678" t="str">
        <f>'[12]Production Factor Adj'!A21</f>
        <v>Depreciation Expense</v>
      </c>
      <c r="C22" s="666"/>
      <c r="D22" s="394"/>
      <c r="E22" s="666"/>
      <c r="F22" s="666"/>
      <c r="G22" s="663"/>
      <c r="H22" s="394"/>
      <c r="I22" s="666"/>
    </row>
    <row r="23" spans="1:9" ht="14.1" customHeight="1">
      <c r="A23" s="666"/>
      <c r="B23" s="858" t="str">
        <f>'[12]Production Factor Adj'!A22</f>
        <v>Steam Production</v>
      </c>
      <c r="C23" s="666"/>
      <c r="D23" s="394" t="str">
        <f>'[12]Production Factor Adj'!B22</f>
        <v>403SP</v>
      </c>
      <c r="E23" s="458" t="s">
        <v>443</v>
      </c>
      <c r="F23" s="643">
        <f t="shared" ref="F23:F26" si="2">I23/H23</f>
        <v>-57507.949908055838</v>
      </c>
      <c r="G23" s="663" t="str">
        <f>'[12]Production Factor Adj'!C22</f>
        <v>CAGW</v>
      </c>
      <c r="H23" s="615">
        <f>IF(G23="WA",1,VLOOKUP(G23,[13]Factors!$B$4:$E$88,4,0))</f>
        <v>0.22474202685414957</v>
      </c>
      <c r="I23" s="643">
        <f>'[12]Production Factor Adj'!Y22</f>
        <v>-12924.453222563374</v>
      </c>
    </row>
    <row r="24" spans="1:9" ht="14.1" customHeight="1">
      <c r="A24" s="666"/>
      <c r="B24" s="858" t="str">
        <f>'[12]Production Factor Adj'!A23</f>
        <v>Steam Production</v>
      </c>
      <c r="C24" s="666"/>
      <c r="D24" s="394" t="str">
        <f>'[12]Production Factor Adj'!B23</f>
        <v>403SP</v>
      </c>
      <c r="E24" s="458" t="s">
        <v>443</v>
      </c>
      <c r="F24" s="643">
        <f t="shared" si="2"/>
        <v>-351810.09603600123</v>
      </c>
      <c r="G24" s="663" t="str">
        <f>'[12]Production Factor Adj'!C23</f>
        <v>JBG</v>
      </c>
      <c r="H24" s="615">
        <f>IF(G24="WA",1,VLOOKUP(G24,[13]Factors!$B$4:$E$88,4,0))</f>
        <v>0.21559502636118569</v>
      </c>
      <c r="I24" s="643">
        <f>'[12]Production Factor Adj'!Y23</f>
        <v>-75848.506929012947</v>
      </c>
    </row>
    <row r="25" spans="1:9" ht="14.1" customHeight="1">
      <c r="A25" s="666"/>
      <c r="B25" s="858" t="str">
        <f>'[12]Production Factor Adj'!A24</f>
        <v>Hydro Production</v>
      </c>
      <c r="C25" s="666"/>
      <c r="D25" s="394" t="str">
        <f>'[12]Production Factor Adj'!B24</f>
        <v>403HP</v>
      </c>
      <c r="E25" s="458" t="s">
        <v>443</v>
      </c>
      <c r="F25" s="643">
        <f t="shared" si="2"/>
        <v>-195783.3277907978</v>
      </c>
      <c r="G25" s="663" t="str">
        <f>'[12]Production Factor Adj'!C24</f>
        <v>CAGW</v>
      </c>
      <c r="H25" s="615">
        <f>IF(G25="WA",1,VLOOKUP(G25,[13]Factors!$B$4:$E$88,4,0))</f>
        <v>0.22474202685414957</v>
      </c>
      <c r="I25" s="643">
        <f>'[12]Production Factor Adj'!Y24</f>
        <v>-44000.741911954246</v>
      </c>
    </row>
    <row r="26" spans="1:9" ht="14.1" customHeight="1">
      <c r="A26" s="666"/>
      <c r="B26" s="858" t="str">
        <f>'[12]Production Factor Adj'!A25</f>
        <v>Other Production</v>
      </c>
      <c r="C26" s="666"/>
      <c r="D26" s="394" t="str">
        <f>'[12]Production Factor Adj'!B25</f>
        <v>403OP</v>
      </c>
      <c r="E26" s="458" t="s">
        <v>443</v>
      </c>
      <c r="F26" s="643">
        <f t="shared" si="2"/>
        <v>-742123.66075999895</v>
      </c>
      <c r="G26" s="663" t="str">
        <f>'[12]Production Factor Adj'!C25</f>
        <v>CAGW</v>
      </c>
      <c r="H26" s="615">
        <f>IF(G26="WA",1,VLOOKUP(G26,[13]Factors!$B$4:$E$88,4,0))</f>
        <v>0.22474202685414957</v>
      </c>
      <c r="I26" s="643">
        <f>'[12]Production Factor Adj'!Y25</f>
        <v>-166786.37569562346</v>
      </c>
    </row>
    <row r="27" spans="1:9" ht="14.1" customHeight="1">
      <c r="A27" s="666"/>
      <c r="B27" s="678"/>
      <c r="C27" s="666"/>
      <c r="D27" s="394"/>
      <c r="E27" s="667"/>
      <c r="F27" s="860">
        <f>SUM(F23:F26)</f>
        <v>-1347225.0344948538</v>
      </c>
      <c r="G27" s="663"/>
      <c r="H27" s="394"/>
      <c r="I27" s="860">
        <f>SUM(I23:I26)</f>
        <v>-299560.07775915402</v>
      </c>
    </row>
    <row r="28" spans="1:9" ht="14.1" customHeight="1">
      <c r="A28" s="666"/>
      <c r="B28" s="678" t="str">
        <f>'[12]Production Factor Adj'!A27</f>
        <v>Operating Expenses (Excluding Net Power Costs)</v>
      </c>
      <c r="C28" s="666"/>
      <c r="D28" s="394"/>
      <c r="E28" s="667"/>
      <c r="F28" s="605"/>
      <c r="G28" s="663"/>
      <c r="H28" s="615"/>
      <c r="I28" s="643"/>
    </row>
    <row r="29" spans="1:9" ht="14.1" customHeight="1">
      <c r="A29" s="666"/>
      <c r="B29" s="858" t="str">
        <f>'[12]Production Factor Adj'!A28</f>
        <v>Steam Production</v>
      </c>
      <c r="C29" s="666"/>
      <c r="D29" s="394">
        <v>501</v>
      </c>
      <c r="E29" s="458" t="s">
        <v>443</v>
      </c>
      <c r="F29" s="643">
        <f t="shared" ref="F29:F42" si="3">I29/H29</f>
        <v>1485.5516367706355</v>
      </c>
      <c r="G29" s="663" t="str">
        <f>'[12]Production Factor Adj'!C28</f>
        <v>SE</v>
      </c>
      <c r="H29" s="615">
        <f>IF(G29="WA",1,VLOOKUP(G29,[13]Factors!$B$4:$E$88,4,0))</f>
        <v>7.6865230547261701E-2</v>
      </c>
      <c r="I29" s="643">
        <f>'[12]Production Factor Adj'!Y28</f>
        <v>114.18726905023686</v>
      </c>
    </row>
    <row r="30" spans="1:9" ht="14.1" customHeight="1">
      <c r="A30" s="666"/>
      <c r="B30" s="858" t="str">
        <f>'[12]Production Factor Adj'!A29</f>
        <v>Steam Production</v>
      </c>
      <c r="C30" s="666"/>
      <c r="D30" s="394">
        <v>501</v>
      </c>
      <c r="E30" s="458" t="s">
        <v>443</v>
      </c>
      <c r="F30" s="643">
        <f t="shared" si="3"/>
        <v>-17335.861269595225</v>
      </c>
      <c r="G30" s="663" t="str">
        <f>'[12]Production Factor Adj'!C29</f>
        <v>JBE</v>
      </c>
      <c r="H30" s="615">
        <f>IF(G30="WA",1,VLOOKUP(G30,[13]Factors!$B$4:$E$88,4,0))</f>
        <v>0.21415849143671642</v>
      </c>
      <c r="I30" s="643">
        <f>'[12]Production Factor Adj'!Y29</f>
        <v>-3712.6218972527131</v>
      </c>
    </row>
    <row r="31" spans="1:9" ht="14.1" customHeight="1">
      <c r="A31" s="666"/>
      <c r="B31" s="858" t="str">
        <f>'[12]Production Factor Adj'!A30</f>
        <v>Steam Production</v>
      </c>
      <c r="C31" s="666"/>
      <c r="D31" s="394">
        <v>500</v>
      </c>
      <c r="E31" s="458" t="s">
        <v>443</v>
      </c>
      <c r="F31" s="643">
        <f t="shared" si="3"/>
        <v>-1179.4631367196143</v>
      </c>
      <c r="G31" s="663" t="str">
        <f>'[12]Production Factor Adj'!C30</f>
        <v>SG</v>
      </c>
      <c r="H31" s="615">
        <f>IF(G31="WA",1,VLOOKUP(G31,[13]Factors!$B$4:$E$88,4,0))</f>
        <v>8.1413745949899169E-2</v>
      </c>
      <c r="I31" s="643">
        <f>'[12]Production Factor Adj'!Y30</f>
        <v>-96.02451217016187</v>
      </c>
    </row>
    <row r="32" spans="1:9" ht="14.1" customHeight="1">
      <c r="A32" s="666"/>
      <c r="B32" s="858" t="str">
        <f>'[12]Production Factor Adj'!A31</f>
        <v>Steam Production</v>
      </c>
      <c r="C32" s="666"/>
      <c r="D32" s="394">
        <v>500</v>
      </c>
      <c r="E32" s="458" t="s">
        <v>443</v>
      </c>
      <c r="F32" s="643">
        <f t="shared" si="3"/>
        <v>-139421.57536477628</v>
      </c>
      <c r="G32" s="663" t="str">
        <f>'[12]Production Factor Adj'!C31</f>
        <v>CAGW</v>
      </c>
      <c r="H32" s="615">
        <f>IF(G32="WA",1,VLOOKUP(G32,[13]Factors!$B$4:$E$88,4,0))</f>
        <v>0.22474202685414957</v>
      </c>
      <c r="I32" s="643">
        <f>'[12]Production Factor Adj'!Y31</f>
        <v>-31333.887434678385</v>
      </c>
    </row>
    <row r="33" spans="1:9" ht="14.1" customHeight="1">
      <c r="A33" s="666"/>
      <c r="B33" s="858" t="str">
        <f>'[12]Production Factor Adj'!A32</f>
        <v>Steam Production</v>
      </c>
      <c r="C33" s="666"/>
      <c r="D33" s="394">
        <v>500</v>
      </c>
      <c r="E33" s="458" t="s">
        <v>443</v>
      </c>
      <c r="F33" s="643">
        <f t="shared" si="3"/>
        <v>-906179.06549895939</v>
      </c>
      <c r="G33" s="663" t="str">
        <f>'[12]Production Factor Adj'!C32</f>
        <v>JBG</v>
      </c>
      <c r="H33" s="615">
        <f>IF(G33="WA",1,VLOOKUP(G33,[13]Factors!$B$4:$E$88,4,0))</f>
        <v>0.21559502636118569</v>
      </c>
      <c r="I33" s="643">
        <f>'[12]Production Factor Adj'!Y32</f>
        <v>-195367.69951420277</v>
      </c>
    </row>
    <row r="34" spans="1:9" ht="14.1" customHeight="1">
      <c r="A34" s="666"/>
      <c r="B34" s="858" t="str">
        <f>'[12]Production Factor Adj'!A33</f>
        <v>Hydro Production</v>
      </c>
      <c r="C34" s="666"/>
      <c r="D34" s="394">
        <v>535</v>
      </c>
      <c r="E34" s="458" t="s">
        <v>443</v>
      </c>
      <c r="F34" s="643">
        <f t="shared" si="3"/>
        <v>-542414.59339982213</v>
      </c>
      <c r="G34" s="663" t="str">
        <f>'[12]Production Factor Adj'!C33</f>
        <v>CAGW</v>
      </c>
      <c r="H34" s="615">
        <f>IF(G34="WA",1,VLOOKUP(G34,[13]Factors!$B$4:$E$88,4,0))</f>
        <v>0.22474202685414957</v>
      </c>
      <c r="I34" s="643">
        <f>'[12]Production Factor Adj'!Y33</f>
        <v>-121903.35511594545</v>
      </c>
    </row>
    <row r="35" spans="1:9" ht="14.1" customHeight="1">
      <c r="B35" s="858" t="str">
        <f>'[12]Production Factor Adj'!A34</f>
        <v>Other Production</v>
      </c>
      <c r="C35" s="666"/>
      <c r="D35" s="394">
        <v>546</v>
      </c>
      <c r="E35" s="458" t="s">
        <v>443</v>
      </c>
      <c r="F35" s="643">
        <f t="shared" si="3"/>
        <v>-24219.506517784546</v>
      </c>
      <c r="G35" s="663" t="str">
        <f>'[12]Production Factor Adj'!C34</f>
        <v>SG</v>
      </c>
      <c r="H35" s="615">
        <f>IF(G35="WA",1,VLOOKUP(G35,[13]Factors!$B$4:$E$88,4,0))</f>
        <v>8.1413745949899169E-2</v>
      </c>
      <c r="I35" s="643">
        <f>'[12]Production Factor Adj'!Y34</f>
        <v>-1971.8007506708382</v>
      </c>
    </row>
    <row r="36" spans="1:9" ht="14.1" customHeight="1">
      <c r="B36" s="858" t="str">
        <f>'[12]Production Factor Adj'!A35</f>
        <v>Other Production</v>
      </c>
      <c r="C36" s="666"/>
      <c r="D36" s="394">
        <v>546</v>
      </c>
      <c r="E36" s="458" t="s">
        <v>443</v>
      </c>
      <c r="F36" s="643">
        <f t="shared" si="3"/>
        <v>-395205.09642436594</v>
      </c>
      <c r="G36" s="663" t="str">
        <f>'[12]Production Factor Adj'!C35</f>
        <v>CAGW</v>
      </c>
      <c r="H36" s="615">
        <f>IF(G36="WA",1,VLOOKUP(G36,[13]Factors!$B$4:$E$88,4,0))</f>
        <v>0.22474202685414957</v>
      </c>
      <c r="I36" s="643">
        <f>'[12]Production Factor Adj'!Y35</f>
        <v>-88819.194393501617</v>
      </c>
    </row>
    <row r="37" spans="1:9" ht="14.1" customHeight="1">
      <c r="B37" s="858" t="str">
        <f>'[12]Production Factor Adj'!A36</f>
        <v>Purchased Power Non-NPC</v>
      </c>
      <c r="C37" s="666"/>
      <c r="D37" s="394">
        <f>'[12]Production Factor Adj'!B36</f>
        <v>555</v>
      </c>
      <c r="E37" s="458" t="s">
        <v>443</v>
      </c>
      <c r="F37" s="643">
        <f t="shared" si="3"/>
        <v>0</v>
      </c>
      <c r="G37" s="663" t="str">
        <f>'[12]Production Factor Adj'!C36</f>
        <v>WA</v>
      </c>
      <c r="H37" s="615">
        <f>IF(G37="WA",1,VLOOKUP(G37,[13]Factors!$B$4:$E$88,4,0))</f>
        <v>1</v>
      </c>
      <c r="I37" s="643">
        <f>'[12]Production Factor Adj'!Y36</f>
        <v>0</v>
      </c>
    </row>
    <row r="38" spans="1:9" ht="14.1" customHeight="1">
      <c r="B38" s="858" t="str">
        <f>'[12]Production Factor Adj'!A37</f>
        <v>System Control</v>
      </c>
      <c r="C38" s="666"/>
      <c r="D38" s="394">
        <f>'[12]Production Factor Adj'!B37</f>
        <v>556</v>
      </c>
      <c r="E38" s="458" t="s">
        <v>443</v>
      </c>
      <c r="F38" s="643">
        <f t="shared" si="3"/>
        <v>-15337.899241199961</v>
      </c>
      <c r="G38" s="663" t="str">
        <f>'[12]Production Factor Adj'!C37</f>
        <v>SG</v>
      </c>
      <c r="H38" s="615">
        <f>IF(G38="WA",1,VLOOKUP(G38,[13]Factors!$B$4:$E$88,4,0))</f>
        <v>8.1413745949899169E-2</v>
      </c>
      <c r="I38" s="643">
        <f>'[12]Production Factor Adj'!Y37</f>
        <v>-1248.7158322282048</v>
      </c>
    </row>
    <row r="39" spans="1:9" ht="14.1" customHeight="1">
      <c r="B39" s="858" t="str">
        <f>'[12]Production Factor Adj'!A38</f>
        <v>Other Power Supply</v>
      </c>
      <c r="C39" s="666"/>
      <c r="D39" s="394">
        <f>'[12]Production Factor Adj'!B38</f>
        <v>557</v>
      </c>
      <c r="E39" s="458" t="s">
        <v>443</v>
      </c>
      <c r="F39" s="643">
        <f t="shared" si="3"/>
        <v>1695.6683760000014</v>
      </c>
      <c r="G39" s="663" t="str">
        <f>'[12]Production Factor Adj'!C38</f>
        <v>WA</v>
      </c>
      <c r="H39" s="615">
        <f>IF(G39="WA",1,VLOOKUP(G39,[13]Factors!$B$4:$E$88,4,0))</f>
        <v>1</v>
      </c>
      <c r="I39" s="643">
        <f>'[12]Production Factor Adj'!Y38</f>
        <v>1695.6683760000014</v>
      </c>
    </row>
    <row r="40" spans="1:9" ht="14.1" customHeight="1">
      <c r="B40" s="858" t="str">
        <f>'[12]Production Factor Adj'!A39</f>
        <v>Other Power Supply</v>
      </c>
      <c r="C40" s="666"/>
      <c r="D40" s="394">
        <f>'[12]Production Factor Adj'!B39</f>
        <v>557</v>
      </c>
      <c r="E40" s="458" t="s">
        <v>443</v>
      </c>
      <c r="F40" s="643">
        <f t="shared" si="3"/>
        <v>-666491.76126304758</v>
      </c>
      <c r="G40" s="663" t="str">
        <f>'[12]Production Factor Adj'!C39</f>
        <v>SG</v>
      </c>
      <c r="H40" s="615">
        <f>IF(G40="WA",1,VLOOKUP(G40,[13]Factors!$B$4:$E$88,4,0))</f>
        <v>8.1413745949899169E-2</v>
      </c>
      <c r="I40" s="643">
        <f>'[12]Production Factor Adj'!Y39</f>
        <v>-54261.590929170605</v>
      </c>
    </row>
    <row r="41" spans="1:9" ht="14.1" customHeight="1">
      <c r="B41" s="858" t="str">
        <f>'[12]Production Factor Adj'!A40</f>
        <v>Other Power Supply</v>
      </c>
      <c r="C41" s="666"/>
      <c r="D41" s="394">
        <f>'[12]Production Factor Adj'!B40</f>
        <v>557</v>
      </c>
      <c r="E41" s="458" t="s">
        <v>443</v>
      </c>
      <c r="F41" s="643">
        <f t="shared" si="3"/>
        <v>-2814.8094266525009</v>
      </c>
      <c r="G41" s="663" t="str">
        <f>'[12]Production Factor Adj'!C40</f>
        <v>CAGW</v>
      </c>
      <c r="H41" s="615">
        <f>IF(G41="WA",1,VLOOKUP(G41,[13]Factors!$B$4:$E$88,4,0))</f>
        <v>0.22474202685414957</v>
      </c>
      <c r="I41" s="643">
        <f>'[12]Production Factor Adj'!Y40</f>
        <v>-632.60597575404972</v>
      </c>
    </row>
    <row r="42" spans="1:9" ht="14.1" customHeight="1">
      <c r="B42" s="858" t="str">
        <f>'[12]Production Factor Adj'!A41</f>
        <v>Other Power Supply</v>
      </c>
      <c r="C42" s="666"/>
      <c r="D42" s="394">
        <f>'[12]Production Factor Adj'!B41</f>
        <v>557</v>
      </c>
      <c r="E42" s="458" t="s">
        <v>443</v>
      </c>
      <c r="F42" s="643">
        <f t="shared" si="3"/>
        <v>-39665.636412664484</v>
      </c>
      <c r="G42" s="663" t="str">
        <f>'[12]Production Factor Adj'!C41</f>
        <v>JBG</v>
      </c>
      <c r="H42" s="615">
        <f>IF(G42="WA",1,VLOOKUP(G42,[13]Factors!$B$4:$E$88,4,0))</f>
        <v>0.21559502636118569</v>
      </c>
      <c r="I42" s="643">
        <f>'[12]Production Factor Adj'!Y41</f>
        <v>-8551.713928021607</v>
      </c>
    </row>
    <row r="43" spans="1:9" ht="14.1" customHeight="1">
      <c r="B43" s="678"/>
      <c r="C43" s="666"/>
      <c r="D43" s="394"/>
      <c r="E43" s="667"/>
      <c r="F43" s="859">
        <f>SUM(F29:F42)</f>
        <v>-2747084.0479428172</v>
      </c>
      <c r="G43" s="663"/>
      <c r="H43" s="606"/>
      <c r="I43" s="859">
        <f>SUM(I29:I42)</f>
        <v>-506089.35463854612</v>
      </c>
    </row>
    <row r="44" spans="1:9" ht="14.1" customHeight="1">
      <c r="B44" s="678" t="str">
        <f>'[12]Production Factor Adj'!A43</f>
        <v>Net Power Costs</v>
      </c>
      <c r="C44" s="666"/>
      <c r="D44" s="394"/>
      <c r="E44" s="667"/>
      <c r="F44" s="643"/>
      <c r="G44" s="663"/>
      <c r="H44" s="615"/>
      <c r="I44" s="643"/>
    </row>
    <row r="45" spans="1:9" ht="14.1" customHeight="1">
      <c r="B45" s="858" t="str">
        <f>'[12]Production Factor Adj'!A44</f>
        <v>Sales for Resale</v>
      </c>
      <c r="C45" s="666"/>
      <c r="D45" s="394" t="str">
        <f>'[12]Production Factor Adj'!B44</f>
        <v>447NPC</v>
      </c>
      <c r="E45" s="458" t="s">
        <v>443</v>
      </c>
      <c r="F45" s="643">
        <f t="shared" ref="F45:F52" si="4">I45/H45</f>
        <v>-3302688.5575823789</v>
      </c>
      <c r="G45" s="663" t="str">
        <f>'[12]Production Factor Adj'!C44</f>
        <v>CAGW</v>
      </c>
      <c r="H45" s="615">
        <f>IF(G45="WA",1,VLOOKUP(G45,[13]Factors!$B$4:$E$88,4,0))</f>
        <v>0.22474202685414957</v>
      </c>
      <c r="I45" s="643">
        <f>'[12]Production Factor Adj'!Y44</f>
        <v>-742252.92049907148</v>
      </c>
    </row>
    <row r="46" spans="1:9" ht="14.1" customHeight="1">
      <c r="B46" s="858" t="str">
        <f>'[12]Production Factor Adj'!A45</f>
        <v>Purchased Power</v>
      </c>
      <c r="C46" s="666"/>
      <c r="D46" s="394" t="str">
        <f>'[12]Production Factor Adj'!B45</f>
        <v>555NPC</v>
      </c>
      <c r="E46" s="458" t="s">
        <v>443</v>
      </c>
      <c r="F46" s="643">
        <f t="shared" si="4"/>
        <v>-4956214.6386495959</v>
      </c>
      <c r="G46" s="663" t="str">
        <f>'[12]Production Factor Adj'!C45</f>
        <v>CAGW</v>
      </c>
      <c r="H46" s="615">
        <f>IF(G46="WA",1,VLOOKUP(G46,[13]Factors!$B$4:$E$88,4,0))</f>
        <v>0.22474202685414957</v>
      </c>
      <c r="I46" s="643">
        <f>'[12]Production Factor Adj'!Y45</f>
        <v>-1113869.7234143168</v>
      </c>
    </row>
    <row r="47" spans="1:9" ht="14.1" customHeight="1">
      <c r="B47" s="858" t="str">
        <f>'[12]Production Factor Adj'!A46</f>
        <v>Purchased Power</v>
      </c>
      <c r="C47" s="666"/>
      <c r="D47" s="394" t="str">
        <f>'[12]Production Factor Adj'!B46</f>
        <v>555NPC</v>
      </c>
      <c r="E47" s="458" t="s">
        <v>443</v>
      </c>
      <c r="F47" s="643">
        <f t="shared" si="4"/>
        <v>-49269.333231134842</v>
      </c>
      <c r="G47" s="663" t="str">
        <f>'[12]Production Factor Adj'!C46</f>
        <v>CAEW</v>
      </c>
      <c r="H47" s="615">
        <f>IF(G47="WA",1,VLOOKUP(G47,[13]Factors!$B$4:$E$88,4,0))</f>
        <v>0.22324454439353322</v>
      </c>
      <c r="I47" s="643">
        <f>'[12]Production Factor Adj'!Y46</f>
        <v>-10999.109849757864</v>
      </c>
    </row>
    <row r="48" spans="1:9" ht="14.1" customHeight="1">
      <c r="B48" s="858" t="str">
        <f>'[12]Production Factor Adj'!A47</f>
        <v>Purchased Power</v>
      </c>
      <c r="C48" s="666"/>
      <c r="D48" s="394" t="str">
        <f>'[12]Production Factor Adj'!B47</f>
        <v>555NPC</v>
      </c>
      <c r="E48" s="458" t="s">
        <v>443</v>
      </c>
      <c r="F48" s="643">
        <f t="shared" si="4"/>
        <v>-27112.594350000145</v>
      </c>
      <c r="G48" s="663" t="str">
        <f>'[12]Production Factor Adj'!C47</f>
        <v>WA</v>
      </c>
      <c r="H48" s="615">
        <f>IF(G48="WA",1,VLOOKUP(G48,[13]Factors!$B$4:$E$88,4,0))</f>
        <v>1</v>
      </c>
      <c r="I48" s="643">
        <f>'[12]Production Factor Adj'!Y47</f>
        <v>-27112.594350000145</v>
      </c>
    </row>
    <row r="49" spans="2:9" ht="14.1" customHeight="1">
      <c r="B49" s="858" t="str">
        <f>'[12]Production Factor Adj'!A48</f>
        <v>Wheeling Expenses</v>
      </c>
      <c r="C49" s="666"/>
      <c r="D49" s="394" t="str">
        <f>'[12]Production Factor Adj'!B48</f>
        <v>565NPC</v>
      </c>
      <c r="E49" s="458" t="s">
        <v>443</v>
      </c>
      <c r="F49" s="643">
        <f t="shared" si="4"/>
        <v>-1584934.7173000041</v>
      </c>
      <c r="G49" s="663" t="str">
        <f>'[12]Production Factor Adj'!C48</f>
        <v>CAGW</v>
      </c>
      <c r="H49" s="615">
        <f>IF(G49="WA",1,VLOOKUP(G49,[13]Factors!$B$4:$E$88,4,0))</f>
        <v>0.22474202685414957</v>
      </c>
      <c r="I49" s="643">
        <f>'[12]Production Factor Adj'!Y48</f>
        <v>-356201.44079751149</v>
      </c>
    </row>
    <row r="50" spans="2:9" ht="14.1" customHeight="1">
      <c r="B50" s="858" t="str">
        <f>'[12]Production Factor Adj'!A49</f>
        <v>Wheeling Expenses</v>
      </c>
      <c r="C50" s="666"/>
      <c r="D50" s="394" t="str">
        <f>'[12]Production Factor Adj'!B49</f>
        <v>565NPC</v>
      </c>
      <c r="E50" s="458" t="s">
        <v>443</v>
      </c>
      <c r="F50" s="643">
        <f t="shared" si="4"/>
        <v>0</v>
      </c>
      <c r="G50" s="663" t="str">
        <f>'[12]Production Factor Adj'!C49</f>
        <v>CAEW</v>
      </c>
      <c r="H50" s="615">
        <f>IF(G50="WA",1,VLOOKUP(G50,[13]Factors!$B$4:$E$88,4,0))</f>
        <v>0.22324454439353322</v>
      </c>
      <c r="I50" s="643">
        <f>'[12]Production Factor Adj'!Y49</f>
        <v>0</v>
      </c>
    </row>
    <row r="51" spans="2:9" ht="14.1" customHeight="1">
      <c r="B51" s="858" t="str">
        <f>'[12]Production Factor Adj'!A50</f>
        <v>Fuel Expenses</v>
      </c>
      <c r="C51" s="666"/>
      <c r="D51" s="394" t="str">
        <f>'[12]Production Factor Adj'!B50</f>
        <v>501NPC</v>
      </c>
      <c r="E51" s="458" t="s">
        <v>443</v>
      </c>
      <c r="F51" s="643">
        <f t="shared" si="4"/>
        <v>-3285746.5745031908</v>
      </c>
      <c r="G51" s="663" t="str">
        <f>'[12]Production Factor Adj'!C50</f>
        <v>CAEW</v>
      </c>
      <c r="H51" s="615">
        <f>IF(G51="WA",1,VLOOKUP(G51,[13]Factors!$B$4:$E$88,4,0))</f>
        <v>0.22324454439353322</v>
      </c>
      <c r="I51" s="643">
        <f>'[12]Production Factor Adj'!Y50</f>
        <v>-733524.99701757729</v>
      </c>
    </row>
    <row r="52" spans="2:9" ht="14.1" customHeight="1">
      <c r="B52" s="858" t="str">
        <f>'[12]Production Factor Adj'!A51</f>
        <v>Fuel Expenses</v>
      </c>
      <c r="C52" s="666"/>
      <c r="D52" s="394" t="str">
        <f>'[12]Production Factor Adj'!B51</f>
        <v>547NPC</v>
      </c>
      <c r="E52" s="458" t="s">
        <v>443</v>
      </c>
      <c r="F52" s="468">
        <f t="shared" si="4"/>
        <v>-2784723.435099232</v>
      </c>
      <c r="G52" s="663" t="str">
        <f>'[12]Production Factor Adj'!C51</f>
        <v>CAEW</v>
      </c>
      <c r="H52" s="615">
        <f>IF(G52="WA",1,VLOOKUP(G52,[13]Factors!$B$4:$E$88,4,0))</f>
        <v>0.22324454439353322</v>
      </c>
      <c r="I52" s="643">
        <f>'[12]Production Factor Adj'!Y51</f>
        <v>-621674.3145307228</v>
      </c>
    </row>
    <row r="53" spans="2:9" ht="14.1" customHeight="1">
      <c r="B53" s="858"/>
      <c r="C53" s="666"/>
      <c r="D53" s="394"/>
      <c r="E53" s="667"/>
      <c r="F53" s="859">
        <f>-F45+SUM(F46:F52)</f>
        <v>-9385312.7355507798</v>
      </c>
      <c r="G53" s="663"/>
      <c r="H53" s="606"/>
      <c r="I53" s="859">
        <f>-I45+SUM(I46:I52)</f>
        <v>-2121129.2594608152</v>
      </c>
    </row>
    <row r="54" spans="2:9" ht="14.1" customHeight="1">
      <c r="B54" s="678" t="str">
        <f>'[12]Production Factor Adj'!A53</f>
        <v>James River Royalty Offset</v>
      </c>
      <c r="C54" s="666"/>
      <c r="D54" s="394"/>
      <c r="E54" s="667"/>
      <c r="F54" s="643"/>
      <c r="G54" s="663"/>
      <c r="H54" s="606"/>
      <c r="I54" s="643"/>
    </row>
    <row r="55" spans="2:9" ht="14.1" customHeight="1">
      <c r="B55" s="858" t="str">
        <f>'[12]Production Factor Adj'!A54</f>
        <v>Other Electric Revenue</v>
      </c>
      <c r="C55" s="666"/>
      <c r="D55" s="394">
        <f>'[12]Production Factor Adj'!B54</f>
        <v>456</v>
      </c>
      <c r="E55" s="458" t="s">
        <v>443</v>
      </c>
      <c r="F55" s="643">
        <f>I55/H55</f>
        <v>-85597.59800809242</v>
      </c>
      <c r="G55" s="663" t="str">
        <f>'[12]Production Factor Adj'!C54</f>
        <v>CAGW</v>
      </c>
      <c r="H55" s="615">
        <f>IF(G55="WA",1,VLOOKUP(G55,[13]Factors!$B$4:$E$88,4,0))</f>
        <v>0.22474202685414957</v>
      </c>
      <c r="I55" s="643">
        <f>'[12]Production Factor Adj'!Y54</f>
        <v>-19237.377670185408</v>
      </c>
    </row>
    <row r="56" spans="2:9" ht="14.1" customHeight="1">
      <c r="B56" s="858"/>
      <c r="C56" s="666"/>
      <c r="D56" s="394"/>
      <c r="E56" s="667"/>
      <c r="F56" s="643"/>
      <c r="G56" s="663"/>
      <c r="H56" s="606"/>
      <c r="I56" s="643"/>
    </row>
    <row r="57" spans="2:9" ht="14.1" customHeight="1">
      <c r="B57" s="678" t="str">
        <f>'[12]Production Factor Adj'!A56</f>
        <v>Jim Bridger Mine Rate Base</v>
      </c>
      <c r="C57" s="666"/>
      <c r="D57" s="394"/>
      <c r="E57" s="667"/>
      <c r="F57" s="643"/>
      <c r="G57" s="663"/>
      <c r="H57" s="606"/>
      <c r="I57" s="643"/>
    </row>
    <row r="58" spans="2:9" ht="14.1" customHeight="1">
      <c r="B58" s="858" t="str">
        <f>'[12]Production Factor Adj'!A57</f>
        <v>Coal Mine</v>
      </c>
      <c r="C58" s="666"/>
      <c r="D58" s="394">
        <f>'[12]Production Factor Adj'!B57</f>
        <v>399</v>
      </c>
      <c r="E58" s="458" t="s">
        <v>443</v>
      </c>
      <c r="F58" s="643">
        <f t="shared" ref="F58:F60" si="5">I58/H58</f>
        <v>-4814792.4629801549</v>
      </c>
      <c r="G58" s="663" t="str">
        <f>'[12]Production Factor Adj'!C57</f>
        <v>JBE</v>
      </c>
      <c r="H58" s="615">
        <f>IF(G58="WA",1,VLOOKUP(G58,[13]Factors!$B$4:$E$88,4,0))</f>
        <v>0.21415849143671642</v>
      </c>
      <c r="I58" s="643">
        <f>'[12]Production Factor Adj'!Y57</f>
        <v>-1031128.6904527023</v>
      </c>
    </row>
    <row r="59" spans="2:9" ht="14.1" customHeight="1">
      <c r="B59" s="858" t="str">
        <f>'[12]Production Factor Adj'!A58</f>
        <v>Misc. Deferred Debits</v>
      </c>
      <c r="C59" s="666"/>
      <c r="D59" s="394" t="str">
        <f>'[12]Production Factor Adj'!B58</f>
        <v>186M</v>
      </c>
      <c r="E59" s="458" t="s">
        <v>443</v>
      </c>
      <c r="F59" s="643">
        <f t="shared" si="5"/>
        <v>-31427.302828879518</v>
      </c>
      <c r="G59" s="663" t="str">
        <f>'[12]Production Factor Adj'!C58</f>
        <v>JBE</v>
      </c>
      <c r="H59" s="615">
        <f>IF(G59="WA",1,VLOOKUP(G59,[13]Factors!$B$4:$E$88,4,0))</f>
        <v>0.21415849143671642</v>
      </c>
      <c r="I59" s="643">
        <f>'[12]Production Factor Adj'!Y58</f>
        <v>-6730.423763757688</v>
      </c>
    </row>
    <row r="60" spans="2:9" ht="14.1" customHeight="1">
      <c r="B60" s="858" t="str">
        <f>'[12]Production Factor Adj'!A59</f>
        <v>Mining Plant Accum. Depr.</v>
      </c>
      <c r="C60" s="666"/>
      <c r="D60" s="394" t="str">
        <f>'[12]Production Factor Adj'!B59</f>
        <v>108MP</v>
      </c>
      <c r="E60" s="458" t="s">
        <v>443</v>
      </c>
      <c r="F60" s="643">
        <f t="shared" si="5"/>
        <v>2186762.7972154296</v>
      </c>
      <c r="G60" s="663" t="str">
        <f>'[12]Production Factor Adj'!C59</f>
        <v>JBE</v>
      </c>
      <c r="H60" s="615">
        <f>IF(G60="WA",1,VLOOKUP(G60,[13]Factors!$B$4:$E$88,4,0))</f>
        <v>0.21415849143671642</v>
      </c>
      <c r="I60" s="643">
        <f>'[12]Production Factor Adj'!Y59</f>
        <v>468313.82178159058</v>
      </c>
    </row>
    <row r="61" spans="2:9" ht="14.1" customHeight="1">
      <c r="B61" s="858"/>
      <c r="C61" s="666"/>
      <c r="D61" s="394"/>
      <c r="E61" s="667"/>
      <c r="F61" s="859">
        <f>SUM(F58:F60)</f>
        <v>-2659456.9685936044</v>
      </c>
      <c r="G61" s="663"/>
      <c r="H61" s="615"/>
      <c r="I61" s="859">
        <f>SUM(I58:I60)</f>
        <v>-569545.29243486945</v>
      </c>
    </row>
    <row r="62" spans="2:9" ht="14.1" customHeight="1">
      <c r="B62" s="678" t="str">
        <f>'[12]Production Factor Adj'!A61</f>
        <v>SO2 Emission Allowance Sales</v>
      </c>
      <c r="C62" s="666"/>
      <c r="D62" s="394"/>
      <c r="E62" s="667"/>
      <c r="F62" s="861"/>
      <c r="G62" s="663"/>
      <c r="H62" s="606"/>
      <c r="I62" s="643"/>
    </row>
    <row r="63" spans="2:9" ht="14.1" customHeight="1">
      <c r="B63" s="858" t="str">
        <f>'[12]Production Factor Adj'!A62</f>
        <v>Gain from Emission Sales</v>
      </c>
      <c r="C63" s="666"/>
      <c r="D63" s="394">
        <f>'[12]Production Factor Adj'!B62</f>
        <v>4118</v>
      </c>
      <c r="E63" s="458" t="s">
        <v>443</v>
      </c>
      <c r="F63" s="643">
        <f t="shared" ref="F63:F65" si="6">I63/H63</f>
        <v>0</v>
      </c>
      <c r="G63" s="663" t="str">
        <f>'[12]Production Factor Adj'!C62</f>
        <v>SE</v>
      </c>
      <c r="H63" s="615">
        <f>IF(G63="WA",1,VLOOKUP(G63,[13]Factors!$B$4:$E$88,4,0))</f>
        <v>7.6865230547261701E-2</v>
      </c>
      <c r="I63" s="643">
        <f>'[12]Production Factor Adj'!Y62</f>
        <v>0</v>
      </c>
    </row>
    <row r="64" spans="2:9" ht="14.1" customHeight="1">
      <c r="B64" s="858" t="str">
        <f>'[12]Production Factor Adj'!A63</f>
        <v>Gain from Emission Sales</v>
      </c>
      <c r="C64" s="666"/>
      <c r="D64" s="394">
        <f>'[12]Production Factor Adj'!B63</f>
        <v>4118</v>
      </c>
      <c r="E64" s="458" t="s">
        <v>443</v>
      </c>
      <c r="F64" s="643">
        <f t="shared" si="6"/>
        <v>15951.581451000529</v>
      </c>
      <c r="G64" s="663" t="str">
        <f>'[12]Production Factor Adj'!C63</f>
        <v>WA</v>
      </c>
      <c r="H64" s="615">
        <f>IF(G64="WA",1,VLOOKUP(G64,[13]Factors!$B$4:$E$88,4,0))</f>
        <v>1</v>
      </c>
      <c r="I64" s="643">
        <f>'[12]Production Factor Adj'!Y63</f>
        <v>15951.581451000529</v>
      </c>
    </row>
    <row r="65" spans="1:9" ht="14.1" customHeight="1">
      <c r="B65" s="858" t="str">
        <f>'[12]Production Factor Adj'!A64</f>
        <v>Regulatory Deferred Sales</v>
      </c>
      <c r="C65" s="666"/>
      <c r="D65" s="394">
        <f>'[12]Production Factor Adj'!B64</f>
        <v>25398</v>
      </c>
      <c r="E65" s="458" t="s">
        <v>443</v>
      </c>
      <c r="F65" s="643">
        <f t="shared" si="6"/>
        <v>56207.192047362681</v>
      </c>
      <c r="G65" s="663" t="str">
        <f>'[12]Production Factor Adj'!C64</f>
        <v>WA</v>
      </c>
      <c r="H65" s="615">
        <f>IF(G65="WA",1,VLOOKUP(G65,[13]Factors!$B$4:$E$88,4,0))</f>
        <v>1</v>
      </c>
      <c r="I65" s="643">
        <f>'[12]Production Factor Adj'!Y64</f>
        <v>56207.192047362681</v>
      </c>
    </row>
    <row r="66" spans="1:9" ht="14.1" customHeight="1">
      <c r="B66" s="858"/>
      <c r="C66" s="666"/>
      <c r="D66" s="394"/>
      <c r="F66" s="643"/>
      <c r="G66" s="663"/>
      <c r="H66" s="615"/>
      <c r="I66" s="643"/>
    </row>
    <row r="67" spans="1:9" ht="14.1" customHeight="1">
      <c r="A67" s="666"/>
      <c r="B67" s="678" t="str">
        <f>'[12]Production Factor Adj'!A66</f>
        <v>Renewable Energy Tax Credits</v>
      </c>
      <c r="C67" s="666"/>
      <c r="D67" s="394"/>
      <c r="F67" s="643"/>
      <c r="G67" s="663"/>
      <c r="H67" s="615"/>
      <c r="I67" s="643"/>
    </row>
    <row r="68" spans="1:9" ht="14.1" customHeight="1">
      <c r="A68" s="666"/>
      <c r="B68" s="858" t="str">
        <f>'[12]Production Factor Adj'!A67</f>
        <v>Federal Taxes</v>
      </c>
      <c r="C68" s="666"/>
      <c r="D68" s="394">
        <f>'[12]Production Factor Adj'!B67</f>
        <v>40910</v>
      </c>
      <c r="E68" s="458" t="s">
        <v>443</v>
      </c>
      <c r="F68" s="643">
        <f t="shared" ref="F68:F72" si="7">I68/H68</f>
        <v>445005.28064000135</v>
      </c>
      <c r="G68" s="663" t="str">
        <f>'[12]Production Factor Adj'!C67</f>
        <v>CAGW</v>
      </c>
      <c r="H68" s="615">
        <f>IF(G68="WA",1,VLOOKUP(G68,[13]Factors!$B$4:$E$88,4,0))</f>
        <v>0.22474202685414957</v>
      </c>
      <c r="I68" s="643">
        <f>'[12]Production Factor Adj'!Y67</f>
        <v>100011.38873183355</v>
      </c>
    </row>
    <row r="69" spans="1:9" ht="14.1" customHeight="1">
      <c r="A69" s="666"/>
      <c r="B69" s="858" t="str">
        <f>'[12]Production Factor Adj'!A68</f>
        <v>Federal Taxes</v>
      </c>
      <c r="C69" s="666"/>
      <c r="D69" s="394">
        <f>'[12]Production Factor Adj'!B68</f>
        <v>40910</v>
      </c>
      <c r="E69" s="458" t="s">
        <v>443</v>
      </c>
      <c r="F69" s="643">
        <f t="shared" si="7"/>
        <v>291.33916000000232</v>
      </c>
      <c r="G69" s="663" t="str">
        <f>'[12]Production Factor Adj'!C68</f>
        <v>SE</v>
      </c>
      <c r="H69" s="615">
        <f>IF(G69="WA",1,VLOOKUP(G69,[13]Factors!$B$4:$E$88,4,0))</f>
        <v>7.6865230547261701E-2</v>
      </c>
      <c r="I69" s="643">
        <f>'[12]Production Factor Adj'!Y68</f>
        <v>22.393851700845744</v>
      </c>
    </row>
    <row r="70" spans="1:9" ht="14.1" customHeight="1">
      <c r="A70" s="666"/>
      <c r="B70" s="858" t="str">
        <f>'[12]Production Factor Adj'!A69</f>
        <v>Federal Taxes</v>
      </c>
      <c r="C70" s="666"/>
      <c r="D70" s="394">
        <f>'[12]Production Factor Adj'!B69</f>
        <v>40910</v>
      </c>
      <c r="E70" s="458" t="s">
        <v>443</v>
      </c>
      <c r="F70" s="643">
        <f t="shared" si="7"/>
        <v>481.62644000000239</v>
      </c>
      <c r="G70" s="663" t="str">
        <f>'[12]Production Factor Adj'!C69</f>
        <v>JBE</v>
      </c>
      <c r="H70" s="615">
        <f>IF(G70="WA",1,VLOOKUP(G70,[13]Factors!$B$4:$E$88,4,0))</f>
        <v>0.21415849143671642</v>
      </c>
      <c r="I70" s="643">
        <f>'[12]Production Factor Adj'!Y69</f>
        <v>103.14439182643673</v>
      </c>
    </row>
    <row r="71" spans="1:9" ht="14.1" customHeight="1">
      <c r="A71" s="666"/>
      <c r="B71" s="858" t="str">
        <f>'[12]Production Factor Adj'!A70</f>
        <v>Federal Taxes</v>
      </c>
      <c r="C71" s="666"/>
      <c r="D71" s="394">
        <f>'[12]Production Factor Adj'!B70</f>
        <v>40910</v>
      </c>
      <c r="E71" s="458" t="s">
        <v>443</v>
      </c>
      <c r="F71" s="643">
        <f t="shared" si="7"/>
        <v>517.6177600000027</v>
      </c>
      <c r="G71" s="663" t="str">
        <f>'[12]Production Factor Adj'!C70</f>
        <v>SO</v>
      </c>
      <c r="H71" s="615">
        <f>IF(G71="WA",1,VLOOKUP(G71,[13]Factors!$B$4:$E$88,4,0))</f>
        <v>7.2043717522988007E-2</v>
      </c>
      <c r="I71" s="643">
        <f>'[12]Production Factor Adj'!Y70</f>
        <v>37.291107686321993</v>
      </c>
    </row>
    <row r="72" spans="1:9" ht="14.1" customHeight="1">
      <c r="A72" s="666"/>
      <c r="B72" s="858" t="str">
        <f>'[12]Production Factor Adj'!A71</f>
        <v>Federal Taxes</v>
      </c>
      <c r="C72" s="666"/>
      <c r="D72" s="394">
        <f>'[12]Production Factor Adj'!B71</f>
        <v>40910</v>
      </c>
      <c r="E72" s="458" t="s">
        <v>443</v>
      </c>
      <c r="F72" s="643">
        <f t="shared" si="7"/>
        <v>1244.4885999998605</v>
      </c>
      <c r="G72" s="663" t="str">
        <f>'[12]Production Factor Adj'!C71</f>
        <v>SG</v>
      </c>
      <c r="H72" s="615">
        <f>IF(G72="WA",1,VLOOKUP(G72,[13]Factors!$B$4:$E$88,4,0))</f>
        <v>8.1413745949899169E-2</v>
      </c>
      <c r="I72" s="643">
        <f>'[12]Production Factor Adj'!Y71</f>
        <v>101.31847871793434</v>
      </c>
    </row>
    <row r="73" spans="1:9" ht="14.1" customHeight="1">
      <c r="A73" s="666"/>
      <c r="B73" s="858"/>
      <c r="C73" s="666"/>
      <c r="D73" s="394"/>
      <c r="F73" s="859">
        <f>SUM(F68:F72)</f>
        <v>447540.35260000121</v>
      </c>
      <c r="G73" s="663"/>
      <c r="H73" s="615"/>
      <c r="I73" s="859">
        <f>SUM(I68:I72)</f>
        <v>100275.5365617651</v>
      </c>
    </row>
    <row r="74" spans="1:9" ht="14.1" customHeight="1">
      <c r="A74" s="666"/>
      <c r="B74" s="678" t="str">
        <f>'[12]Production Factor Adj'!A73</f>
        <v>Renewable Energy Credit Sales</v>
      </c>
      <c r="C74" s="666"/>
      <c r="D74" s="394"/>
      <c r="F74" s="643"/>
      <c r="G74" s="663"/>
      <c r="H74" s="615"/>
      <c r="I74" s="643"/>
    </row>
    <row r="75" spans="1:9" ht="14.1" customHeight="1">
      <c r="A75" s="666"/>
      <c r="B75" s="858" t="str">
        <f>'[12]Production Factor Adj'!A74</f>
        <v>Other Electric Revenue</v>
      </c>
      <c r="C75" s="666"/>
      <c r="D75" s="394">
        <f>'[12]Production Factor Adj'!B74</f>
        <v>456</v>
      </c>
      <c r="E75" s="458" t="s">
        <v>443</v>
      </c>
      <c r="F75" s="643">
        <f t="shared" ref="F75" si="8">I75/H75</f>
        <v>0</v>
      </c>
      <c r="G75" s="663" t="str">
        <f>'[12]Production Factor Adj'!C74</f>
        <v>SG</v>
      </c>
      <c r="H75" s="615">
        <f>IF(G75="WA",1,VLOOKUP(G75,[13]Factors!$B$4:$E$88,4,0))</f>
        <v>8.1413745949899169E-2</v>
      </c>
      <c r="I75" s="643">
        <f>'[12]Production Factor Adj'!Y74</f>
        <v>0</v>
      </c>
    </row>
  </sheetData>
  <conditionalFormatting sqref="B24:B26 B28 B8:B21">
    <cfRule type="cellIs" dxfId="2" priority="3" stopIfTrue="1" operator="equal">
      <formula>"Title"</formula>
    </cfRule>
  </conditionalFormatting>
  <conditionalFormatting sqref="B23 B27 B13">
    <cfRule type="cellIs" dxfId="1" priority="2" stopIfTrue="1" operator="equal">
      <formula>"Adjustment to Income/Expense/Rate Base:"</formula>
    </cfRule>
  </conditionalFormatting>
  <conditionalFormatting sqref="I6">
    <cfRule type="cellIs" dxfId="0" priority="1" stopIfTrue="1" operator="equal">
      <formula>"Update"</formula>
    </cfRule>
  </conditionalFormatting>
  <dataValidations count="4">
    <dataValidation type="list" errorStyle="warning" allowBlank="1" showInputMessage="1" showErrorMessage="1" errorTitle="Factor" error="This factor is not included in the drop-down list. Is this the factor you want to use?" sqref="G8">
      <formula1>#REF!</formula1>
    </dataValidation>
    <dataValidation type="list" allowBlank="1" showInputMessage="1" showErrorMessage="1" errorTitle="Oops!" error="You must enter a state, or, if the adjustment is system, enter all states." sqref="I6">
      <formula1>#REF!</formula1>
    </dataValidation>
    <dataValidation type="list" errorStyle="warning" allowBlank="1" showInputMessage="1" showErrorMessage="1" errorTitle="FERC ACCOUNT" error="This FERC Account is not included in the drop-down list. Is this the account you want to use?" sqref="D8">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3:E44 E61:E62 E56:E57 E53:E54 E15:E16 E8 E28 E21">
      <formula1>"1, 2, 3"</formula1>
    </dataValidation>
  </dataValidations>
  <pageMargins left="0.7" right="0.7" top="0.75" bottom="0.48" header="0.3" footer="0.3"/>
  <pageSetup scale="66" orientation="portrait" r:id="rId1"/>
</worksheet>
</file>

<file path=xl/worksheets/sheet18.xml><?xml version="1.0" encoding="utf-8"?>
<worksheet xmlns="http://schemas.openxmlformats.org/spreadsheetml/2006/main" xmlns:r="http://schemas.openxmlformats.org/officeDocument/2006/relationships">
  <sheetPr codeName="Sheet3">
    <pageSetUpPr fitToPage="1"/>
  </sheetPr>
  <dimension ref="A1:BB93"/>
  <sheetViews>
    <sheetView view="pageBreakPreview" zoomScale="85" zoomScaleNormal="85" zoomScaleSheetLayoutView="85" workbookViewId="0">
      <pane xSplit="1" ySplit="9" topLeftCell="C10" activePane="bottomRight" state="frozen"/>
      <selection pane="topRight" activeCell="B1" sqref="B1"/>
      <selection pane="bottomLeft" activeCell="A7" sqref="A7"/>
      <selection pane="bottomRight" sqref="A1:XFD1048576"/>
    </sheetView>
  </sheetViews>
  <sheetFormatPr defaultRowHeight="12.75"/>
  <cols>
    <col min="1" max="1" width="36" style="2" customWidth="1"/>
    <col min="2" max="7" width="13.7109375" style="19" customWidth="1"/>
    <col min="8" max="8" width="13.7109375" style="2" customWidth="1"/>
    <col min="9" max="9" width="13.7109375" style="19" customWidth="1"/>
    <col min="10" max="10" width="15.85546875" style="19" customWidth="1"/>
    <col min="11" max="16" width="13.7109375" style="19" customWidth="1"/>
    <col min="17" max="21" width="13.7109375" style="2" customWidth="1"/>
    <col min="22" max="22" width="14.7109375" style="19" customWidth="1"/>
    <col min="23" max="27" width="13.7109375" style="19" customWidth="1"/>
    <col min="28" max="28" width="18.28515625" style="19" bestFit="1" customWidth="1"/>
    <col min="29" max="39" width="13.7109375" style="19" customWidth="1"/>
    <col min="40" max="40" width="15.140625" style="19" bestFit="1" customWidth="1"/>
    <col min="41" max="42" width="13.7109375" style="19" customWidth="1"/>
    <col min="43" max="43" width="15.28515625" style="19" bestFit="1" customWidth="1"/>
    <col min="44" max="45" width="14.7109375" style="19" customWidth="1"/>
    <col min="46" max="47" width="13.7109375" style="19" customWidth="1"/>
    <col min="48" max="48" width="13.7109375" style="2" customWidth="1"/>
    <col min="49" max="51" width="13.7109375" style="19" customWidth="1"/>
    <col min="52" max="53" width="9.140625" style="19"/>
    <col min="54" max="54" width="12.28515625" style="235" bestFit="1" customWidth="1"/>
    <col min="55" max="16384" width="9.140625" style="19"/>
  </cols>
  <sheetData>
    <row r="1" spans="1:54">
      <c r="A1" s="4" t="s">
        <v>52</v>
      </c>
    </row>
    <row r="2" spans="1:54" s="2" customFormat="1">
      <c r="A2" s="236" t="s">
        <v>225</v>
      </c>
      <c r="BB2" s="108"/>
    </row>
    <row r="3" spans="1:54" s="2" customFormat="1">
      <c r="A3" s="237" t="s">
        <v>266</v>
      </c>
      <c r="BB3" s="108"/>
    </row>
    <row r="4" spans="1:54" s="2" customFormat="1">
      <c r="A4" s="238"/>
      <c r="BB4" s="108"/>
    </row>
    <row r="5" spans="1:54" s="2" customFormat="1">
      <c r="A5" s="236"/>
      <c r="BB5" s="108"/>
    </row>
    <row r="6" spans="1:54" s="4" customFormat="1" ht="13.5" thickBot="1">
      <c r="A6" s="238"/>
      <c r="F6" s="84"/>
      <c r="G6" s="84"/>
      <c r="N6" s="84"/>
      <c r="X6" s="84"/>
      <c r="AC6" s="84"/>
      <c r="AL6" s="84"/>
      <c r="AX6" s="84"/>
      <c r="AY6" s="84"/>
      <c r="BB6" s="109"/>
    </row>
    <row r="7" spans="1:54" s="239" customFormat="1" ht="13.5" thickBot="1">
      <c r="A7" s="4"/>
      <c r="B7" s="51"/>
      <c r="C7" s="6" t="s">
        <v>39</v>
      </c>
      <c r="D7" s="7"/>
      <c r="E7" s="7"/>
      <c r="F7" s="8"/>
      <c r="G7" s="7"/>
      <c r="H7" s="7"/>
      <c r="I7" s="9"/>
      <c r="J7" s="865" t="s">
        <v>40</v>
      </c>
      <c r="K7" s="866"/>
      <c r="L7" s="866"/>
      <c r="M7" s="866"/>
      <c r="N7" s="866"/>
      <c r="O7" s="866"/>
      <c r="P7" s="866"/>
      <c r="Q7" s="866" t="s">
        <v>40</v>
      </c>
      <c r="R7" s="866"/>
      <c r="S7" s="866"/>
      <c r="T7" s="866"/>
      <c r="U7" s="866"/>
      <c r="V7" s="867"/>
      <c r="W7" s="865" t="s">
        <v>41</v>
      </c>
      <c r="X7" s="866"/>
      <c r="Y7" s="866" t="s">
        <v>41</v>
      </c>
      <c r="Z7" s="866"/>
      <c r="AA7" s="867"/>
      <c r="AB7" s="8" t="s">
        <v>49</v>
      </c>
      <c r="AC7" s="865" t="s">
        <v>42</v>
      </c>
      <c r="AD7" s="866"/>
      <c r="AE7" s="866"/>
      <c r="AF7" s="863" t="s">
        <v>42</v>
      </c>
      <c r="AG7" s="863"/>
      <c r="AH7" s="863"/>
      <c r="AI7" s="863"/>
      <c r="AJ7" s="863"/>
      <c r="AK7" s="864"/>
      <c r="AL7" s="865" t="s">
        <v>43</v>
      </c>
      <c r="AM7" s="866"/>
      <c r="AN7" s="863" t="s">
        <v>43</v>
      </c>
      <c r="AO7" s="863"/>
      <c r="AP7" s="863"/>
      <c r="AQ7" s="863"/>
      <c r="AR7" s="863"/>
      <c r="AS7" s="863"/>
      <c r="AT7" s="863"/>
      <c r="AU7" s="863" t="s">
        <v>43</v>
      </c>
      <c r="AV7" s="863"/>
      <c r="AW7" s="864"/>
      <c r="AX7" s="6" t="s">
        <v>54</v>
      </c>
      <c r="AY7" s="160"/>
      <c r="BB7" s="240"/>
    </row>
    <row r="8" spans="1:54">
      <c r="B8" s="119"/>
      <c r="C8" s="120" t="s">
        <v>0</v>
      </c>
      <c r="D8" s="115" t="s">
        <v>2</v>
      </c>
      <c r="E8" s="117" t="s">
        <v>3</v>
      </c>
      <c r="F8" s="115" t="s">
        <v>4</v>
      </c>
      <c r="G8" s="115" t="s">
        <v>5</v>
      </c>
      <c r="H8" s="115" t="s">
        <v>6</v>
      </c>
      <c r="I8" s="116" t="s">
        <v>228</v>
      </c>
      <c r="J8" s="37" t="s">
        <v>1</v>
      </c>
      <c r="K8" s="117" t="s">
        <v>7</v>
      </c>
      <c r="L8" s="117" t="s">
        <v>8</v>
      </c>
      <c r="M8" s="115" t="s">
        <v>9</v>
      </c>
      <c r="N8" s="117" t="s">
        <v>10</v>
      </c>
      <c r="O8" s="117" t="s">
        <v>11</v>
      </c>
      <c r="P8" s="117" t="s">
        <v>12</v>
      </c>
      <c r="Q8" s="117" t="s">
        <v>45</v>
      </c>
      <c r="R8" s="117" t="s">
        <v>232</v>
      </c>
      <c r="S8" s="117" t="s">
        <v>234</v>
      </c>
      <c r="T8" s="117" t="s">
        <v>252</v>
      </c>
      <c r="U8" s="117" t="s">
        <v>236</v>
      </c>
      <c r="V8" s="118" t="s">
        <v>237</v>
      </c>
      <c r="W8" s="37" t="s">
        <v>13</v>
      </c>
      <c r="X8" s="117" t="s">
        <v>255</v>
      </c>
      <c r="Y8" s="117" t="s">
        <v>50</v>
      </c>
      <c r="Z8" s="117" t="s">
        <v>46</v>
      </c>
      <c r="AA8" s="118" t="s">
        <v>44</v>
      </c>
      <c r="AB8" s="119" t="s">
        <v>14</v>
      </c>
      <c r="AC8" s="120" t="s">
        <v>15</v>
      </c>
      <c r="AD8" s="115" t="s">
        <v>16</v>
      </c>
      <c r="AE8" s="115" t="s">
        <v>17</v>
      </c>
      <c r="AF8" s="115" t="s">
        <v>18</v>
      </c>
      <c r="AG8" s="115" t="s">
        <v>47</v>
      </c>
      <c r="AH8" s="115" t="s">
        <v>48</v>
      </c>
      <c r="AI8" s="115" t="s">
        <v>270</v>
      </c>
      <c r="AJ8" s="115" t="s">
        <v>19</v>
      </c>
      <c r="AK8" s="116" t="s">
        <v>20</v>
      </c>
      <c r="AL8" s="37" t="s">
        <v>21</v>
      </c>
      <c r="AM8" s="117" t="s">
        <v>22</v>
      </c>
      <c r="AN8" s="117" t="s">
        <v>23</v>
      </c>
      <c r="AO8" s="117" t="s">
        <v>24</v>
      </c>
      <c r="AP8" s="117" t="s">
        <v>25</v>
      </c>
      <c r="AQ8" s="117" t="s">
        <v>26</v>
      </c>
      <c r="AR8" s="117" t="s">
        <v>245</v>
      </c>
      <c r="AS8" s="115" t="s">
        <v>247</v>
      </c>
      <c r="AT8" s="117" t="s">
        <v>27</v>
      </c>
      <c r="AU8" s="117" t="s">
        <v>28</v>
      </c>
      <c r="AV8" s="115" t="s">
        <v>29</v>
      </c>
      <c r="AW8" s="116" t="s">
        <v>275</v>
      </c>
      <c r="AX8" s="120" t="s">
        <v>30</v>
      </c>
      <c r="AY8" s="116" t="s">
        <v>51</v>
      </c>
    </row>
    <row r="9" spans="1:54" s="241" customFormat="1" ht="75.75" customHeight="1">
      <c r="A9" s="18"/>
      <c r="B9" s="122" t="s">
        <v>202</v>
      </c>
      <c r="C9" s="38" t="s">
        <v>118</v>
      </c>
      <c r="D9" s="20" t="s">
        <v>119</v>
      </c>
      <c r="E9" s="20" t="s">
        <v>134</v>
      </c>
      <c r="F9" s="20" t="s">
        <v>120</v>
      </c>
      <c r="G9" s="20" t="s">
        <v>227</v>
      </c>
      <c r="H9" s="20" t="s">
        <v>121</v>
      </c>
      <c r="I9" s="121" t="s">
        <v>229</v>
      </c>
      <c r="J9" s="38" t="s">
        <v>122</v>
      </c>
      <c r="K9" s="20" t="s">
        <v>264</v>
      </c>
      <c r="L9" s="20" t="s">
        <v>265</v>
      </c>
      <c r="M9" s="20" t="s">
        <v>254</v>
      </c>
      <c r="N9" s="20" t="s">
        <v>123</v>
      </c>
      <c r="O9" s="20" t="s">
        <v>136</v>
      </c>
      <c r="P9" s="20" t="s">
        <v>230</v>
      </c>
      <c r="Q9" s="20" t="s">
        <v>231</v>
      </c>
      <c r="R9" s="20" t="s">
        <v>233</v>
      </c>
      <c r="S9" s="20" t="s">
        <v>235</v>
      </c>
      <c r="T9" s="20" t="s">
        <v>253</v>
      </c>
      <c r="U9" s="20" t="s">
        <v>200</v>
      </c>
      <c r="V9" s="121" t="s">
        <v>238</v>
      </c>
      <c r="W9" s="38" t="s">
        <v>124</v>
      </c>
      <c r="X9" s="20" t="s">
        <v>257</v>
      </c>
      <c r="Y9" s="20" t="s">
        <v>135</v>
      </c>
      <c r="Z9" s="20" t="s">
        <v>125</v>
      </c>
      <c r="AA9" s="121" t="s">
        <v>239</v>
      </c>
      <c r="AB9" s="122" t="s">
        <v>126</v>
      </c>
      <c r="AC9" s="123" t="s">
        <v>127</v>
      </c>
      <c r="AD9" s="124" t="s">
        <v>138</v>
      </c>
      <c r="AE9" s="20" t="s">
        <v>128</v>
      </c>
      <c r="AF9" s="20" t="s">
        <v>258</v>
      </c>
      <c r="AG9" s="20" t="s">
        <v>129</v>
      </c>
      <c r="AH9" s="20" t="s">
        <v>241</v>
      </c>
      <c r="AI9" s="20" t="s">
        <v>242</v>
      </c>
      <c r="AJ9" s="20" t="s">
        <v>243</v>
      </c>
      <c r="AK9" s="121" t="s">
        <v>262</v>
      </c>
      <c r="AL9" s="38" t="s">
        <v>103</v>
      </c>
      <c r="AM9" s="124" t="s">
        <v>130</v>
      </c>
      <c r="AN9" s="124" t="s">
        <v>131</v>
      </c>
      <c r="AO9" s="20" t="s">
        <v>132</v>
      </c>
      <c r="AP9" s="20" t="s">
        <v>259</v>
      </c>
      <c r="AQ9" s="20" t="s">
        <v>133</v>
      </c>
      <c r="AR9" s="20" t="s">
        <v>260</v>
      </c>
      <c r="AS9" s="20" t="s">
        <v>261</v>
      </c>
      <c r="AT9" s="20" t="s">
        <v>137</v>
      </c>
      <c r="AU9" s="20" t="s">
        <v>256</v>
      </c>
      <c r="AV9" s="20" t="s">
        <v>263</v>
      </c>
      <c r="AW9" s="121" t="s">
        <v>276</v>
      </c>
      <c r="AX9" s="38" t="s">
        <v>139</v>
      </c>
      <c r="AY9" s="121" t="s">
        <v>140</v>
      </c>
      <c r="BB9" s="242"/>
    </row>
    <row r="10" spans="1:54">
      <c r="B10" s="243"/>
      <c r="C10" s="49"/>
      <c r="D10" s="16"/>
      <c r="E10" s="16"/>
      <c r="F10" s="16"/>
      <c r="G10" s="80"/>
      <c r="H10" s="16"/>
      <c r="I10" s="125"/>
      <c r="J10" s="39"/>
      <c r="K10" s="16"/>
      <c r="L10" s="80"/>
      <c r="M10" s="16"/>
      <c r="N10" s="80"/>
      <c r="O10" s="16"/>
      <c r="P10" s="80"/>
      <c r="Q10" s="80"/>
      <c r="R10" s="80"/>
      <c r="S10" s="80"/>
      <c r="T10" s="80"/>
      <c r="U10" s="80"/>
      <c r="V10" s="126"/>
      <c r="W10" s="39"/>
      <c r="X10" s="80"/>
      <c r="Y10" s="16"/>
      <c r="Z10" s="16"/>
      <c r="AA10" s="126"/>
      <c r="AB10" s="127"/>
      <c r="AC10" s="128"/>
      <c r="AD10" s="80"/>
      <c r="AE10" s="80"/>
      <c r="AF10" s="16"/>
      <c r="AG10" s="80"/>
      <c r="AH10" s="16"/>
      <c r="AI10" s="16"/>
      <c r="AJ10" s="16"/>
      <c r="AK10" s="126"/>
      <c r="AL10" s="39"/>
      <c r="AM10" s="80"/>
      <c r="AN10" s="80"/>
      <c r="AO10" s="16"/>
      <c r="AP10" s="80"/>
      <c r="AQ10" s="16"/>
      <c r="AR10" s="80"/>
      <c r="AS10" s="16"/>
      <c r="AT10" s="80"/>
      <c r="AU10" s="16"/>
      <c r="AV10" s="80"/>
      <c r="AW10" s="126"/>
      <c r="AX10" s="39"/>
      <c r="AY10" s="126"/>
    </row>
    <row r="11" spans="1:54">
      <c r="A11" s="18" t="s">
        <v>56</v>
      </c>
      <c r="B11" s="127"/>
      <c r="C11" s="39"/>
      <c r="D11" s="16"/>
      <c r="E11" s="16"/>
      <c r="F11" s="16"/>
      <c r="G11" s="16"/>
      <c r="H11" s="16"/>
      <c r="I11" s="125"/>
      <c r="J11" s="39"/>
      <c r="K11" s="16"/>
      <c r="L11" s="16"/>
      <c r="M11" s="16"/>
      <c r="N11" s="16"/>
      <c r="O11" s="16"/>
      <c r="P11" s="16"/>
      <c r="Q11" s="16"/>
      <c r="R11" s="16"/>
      <c r="S11" s="16"/>
      <c r="T11" s="16"/>
      <c r="U11" s="16"/>
      <c r="V11" s="125"/>
      <c r="W11" s="39"/>
      <c r="X11" s="16"/>
      <c r="Y11" s="16"/>
      <c r="Z11" s="16"/>
      <c r="AA11" s="125"/>
      <c r="AB11" s="127"/>
      <c r="AC11" s="39"/>
      <c r="AD11" s="16"/>
      <c r="AE11" s="16"/>
      <c r="AF11" s="16"/>
      <c r="AG11" s="16"/>
      <c r="AH11" s="16"/>
      <c r="AI11" s="16"/>
      <c r="AJ11" s="16"/>
      <c r="AK11" s="125"/>
      <c r="AL11" s="39"/>
      <c r="AM11" s="16"/>
      <c r="AN11" s="16"/>
      <c r="AO11" s="16"/>
      <c r="AP11" s="16"/>
      <c r="AQ11" s="16"/>
      <c r="AR11" s="16"/>
      <c r="AS11" s="16"/>
      <c r="AT11" s="16"/>
      <c r="AU11" s="16"/>
      <c r="AV11" s="16"/>
      <c r="AW11" s="125"/>
      <c r="AX11" s="39"/>
      <c r="AY11" s="125"/>
    </row>
    <row r="12" spans="1:54">
      <c r="A12" s="18" t="s">
        <v>57</v>
      </c>
      <c r="B12" s="142">
        <f>SUM(C12:AY12)</f>
        <v>49416669.589999989</v>
      </c>
      <c r="C12" s="41">
        <f>'Restating Adj'!C12</f>
        <v>3177486.4300000006</v>
      </c>
      <c r="D12" s="129">
        <f>'Restating Adj'!D12</f>
        <v>13055703.999999991</v>
      </c>
      <c r="E12" s="129">
        <f>'Pro Forma Adj'!C12</f>
        <v>33183479.159999996</v>
      </c>
      <c r="F12" s="129">
        <f>'Restating Adj'!E12</f>
        <v>0</v>
      </c>
      <c r="G12" s="129">
        <f>'Restating Adj'!F12+'Pro Forma Adj'!E12</f>
        <v>0</v>
      </c>
      <c r="H12" s="129">
        <f>'Restating Adj'!G12+'Pro Forma Adj'!F12</f>
        <v>0</v>
      </c>
      <c r="I12" s="130">
        <f>'Pro Forma Adj'!G12</f>
        <v>0</v>
      </c>
      <c r="J12" s="40">
        <f>'Restating Adj'!H12</f>
        <v>0</v>
      </c>
      <c r="K12" s="129">
        <f>'Restating Adj'!I12</f>
        <v>0</v>
      </c>
      <c r="L12" s="131">
        <f>'Pro Forma Adj'!H12</f>
        <v>0</v>
      </c>
      <c r="M12" s="129">
        <f>'Pro Forma Adj'!I12</f>
        <v>0</v>
      </c>
      <c r="N12" s="131">
        <f>'Restating Adj'!J12</f>
        <v>0</v>
      </c>
      <c r="O12" s="129">
        <f>'Restating Adj'!K12+'Pro Forma Adj'!J12</f>
        <v>0</v>
      </c>
      <c r="P12" s="129">
        <f>'Restating Adj'!L12</f>
        <v>0</v>
      </c>
      <c r="Q12" s="129">
        <f>'Restating Adj'!M12</f>
        <v>0</v>
      </c>
      <c r="R12" s="129">
        <f>'Restating Adj'!N12+'Pro Forma Adj'!K12</f>
        <v>0</v>
      </c>
      <c r="S12" s="129">
        <f>'Restating Adj'!O12</f>
        <v>0</v>
      </c>
      <c r="T12" s="129">
        <f>'Pro Forma Adj'!L12</f>
        <v>0</v>
      </c>
      <c r="U12" s="129">
        <f>'Restating Adj'!P12</f>
        <v>0</v>
      </c>
      <c r="V12" s="130">
        <f>'Restating Adj'!Q12</f>
        <v>0</v>
      </c>
      <c r="W12" s="40">
        <f>'Restating Adj'!R12</f>
        <v>0</v>
      </c>
      <c r="X12" s="131">
        <f>'Pro Forma Adj'!M12</f>
        <v>0</v>
      </c>
      <c r="Y12" s="129">
        <f>'Pro Forma Adj'!N12</f>
        <v>0</v>
      </c>
      <c r="Z12" s="129">
        <f>'Restating Adj'!S12</f>
        <v>0</v>
      </c>
      <c r="AA12" s="130">
        <f>'Restating Adj'!T12</f>
        <v>0</v>
      </c>
      <c r="AB12" s="132">
        <f>'Restating Adj'!U12+'Pro Forma Adj'!O12</f>
        <v>0</v>
      </c>
      <c r="AC12" s="41">
        <f>'Restating Adj'!V12+'Pro Forma Adj'!P12</f>
        <v>0</v>
      </c>
      <c r="AD12" s="131">
        <f>'Pro Forma Adj'!Q12</f>
        <v>0</v>
      </c>
      <c r="AE12" s="131">
        <f>'Restating Adj'!W12</f>
        <v>0</v>
      </c>
      <c r="AF12" s="131">
        <f>'Pro Forma Adj'!R12</f>
        <v>0</v>
      </c>
      <c r="AG12" s="131">
        <f>'Restating Adj'!X12</f>
        <v>0</v>
      </c>
      <c r="AH12" s="131">
        <f>'Restating Adj'!Y12</f>
        <v>0</v>
      </c>
      <c r="AI12" s="131">
        <f>'Restating Adj'!Z12</f>
        <v>0</v>
      </c>
      <c r="AJ12" s="131">
        <f>'Restating Adj'!AA12</f>
        <v>0</v>
      </c>
      <c r="AK12" s="133">
        <f>'Restating Adj'!AB12</f>
        <v>0</v>
      </c>
      <c r="AL12" s="40">
        <f>'Restating Adj'!AC12</f>
        <v>0</v>
      </c>
      <c r="AM12" s="129">
        <f>'Restating Adj'!AD12</f>
        <v>0</v>
      </c>
      <c r="AN12" s="129">
        <f>'Restating Adj'!AE12</f>
        <v>0</v>
      </c>
      <c r="AO12" s="129">
        <f>'Restating Adj'!AF12</f>
        <v>0</v>
      </c>
      <c r="AP12" s="129">
        <f>'Restating Adj'!AG12</f>
        <v>0</v>
      </c>
      <c r="AQ12" s="129">
        <f>'Restating Adj'!AH12</f>
        <v>0</v>
      </c>
      <c r="AR12" s="129">
        <f>'Restating Adj'!AI12</f>
        <v>0</v>
      </c>
      <c r="AS12" s="129">
        <f>'Restating Adj'!AJ12</f>
        <v>0</v>
      </c>
      <c r="AT12" s="131">
        <f>'Pro Forma Adj'!S12</f>
        <v>0</v>
      </c>
      <c r="AU12" s="129">
        <f>'Restating Adj'!AK12+'Pro Forma Adj'!T12</f>
        <v>0</v>
      </c>
      <c r="AV12" s="129">
        <f>'Restating Adj'!AL12</f>
        <v>0</v>
      </c>
      <c r="AW12" s="130">
        <f>'Pro Forma Adj'!U12</f>
        <v>0</v>
      </c>
      <c r="AX12" s="40">
        <f>'Pro Forma Adj'!V12</f>
        <v>0</v>
      </c>
      <c r="AY12" s="130">
        <f>'Pro Forma Adj'!W12</f>
        <v>0</v>
      </c>
      <c r="BB12" s="235">
        <f>B12-'Page 1.4'!C6</f>
        <v>0</v>
      </c>
    </row>
    <row r="13" spans="1:54">
      <c r="A13" s="18" t="s">
        <v>58</v>
      </c>
      <c r="B13" s="142">
        <f>SUM(C13:AY13)</f>
        <v>0</v>
      </c>
      <c r="C13" s="41">
        <f>'Restating Adj'!C13</f>
        <v>0</v>
      </c>
      <c r="D13" s="129">
        <f>'Restating Adj'!D13</f>
        <v>0</v>
      </c>
      <c r="E13" s="129">
        <f>'Pro Forma Adj'!C13</f>
        <v>0</v>
      </c>
      <c r="F13" s="129">
        <f>'Restating Adj'!E13</f>
        <v>0</v>
      </c>
      <c r="G13" s="129">
        <f>'Restating Adj'!F13+'Pro Forma Adj'!E13</f>
        <v>0</v>
      </c>
      <c r="H13" s="129">
        <f>'Restating Adj'!G13+'Pro Forma Adj'!F13</f>
        <v>0</v>
      </c>
      <c r="I13" s="130">
        <f>'Pro Forma Adj'!G13</f>
        <v>0</v>
      </c>
      <c r="J13" s="40">
        <f>'Restating Adj'!H13</f>
        <v>0</v>
      </c>
      <c r="K13" s="129">
        <f>'Restating Adj'!I13</f>
        <v>0</v>
      </c>
      <c r="L13" s="131">
        <f>'Pro Forma Adj'!H13</f>
        <v>0</v>
      </c>
      <c r="M13" s="129">
        <f>'Pro Forma Adj'!I13</f>
        <v>0</v>
      </c>
      <c r="N13" s="131">
        <f>'Restating Adj'!J13</f>
        <v>0</v>
      </c>
      <c r="O13" s="129">
        <f>'Restating Adj'!K13+'Pro Forma Adj'!J13</f>
        <v>0</v>
      </c>
      <c r="P13" s="129">
        <f>'Restating Adj'!L13</f>
        <v>0</v>
      </c>
      <c r="Q13" s="129">
        <f>'Restating Adj'!M13</f>
        <v>0</v>
      </c>
      <c r="R13" s="129">
        <f>'Restating Adj'!N13+'Pro Forma Adj'!K13</f>
        <v>0</v>
      </c>
      <c r="S13" s="129">
        <f>'Restating Adj'!O13</f>
        <v>0</v>
      </c>
      <c r="T13" s="129">
        <f>'Pro Forma Adj'!L13</f>
        <v>0</v>
      </c>
      <c r="U13" s="129">
        <f>'Restating Adj'!P13</f>
        <v>0</v>
      </c>
      <c r="V13" s="130">
        <f>'Restating Adj'!Q13</f>
        <v>0</v>
      </c>
      <c r="W13" s="40">
        <f>'Restating Adj'!R13</f>
        <v>0</v>
      </c>
      <c r="X13" s="131">
        <f>'Pro Forma Adj'!M13</f>
        <v>0</v>
      </c>
      <c r="Y13" s="129">
        <f>'Pro Forma Adj'!N13</f>
        <v>0</v>
      </c>
      <c r="Z13" s="129">
        <f>'Restating Adj'!S13</f>
        <v>0</v>
      </c>
      <c r="AA13" s="130">
        <f>'Restating Adj'!T13</f>
        <v>0</v>
      </c>
      <c r="AB13" s="132">
        <f>'Restating Adj'!U13+'Pro Forma Adj'!O13</f>
        <v>0</v>
      </c>
      <c r="AC13" s="41">
        <f>'Restating Adj'!V13+'Pro Forma Adj'!P13</f>
        <v>0</v>
      </c>
      <c r="AD13" s="131">
        <f>'Pro Forma Adj'!Q13</f>
        <v>0</v>
      </c>
      <c r="AE13" s="131">
        <f>'Restating Adj'!W13</f>
        <v>0</v>
      </c>
      <c r="AF13" s="131">
        <f>'Pro Forma Adj'!R13</f>
        <v>0</v>
      </c>
      <c r="AG13" s="131">
        <f>'Restating Adj'!X13</f>
        <v>0</v>
      </c>
      <c r="AH13" s="131">
        <f>'Restating Adj'!Y13</f>
        <v>0</v>
      </c>
      <c r="AI13" s="131">
        <f>'Restating Adj'!Z13</f>
        <v>0</v>
      </c>
      <c r="AJ13" s="131">
        <f>'Restating Adj'!AA13</f>
        <v>0</v>
      </c>
      <c r="AK13" s="133">
        <f>'Restating Adj'!AB13</f>
        <v>0</v>
      </c>
      <c r="AL13" s="40">
        <f>'Restating Adj'!AC13</f>
        <v>0</v>
      </c>
      <c r="AM13" s="129">
        <f>'Restating Adj'!AD13</f>
        <v>0</v>
      </c>
      <c r="AN13" s="129">
        <f>'Restating Adj'!AE13</f>
        <v>0</v>
      </c>
      <c r="AO13" s="129">
        <f>'Restating Adj'!AF13</f>
        <v>0</v>
      </c>
      <c r="AP13" s="129">
        <f>'Restating Adj'!AG13</f>
        <v>0</v>
      </c>
      <c r="AQ13" s="129">
        <f>'Restating Adj'!AH13</f>
        <v>0</v>
      </c>
      <c r="AR13" s="129">
        <f>'Restating Adj'!AI13</f>
        <v>0</v>
      </c>
      <c r="AS13" s="129">
        <f>'Restating Adj'!AJ13</f>
        <v>0</v>
      </c>
      <c r="AT13" s="131">
        <f>'Pro Forma Adj'!S13</f>
        <v>0</v>
      </c>
      <c r="AU13" s="129">
        <f>'Restating Adj'!AK13+'Pro Forma Adj'!T13</f>
        <v>0</v>
      </c>
      <c r="AV13" s="129">
        <f>'Restating Adj'!AL13</f>
        <v>0</v>
      </c>
      <c r="AW13" s="130">
        <f>'Pro Forma Adj'!U13</f>
        <v>0</v>
      </c>
      <c r="AX13" s="40">
        <f>'Pro Forma Adj'!V13</f>
        <v>0</v>
      </c>
      <c r="AY13" s="130">
        <f>'Pro Forma Adj'!W13</f>
        <v>0</v>
      </c>
      <c r="BB13" s="235">
        <f>B13-'Page 1.4'!C7</f>
        <v>0</v>
      </c>
    </row>
    <row r="14" spans="1:54">
      <c r="A14" s="18" t="s">
        <v>59</v>
      </c>
      <c r="B14" s="142">
        <f>SUM(C14:AY14)</f>
        <v>-32792272.538683683</v>
      </c>
      <c r="C14" s="41">
        <f>'Restating Adj'!C14</f>
        <v>0</v>
      </c>
      <c r="D14" s="129">
        <f>'Restating Adj'!D14</f>
        <v>0</v>
      </c>
      <c r="E14" s="129">
        <f>'Pro Forma Adj'!C14</f>
        <v>0</v>
      </c>
      <c r="F14" s="129">
        <f>'Restating Adj'!E14</f>
        <v>0</v>
      </c>
      <c r="G14" s="129">
        <f>'Restating Adj'!F14+'Pro Forma Adj'!E14</f>
        <v>0</v>
      </c>
      <c r="H14" s="129">
        <f>'Restating Adj'!G14+'Pro Forma Adj'!F14</f>
        <v>0</v>
      </c>
      <c r="I14" s="130">
        <f>'Pro Forma Adj'!G14</f>
        <v>0</v>
      </c>
      <c r="J14" s="40">
        <f>'Restating Adj'!H14</f>
        <v>0</v>
      </c>
      <c r="K14" s="129">
        <f>'Restating Adj'!I14</f>
        <v>0</v>
      </c>
      <c r="L14" s="131">
        <f>'Pro Forma Adj'!H14</f>
        <v>0</v>
      </c>
      <c r="M14" s="129">
        <f>'Pro Forma Adj'!I14</f>
        <v>0</v>
      </c>
      <c r="N14" s="131">
        <f>'Restating Adj'!J14</f>
        <v>0</v>
      </c>
      <c r="O14" s="129">
        <f>'Restating Adj'!K14+'Pro Forma Adj'!J14</f>
        <v>0</v>
      </c>
      <c r="P14" s="129">
        <f>'Restating Adj'!L14</f>
        <v>0</v>
      </c>
      <c r="Q14" s="129">
        <f>'Restating Adj'!M14</f>
        <v>0</v>
      </c>
      <c r="R14" s="129">
        <f>'Restating Adj'!N14+'Pro Forma Adj'!K14</f>
        <v>0</v>
      </c>
      <c r="S14" s="129">
        <f>'Restating Adj'!O14</f>
        <v>0</v>
      </c>
      <c r="T14" s="129">
        <f>'Pro Forma Adj'!L14</f>
        <v>0</v>
      </c>
      <c r="U14" s="129">
        <f>'Restating Adj'!P14</f>
        <v>0</v>
      </c>
      <c r="V14" s="130">
        <f>'Restating Adj'!Q14</f>
        <v>0</v>
      </c>
      <c r="W14" s="40">
        <f>'Restating Adj'!R14</f>
        <v>941247.8810121459</v>
      </c>
      <c r="X14" s="131">
        <f>'Pro Forma Adj'!M14</f>
        <v>-32991267.499196757</v>
      </c>
      <c r="Y14" s="129">
        <f>'Pro Forma Adj'!N14</f>
        <v>0</v>
      </c>
      <c r="Z14" s="129">
        <f>'Restating Adj'!S14</f>
        <v>0</v>
      </c>
      <c r="AA14" s="130">
        <f>'Restating Adj'!T14</f>
        <v>0</v>
      </c>
      <c r="AB14" s="132">
        <f>'Restating Adj'!U14+'Pro Forma Adj'!O14</f>
        <v>0</v>
      </c>
      <c r="AC14" s="41">
        <f>'Restating Adj'!V14+'Pro Forma Adj'!P14</f>
        <v>0</v>
      </c>
      <c r="AD14" s="131">
        <f>'Pro Forma Adj'!Q14</f>
        <v>0</v>
      </c>
      <c r="AE14" s="131">
        <f>'Restating Adj'!W14</f>
        <v>0</v>
      </c>
      <c r="AF14" s="131">
        <f>'Pro Forma Adj'!R14</f>
        <v>0</v>
      </c>
      <c r="AG14" s="131">
        <f>'Restating Adj'!X14</f>
        <v>0</v>
      </c>
      <c r="AH14" s="131">
        <f>'Restating Adj'!Y14</f>
        <v>0</v>
      </c>
      <c r="AI14" s="131">
        <f>'Restating Adj'!Z14</f>
        <v>0</v>
      </c>
      <c r="AJ14" s="131">
        <f>'Restating Adj'!AA14</f>
        <v>0</v>
      </c>
      <c r="AK14" s="133">
        <f>'Restating Adj'!AB14</f>
        <v>0</v>
      </c>
      <c r="AL14" s="40">
        <f>'Restating Adj'!AC14</f>
        <v>0</v>
      </c>
      <c r="AM14" s="129">
        <f>'Restating Adj'!AD14</f>
        <v>0</v>
      </c>
      <c r="AN14" s="129">
        <f>'Restating Adj'!AE14</f>
        <v>0</v>
      </c>
      <c r="AO14" s="129">
        <f>'Restating Adj'!AF14</f>
        <v>0</v>
      </c>
      <c r="AP14" s="129">
        <f>'Restating Adj'!AG14</f>
        <v>0</v>
      </c>
      <c r="AQ14" s="129">
        <f>'Restating Adj'!AH14</f>
        <v>0</v>
      </c>
      <c r="AR14" s="129">
        <f>'Restating Adj'!AI14</f>
        <v>0</v>
      </c>
      <c r="AS14" s="129">
        <f>'Restating Adj'!AJ14</f>
        <v>0</v>
      </c>
      <c r="AT14" s="131">
        <f>'Pro Forma Adj'!S14</f>
        <v>0</v>
      </c>
      <c r="AU14" s="129">
        <f>'Restating Adj'!AK14+'Pro Forma Adj'!T14</f>
        <v>0</v>
      </c>
      <c r="AV14" s="129">
        <f>'Restating Adj'!AL14</f>
        <v>0</v>
      </c>
      <c r="AW14" s="130">
        <f>'Pro Forma Adj'!U14</f>
        <v>0</v>
      </c>
      <c r="AX14" s="40">
        <f>'Pro Forma Adj'!V14</f>
        <v>0</v>
      </c>
      <c r="AY14" s="130">
        <f>'Pro Forma Adj'!W14</f>
        <v>-742252.92049907148</v>
      </c>
      <c r="BB14" s="235">
        <f>B14-'Page 1.4'!C8</f>
        <v>0</v>
      </c>
    </row>
    <row r="15" spans="1:54">
      <c r="A15" s="18" t="s">
        <v>60</v>
      </c>
      <c r="B15" s="142">
        <f>SUM(C15:AY15)</f>
        <v>-17138448.570234098</v>
      </c>
      <c r="C15" s="41">
        <f>'Restating Adj'!C15</f>
        <v>0</v>
      </c>
      <c r="D15" s="129">
        <f>'Restating Adj'!D15</f>
        <v>0</v>
      </c>
      <c r="E15" s="129">
        <f>'Pro Forma Adj'!C15</f>
        <v>0</v>
      </c>
      <c r="F15" s="129">
        <f>'Restating Adj'!E15</f>
        <v>0</v>
      </c>
      <c r="G15" s="129">
        <f>'Restating Adj'!F15+'Pro Forma Adj'!E15</f>
        <v>-8233861.8112417553</v>
      </c>
      <c r="H15" s="129">
        <f>'Restating Adj'!G15+'Pro Forma Adj'!F15</f>
        <v>861542.57050639275</v>
      </c>
      <c r="I15" s="130">
        <f>'Pro Forma Adj'!G15</f>
        <v>1007573.5681837318</v>
      </c>
      <c r="J15" s="40">
        <f>'Restating Adj'!H15</f>
        <v>0</v>
      </c>
      <c r="K15" s="129">
        <f>'Restating Adj'!I15</f>
        <v>0</v>
      </c>
      <c r="L15" s="131">
        <f>'Pro Forma Adj'!H15</f>
        <v>0</v>
      </c>
      <c r="M15" s="129">
        <f>'Pro Forma Adj'!I15</f>
        <v>0</v>
      </c>
      <c r="N15" s="131">
        <f>'Restating Adj'!J15</f>
        <v>0</v>
      </c>
      <c r="O15" s="129">
        <f>'Restating Adj'!K15+'Pro Forma Adj'!J15</f>
        <v>0</v>
      </c>
      <c r="P15" s="129">
        <f>'Restating Adj'!L15</f>
        <v>-8855002</v>
      </c>
      <c r="Q15" s="129">
        <f>'Restating Adj'!M15</f>
        <v>0</v>
      </c>
      <c r="R15" s="129">
        <f>'Restating Adj'!N15+'Pro Forma Adj'!K15</f>
        <v>0</v>
      </c>
      <c r="S15" s="129">
        <f>'Restating Adj'!O15</f>
        <v>0</v>
      </c>
      <c r="T15" s="129">
        <f>'Pro Forma Adj'!L15</f>
        <v>0</v>
      </c>
      <c r="U15" s="129">
        <f>'Restating Adj'!P15</f>
        <v>0</v>
      </c>
      <c r="V15" s="130">
        <f>'Restating Adj'!Q15</f>
        <v>0</v>
      </c>
      <c r="W15" s="40">
        <f>'Restating Adj'!R15</f>
        <v>0</v>
      </c>
      <c r="X15" s="131">
        <f>'Pro Forma Adj'!M15</f>
        <v>0</v>
      </c>
      <c r="Y15" s="129">
        <f>'Pro Forma Adj'!N15</f>
        <v>1100536.4799877179</v>
      </c>
      <c r="Z15" s="129">
        <f>'Restating Adj'!S15</f>
        <v>0</v>
      </c>
      <c r="AA15" s="130">
        <f>'Restating Adj'!T15</f>
        <v>0</v>
      </c>
      <c r="AB15" s="132">
        <f>'Restating Adj'!U15+'Pro Forma Adj'!O15</f>
        <v>0</v>
      </c>
      <c r="AC15" s="41">
        <f>'Restating Adj'!V15+'Pro Forma Adj'!P15</f>
        <v>0</v>
      </c>
      <c r="AD15" s="131">
        <f>'Pro Forma Adj'!Q15</f>
        <v>0</v>
      </c>
      <c r="AE15" s="131">
        <f>'Restating Adj'!W15</f>
        <v>0</v>
      </c>
      <c r="AF15" s="131">
        <f>'Pro Forma Adj'!R15</f>
        <v>0</v>
      </c>
      <c r="AG15" s="131">
        <f>'Restating Adj'!X15</f>
        <v>0</v>
      </c>
      <c r="AH15" s="131">
        <f>'Restating Adj'!Y15</f>
        <v>0</v>
      </c>
      <c r="AI15" s="131">
        <f>'Restating Adj'!Z15</f>
        <v>0</v>
      </c>
      <c r="AJ15" s="131">
        <f>'Restating Adj'!AA15</f>
        <v>0</v>
      </c>
      <c r="AK15" s="133">
        <f>'Restating Adj'!AB15</f>
        <v>0</v>
      </c>
      <c r="AL15" s="40">
        <f>'Restating Adj'!AC15</f>
        <v>0</v>
      </c>
      <c r="AM15" s="129">
        <f>'Restating Adj'!AD15</f>
        <v>0</v>
      </c>
      <c r="AN15" s="129">
        <f>'Restating Adj'!AE15</f>
        <v>0</v>
      </c>
      <c r="AO15" s="129">
        <f>'Restating Adj'!AF15</f>
        <v>0</v>
      </c>
      <c r="AP15" s="129">
        <f>'Restating Adj'!AG15</f>
        <v>0</v>
      </c>
      <c r="AQ15" s="129">
        <f>'Restating Adj'!AH15</f>
        <v>0</v>
      </c>
      <c r="AR15" s="129">
        <f>'Restating Adj'!AI15</f>
        <v>0</v>
      </c>
      <c r="AS15" s="129">
        <f>'Restating Adj'!AJ15</f>
        <v>0</v>
      </c>
      <c r="AT15" s="131">
        <f>'Pro Forma Adj'!S15</f>
        <v>0</v>
      </c>
      <c r="AU15" s="129">
        <f>'Restating Adj'!AK15+'Pro Forma Adj'!T15</f>
        <v>-3000000</v>
      </c>
      <c r="AV15" s="129">
        <f>'Restating Adj'!AL15</f>
        <v>0</v>
      </c>
      <c r="AW15" s="130">
        <f>'Pro Forma Adj'!U15</f>
        <v>0</v>
      </c>
      <c r="AX15" s="40">
        <f>'Pro Forma Adj'!V15</f>
        <v>0</v>
      </c>
      <c r="AY15" s="130">
        <f>'Pro Forma Adj'!W15</f>
        <v>-19237.377670185408</v>
      </c>
      <c r="BB15" s="235">
        <f>B15-'Page 1.4'!C9</f>
        <v>0</v>
      </c>
    </row>
    <row r="16" spans="1:54">
      <c r="A16" s="18" t="s">
        <v>61</v>
      </c>
      <c r="B16" s="244">
        <f>SUM(C16:AY16)</f>
        <v>-514051.518917782</v>
      </c>
      <c r="C16" s="42">
        <f>SUM(C12:C15)</f>
        <v>3177486.4300000006</v>
      </c>
      <c r="D16" s="134">
        <f t="shared" ref="D16:AU16" si="0">SUM(D12:D15)</f>
        <v>13055703.999999991</v>
      </c>
      <c r="E16" s="134">
        <f t="shared" ref="E16" si="1">SUM(E12:E15)</f>
        <v>33183479.159999996</v>
      </c>
      <c r="F16" s="134">
        <f t="shared" si="0"/>
        <v>0</v>
      </c>
      <c r="G16" s="134">
        <f t="shared" si="0"/>
        <v>-8233861.8112417553</v>
      </c>
      <c r="H16" s="134">
        <f t="shared" si="0"/>
        <v>861542.57050639275</v>
      </c>
      <c r="I16" s="135">
        <f t="shared" si="0"/>
        <v>1007573.5681837318</v>
      </c>
      <c r="J16" s="42">
        <f t="shared" si="0"/>
        <v>0</v>
      </c>
      <c r="K16" s="134">
        <f t="shared" si="0"/>
        <v>0</v>
      </c>
      <c r="L16" s="134">
        <f t="shared" ref="L16:M16" si="2">SUM(L12:L15)</f>
        <v>0</v>
      </c>
      <c r="M16" s="134">
        <f t="shared" si="2"/>
        <v>0</v>
      </c>
      <c r="N16" s="134">
        <f t="shared" si="0"/>
        <v>0</v>
      </c>
      <c r="O16" s="134">
        <f t="shared" si="0"/>
        <v>0</v>
      </c>
      <c r="P16" s="134">
        <f t="shared" si="0"/>
        <v>-8855002</v>
      </c>
      <c r="Q16" s="134">
        <f t="shared" ref="Q16:V16" si="3">SUM(Q12:Q15)</f>
        <v>0</v>
      </c>
      <c r="R16" s="134">
        <f t="shared" si="3"/>
        <v>0</v>
      </c>
      <c r="S16" s="134">
        <f t="shared" si="3"/>
        <v>0</v>
      </c>
      <c r="T16" s="134">
        <f t="shared" si="3"/>
        <v>0</v>
      </c>
      <c r="U16" s="134">
        <f t="shared" si="3"/>
        <v>0</v>
      </c>
      <c r="V16" s="135">
        <f t="shared" si="3"/>
        <v>0</v>
      </c>
      <c r="W16" s="42">
        <f t="shared" si="0"/>
        <v>941247.8810121459</v>
      </c>
      <c r="X16" s="134">
        <f t="shared" ref="X16" si="4">SUM(X12:X15)</f>
        <v>-32991267.499196757</v>
      </c>
      <c r="Y16" s="134">
        <f t="shared" si="0"/>
        <v>1100536.4799877179</v>
      </c>
      <c r="Z16" s="134">
        <f t="shared" si="0"/>
        <v>0</v>
      </c>
      <c r="AA16" s="135">
        <f t="shared" si="0"/>
        <v>0</v>
      </c>
      <c r="AB16" s="244">
        <f t="shared" si="0"/>
        <v>0</v>
      </c>
      <c r="AC16" s="42">
        <f t="shared" si="0"/>
        <v>0</v>
      </c>
      <c r="AD16" s="134">
        <f t="shared" ref="AD16" si="5">SUM(AD12:AD15)</f>
        <v>0</v>
      </c>
      <c r="AE16" s="134">
        <f t="shared" si="0"/>
        <v>0</v>
      </c>
      <c r="AF16" s="134">
        <f t="shared" si="0"/>
        <v>0</v>
      </c>
      <c r="AG16" s="134">
        <f t="shared" si="0"/>
        <v>0</v>
      </c>
      <c r="AH16" s="134">
        <f t="shared" ref="AH16" si="6">SUM(AH12:AH15)</f>
        <v>0</v>
      </c>
      <c r="AI16" s="134">
        <f t="shared" si="0"/>
        <v>0</v>
      </c>
      <c r="AJ16" s="134">
        <f t="shared" si="0"/>
        <v>0</v>
      </c>
      <c r="AK16" s="135">
        <f t="shared" si="0"/>
        <v>0</v>
      </c>
      <c r="AL16" s="42">
        <f t="shared" si="0"/>
        <v>0</v>
      </c>
      <c r="AM16" s="134">
        <f t="shared" si="0"/>
        <v>0</v>
      </c>
      <c r="AN16" s="134">
        <f t="shared" si="0"/>
        <v>0</v>
      </c>
      <c r="AO16" s="134">
        <f t="shared" si="0"/>
        <v>0</v>
      </c>
      <c r="AP16" s="134">
        <f t="shared" si="0"/>
        <v>0</v>
      </c>
      <c r="AQ16" s="134">
        <f t="shared" si="0"/>
        <v>0</v>
      </c>
      <c r="AR16" s="134">
        <f t="shared" si="0"/>
        <v>0</v>
      </c>
      <c r="AS16" s="134">
        <f t="shared" ref="AS16" si="7">SUM(AS12:AS15)</f>
        <v>0</v>
      </c>
      <c r="AT16" s="134">
        <f t="shared" si="0"/>
        <v>0</v>
      </c>
      <c r="AU16" s="134">
        <f t="shared" si="0"/>
        <v>-3000000</v>
      </c>
      <c r="AV16" s="134">
        <f t="shared" ref="AV16:AW16" si="8">SUM(AV12:AV15)</f>
        <v>0</v>
      </c>
      <c r="AW16" s="135">
        <f t="shared" si="8"/>
        <v>0</v>
      </c>
      <c r="AX16" s="42">
        <f t="shared" ref="AX16" si="9">SUM(AX12:AX15)</f>
        <v>0</v>
      </c>
      <c r="AY16" s="135">
        <f>SUM(AY12:AY15)</f>
        <v>-761490.29816925689</v>
      </c>
      <c r="BB16" s="235">
        <f>B16-'Page 1.4'!C10</f>
        <v>9.5460563898086548E-9</v>
      </c>
    </row>
    <row r="17" spans="1:54">
      <c r="A17" s="18"/>
      <c r="B17" s="127"/>
      <c r="C17" s="39"/>
      <c r="D17" s="16"/>
      <c r="E17" s="16"/>
      <c r="F17" s="16"/>
      <c r="G17" s="16"/>
      <c r="H17" s="16"/>
      <c r="I17" s="125"/>
      <c r="J17" s="39"/>
      <c r="K17" s="16"/>
      <c r="L17" s="16"/>
      <c r="M17" s="16"/>
      <c r="N17" s="16"/>
      <c r="O17" s="16"/>
      <c r="P17" s="16"/>
      <c r="Q17" s="16"/>
      <c r="R17" s="16"/>
      <c r="S17" s="16"/>
      <c r="T17" s="16"/>
      <c r="U17" s="16"/>
      <c r="V17" s="125"/>
      <c r="W17" s="39"/>
      <c r="X17" s="16"/>
      <c r="Y17" s="16"/>
      <c r="Z17" s="16"/>
      <c r="AA17" s="125"/>
      <c r="AB17" s="127"/>
      <c r="AC17" s="39"/>
      <c r="AD17" s="16"/>
      <c r="AE17" s="16"/>
      <c r="AF17" s="16"/>
      <c r="AG17" s="16"/>
      <c r="AH17" s="16"/>
      <c r="AI17" s="16"/>
      <c r="AJ17" s="16"/>
      <c r="AK17" s="125"/>
      <c r="AL17" s="39"/>
      <c r="AM17" s="16"/>
      <c r="AN17" s="16"/>
      <c r="AO17" s="16"/>
      <c r="AP17" s="16"/>
      <c r="AQ17" s="16"/>
      <c r="AR17" s="16"/>
      <c r="AS17" s="16"/>
      <c r="AT17" s="16"/>
      <c r="AU17" s="16"/>
      <c r="AV17" s="16"/>
      <c r="AW17" s="125"/>
      <c r="AX17" s="39"/>
      <c r="AY17" s="125"/>
      <c r="BB17" s="235">
        <f>B17-'Page 1.4'!C11</f>
        <v>0</v>
      </c>
    </row>
    <row r="18" spans="1:54">
      <c r="A18" s="18" t="s">
        <v>62</v>
      </c>
      <c r="B18" s="127"/>
      <c r="C18" s="39"/>
      <c r="D18" s="16"/>
      <c r="E18" s="16"/>
      <c r="F18" s="16"/>
      <c r="G18" s="16"/>
      <c r="H18" s="16"/>
      <c r="I18" s="125"/>
      <c r="J18" s="39"/>
      <c r="K18" s="16"/>
      <c r="L18" s="16"/>
      <c r="M18" s="16"/>
      <c r="N18" s="16"/>
      <c r="O18" s="16"/>
      <c r="P18" s="16"/>
      <c r="Q18" s="16"/>
      <c r="R18" s="16"/>
      <c r="S18" s="16"/>
      <c r="T18" s="16"/>
      <c r="U18" s="16"/>
      <c r="V18" s="125"/>
      <c r="W18" s="39"/>
      <c r="X18" s="16"/>
      <c r="Y18" s="16"/>
      <c r="Z18" s="16"/>
      <c r="AA18" s="125"/>
      <c r="AB18" s="127"/>
      <c r="AC18" s="40"/>
      <c r="AD18" s="16"/>
      <c r="AE18" s="16"/>
      <c r="AF18" s="16"/>
      <c r="AG18" s="16"/>
      <c r="AH18" s="16"/>
      <c r="AI18" s="16"/>
      <c r="AJ18" s="16"/>
      <c r="AK18" s="125"/>
      <c r="AL18" s="39"/>
      <c r="AM18" s="16"/>
      <c r="AN18" s="16"/>
      <c r="AO18" s="16"/>
      <c r="AP18" s="16"/>
      <c r="AQ18" s="16"/>
      <c r="AR18" s="16"/>
      <c r="AS18" s="16"/>
      <c r="AT18" s="16"/>
      <c r="AU18" s="16"/>
      <c r="AV18" s="16"/>
      <c r="AW18" s="125"/>
      <c r="AX18" s="39"/>
      <c r="AY18" s="125"/>
      <c r="BB18" s="235">
        <f>B18-'Page 1.4'!C12</f>
        <v>0</v>
      </c>
    </row>
    <row r="19" spans="1:54">
      <c r="A19" s="18" t="s">
        <v>63</v>
      </c>
      <c r="B19" s="142">
        <f t="shared" ref="B19:B40" si="10">SUM(C19:AY19)</f>
        <v>-157414.21922605042</v>
      </c>
      <c r="C19" s="41">
        <f>'Restating Adj'!C19</f>
        <v>0</v>
      </c>
      <c r="D19" s="131">
        <f>'Restating Adj'!D19</f>
        <v>0</v>
      </c>
      <c r="E19" s="129">
        <f>'Pro Forma Adj'!C19</f>
        <v>0</v>
      </c>
      <c r="F19" s="129">
        <f>'Restating Adj'!E19</f>
        <v>0</v>
      </c>
      <c r="G19" s="129">
        <f>'Restating Adj'!F19+'Pro Forma Adj'!E19</f>
        <v>0</v>
      </c>
      <c r="H19" s="129">
        <f>'Restating Adj'!G19+'Pro Forma Adj'!F19</f>
        <v>0</v>
      </c>
      <c r="I19" s="130">
        <f>'Pro Forma Adj'!G19</f>
        <v>0</v>
      </c>
      <c r="J19" s="40">
        <f>'Restating Adj'!H19</f>
        <v>0</v>
      </c>
      <c r="K19" s="129">
        <f>'Restating Adj'!I19</f>
        <v>-18301.348352435711</v>
      </c>
      <c r="L19" s="131">
        <f>'Pro Forma Adj'!H19</f>
        <v>0</v>
      </c>
      <c r="M19" s="129">
        <f>'Pro Forma Adj'!I19</f>
        <v>0</v>
      </c>
      <c r="N19" s="131">
        <f>'Restating Adj'!J19</f>
        <v>46305.316506083058</v>
      </c>
      <c r="O19" s="129">
        <f>'Restating Adj'!K19+'Pro Forma Adj'!J19</f>
        <v>0</v>
      </c>
      <c r="P19" s="129">
        <f>'Restating Adj'!L19</f>
        <v>0</v>
      </c>
      <c r="Q19" s="129">
        <f>'Restating Adj'!M19</f>
        <v>0</v>
      </c>
      <c r="R19" s="129">
        <f>'Restating Adj'!N19+'Pro Forma Adj'!K19</f>
        <v>0</v>
      </c>
      <c r="S19" s="129">
        <f>'Restating Adj'!O19</f>
        <v>0</v>
      </c>
      <c r="T19" s="129">
        <f>'Pro Forma Adj'!L19</f>
        <v>0</v>
      </c>
      <c r="U19" s="129">
        <f>'Restating Adj'!P19</f>
        <v>0</v>
      </c>
      <c r="V19" s="130">
        <f>'Restating Adj'!Q19</f>
        <v>0</v>
      </c>
      <c r="W19" s="40">
        <f>'Restating Adj'!R19</f>
        <v>-1593220.1734711262</v>
      </c>
      <c r="X19" s="131">
        <f>'Pro Forma Adj'!M19</f>
        <v>2371723.0291982596</v>
      </c>
      <c r="Y19" s="129">
        <f>'Pro Forma Adj'!N19</f>
        <v>0</v>
      </c>
      <c r="Z19" s="129">
        <f>'Restating Adj'!S19</f>
        <v>0</v>
      </c>
      <c r="AA19" s="130">
        <f>'Restating Adj'!T19</f>
        <v>0</v>
      </c>
      <c r="AB19" s="132">
        <f>'Restating Adj'!U19+'Pro Forma Adj'!O19</f>
        <v>0</v>
      </c>
      <c r="AC19" s="41">
        <f>'Restating Adj'!V19+'Pro Forma Adj'!P19</f>
        <v>0</v>
      </c>
      <c r="AD19" s="131">
        <f>'Pro Forma Adj'!Q19</f>
        <v>0</v>
      </c>
      <c r="AE19" s="131">
        <f>'Restating Adj'!W19</f>
        <v>0</v>
      </c>
      <c r="AF19" s="131">
        <f>'Pro Forma Adj'!R19</f>
        <v>0</v>
      </c>
      <c r="AG19" s="131">
        <f>'Restating Adj'!X19</f>
        <v>0</v>
      </c>
      <c r="AH19" s="131">
        <f>'Restating Adj'!Y19</f>
        <v>0</v>
      </c>
      <c r="AI19" s="131">
        <f>'Restating Adj'!Z19</f>
        <v>0</v>
      </c>
      <c r="AJ19" s="131">
        <f>'Restating Adj'!AA19</f>
        <v>0</v>
      </c>
      <c r="AK19" s="133">
        <f>'Restating Adj'!AB19</f>
        <v>0</v>
      </c>
      <c r="AL19" s="40">
        <f>'Restating Adj'!AC19</f>
        <v>0</v>
      </c>
      <c r="AM19" s="129">
        <f>'Restating Adj'!AD19</f>
        <v>0</v>
      </c>
      <c r="AN19" s="129">
        <f>'Restating Adj'!AE19</f>
        <v>0</v>
      </c>
      <c r="AO19" s="129">
        <f>'Restating Adj'!AF19</f>
        <v>0</v>
      </c>
      <c r="AP19" s="129">
        <f>'Restating Adj'!AG19</f>
        <v>0</v>
      </c>
      <c r="AQ19" s="129">
        <f>'Restating Adj'!AH19</f>
        <v>0</v>
      </c>
      <c r="AR19" s="129">
        <f>'Restating Adj'!AI19</f>
        <v>0</v>
      </c>
      <c r="AS19" s="129">
        <f>'Restating Adj'!AJ19</f>
        <v>0</v>
      </c>
      <c r="AT19" s="131">
        <f>'Pro Forma Adj'!S19</f>
        <v>0</v>
      </c>
      <c r="AU19" s="129">
        <f>'Restating Adj'!AK19+'Pro Forma Adj'!T19</f>
        <v>0</v>
      </c>
      <c r="AV19" s="129">
        <f>'Restating Adj'!AL19</f>
        <v>0</v>
      </c>
      <c r="AW19" s="130">
        <f>'Pro Forma Adj'!U19</f>
        <v>0</v>
      </c>
      <c r="AX19" s="40">
        <f>'Pro Forma Adj'!V19</f>
        <v>-230396.0460892538</v>
      </c>
      <c r="AY19" s="130">
        <f>'Pro Forma Adj'!W19</f>
        <v>-733524.99701757729</v>
      </c>
      <c r="BB19" s="235">
        <f>B19-'Page 1.4'!C13</f>
        <v>0</v>
      </c>
    </row>
    <row r="20" spans="1:54">
      <c r="A20" s="18" t="s">
        <v>64</v>
      </c>
      <c r="B20" s="142">
        <f t="shared" si="10"/>
        <v>0</v>
      </c>
      <c r="C20" s="41">
        <f>'Restating Adj'!C20</f>
        <v>0</v>
      </c>
      <c r="D20" s="131">
        <f>'Restating Adj'!D20</f>
        <v>0</v>
      </c>
      <c r="E20" s="129">
        <f>'Pro Forma Adj'!C20</f>
        <v>0</v>
      </c>
      <c r="F20" s="129">
        <f>'Restating Adj'!E20</f>
        <v>0</v>
      </c>
      <c r="G20" s="129">
        <f>'Restating Adj'!F20+'Pro Forma Adj'!E20</f>
        <v>0</v>
      </c>
      <c r="H20" s="129">
        <f>'Restating Adj'!G20+'Pro Forma Adj'!F20</f>
        <v>0</v>
      </c>
      <c r="I20" s="130">
        <f>'Pro Forma Adj'!G20</f>
        <v>0</v>
      </c>
      <c r="J20" s="40">
        <f>'Restating Adj'!H20</f>
        <v>0</v>
      </c>
      <c r="K20" s="129">
        <f>'Restating Adj'!I20</f>
        <v>0</v>
      </c>
      <c r="L20" s="131">
        <f>'Pro Forma Adj'!H20</f>
        <v>0</v>
      </c>
      <c r="M20" s="129">
        <f>'Pro Forma Adj'!I20</f>
        <v>0</v>
      </c>
      <c r="N20" s="131">
        <f>'Restating Adj'!J20</f>
        <v>0</v>
      </c>
      <c r="O20" s="129">
        <f>'Restating Adj'!K20+'Pro Forma Adj'!J20</f>
        <v>0</v>
      </c>
      <c r="P20" s="129">
        <f>'Restating Adj'!L20</f>
        <v>0</v>
      </c>
      <c r="Q20" s="129">
        <f>'Restating Adj'!M20</f>
        <v>0</v>
      </c>
      <c r="R20" s="129">
        <f>'Restating Adj'!N20+'Pro Forma Adj'!K20</f>
        <v>0</v>
      </c>
      <c r="S20" s="129">
        <f>'Restating Adj'!O20</f>
        <v>0</v>
      </c>
      <c r="T20" s="129">
        <f>'Pro Forma Adj'!L20</f>
        <v>0</v>
      </c>
      <c r="U20" s="129">
        <f>'Restating Adj'!P20</f>
        <v>0</v>
      </c>
      <c r="V20" s="130">
        <f>'Restating Adj'!Q20</f>
        <v>0</v>
      </c>
      <c r="W20" s="40">
        <f>'Restating Adj'!R20</f>
        <v>0</v>
      </c>
      <c r="X20" s="131">
        <f>'Pro Forma Adj'!M20</f>
        <v>0</v>
      </c>
      <c r="Y20" s="129">
        <f>'Pro Forma Adj'!N20</f>
        <v>0</v>
      </c>
      <c r="Z20" s="129">
        <f>'Restating Adj'!S20</f>
        <v>0</v>
      </c>
      <c r="AA20" s="130">
        <f>'Restating Adj'!T20</f>
        <v>0</v>
      </c>
      <c r="AB20" s="132">
        <f>'Restating Adj'!U20+'Pro Forma Adj'!O20</f>
        <v>0</v>
      </c>
      <c r="AC20" s="41">
        <f>'Restating Adj'!V20+'Pro Forma Adj'!P20</f>
        <v>0</v>
      </c>
      <c r="AD20" s="131">
        <f>'Pro Forma Adj'!Q20</f>
        <v>0</v>
      </c>
      <c r="AE20" s="131">
        <f>'Restating Adj'!W20</f>
        <v>0</v>
      </c>
      <c r="AF20" s="131">
        <f>'Pro Forma Adj'!R20</f>
        <v>0</v>
      </c>
      <c r="AG20" s="131">
        <f>'Restating Adj'!X20</f>
        <v>0</v>
      </c>
      <c r="AH20" s="131">
        <f>'Restating Adj'!Y20</f>
        <v>0</v>
      </c>
      <c r="AI20" s="131">
        <f>'Restating Adj'!Z20</f>
        <v>0</v>
      </c>
      <c r="AJ20" s="131">
        <f>'Restating Adj'!AA20</f>
        <v>0</v>
      </c>
      <c r="AK20" s="133">
        <f>'Restating Adj'!AB20</f>
        <v>0</v>
      </c>
      <c r="AL20" s="40">
        <f>'Restating Adj'!AC20</f>
        <v>0</v>
      </c>
      <c r="AM20" s="129">
        <f>'Restating Adj'!AD20</f>
        <v>0</v>
      </c>
      <c r="AN20" s="129">
        <f>'Restating Adj'!AE20</f>
        <v>0</v>
      </c>
      <c r="AO20" s="129">
        <f>'Restating Adj'!AF20</f>
        <v>0</v>
      </c>
      <c r="AP20" s="129">
        <f>'Restating Adj'!AG20</f>
        <v>0</v>
      </c>
      <c r="AQ20" s="129">
        <f>'Restating Adj'!AH20</f>
        <v>0</v>
      </c>
      <c r="AR20" s="129">
        <f>'Restating Adj'!AI20</f>
        <v>0</v>
      </c>
      <c r="AS20" s="129">
        <f>'Restating Adj'!AJ20</f>
        <v>0</v>
      </c>
      <c r="AT20" s="131">
        <f>'Pro Forma Adj'!S20</f>
        <v>0</v>
      </c>
      <c r="AU20" s="129">
        <f>'Restating Adj'!AK20+'Pro Forma Adj'!T20</f>
        <v>0</v>
      </c>
      <c r="AV20" s="129">
        <f>'Restating Adj'!AL20</f>
        <v>0</v>
      </c>
      <c r="AW20" s="130">
        <f>'Pro Forma Adj'!U20</f>
        <v>0</v>
      </c>
      <c r="AX20" s="40">
        <f>'Pro Forma Adj'!V20</f>
        <v>0</v>
      </c>
      <c r="AY20" s="130">
        <f>'Pro Forma Adj'!W20</f>
        <v>0</v>
      </c>
      <c r="BB20" s="235">
        <f>B20-'Page 1.4'!C14</f>
        <v>0</v>
      </c>
    </row>
    <row r="21" spans="1:54">
      <c r="A21" s="18" t="s">
        <v>65</v>
      </c>
      <c r="B21" s="142">
        <f t="shared" si="10"/>
        <v>-221668.2540908326</v>
      </c>
      <c r="C21" s="41">
        <f>'Restating Adj'!C21</f>
        <v>0</v>
      </c>
      <c r="D21" s="131">
        <f>'Restating Adj'!D21</f>
        <v>0</v>
      </c>
      <c r="E21" s="129">
        <f>'Pro Forma Adj'!C21</f>
        <v>0</v>
      </c>
      <c r="F21" s="129">
        <f>'Restating Adj'!E21</f>
        <v>0</v>
      </c>
      <c r="G21" s="129">
        <f>'Restating Adj'!F21+'Pro Forma Adj'!E21</f>
        <v>0</v>
      </c>
      <c r="H21" s="129">
        <f>'Restating Adj'!G21+'Pro Forma Adj'!F21</f>
        <v>0</v>
      </c>
      <c r="I21" s="130">
        <f>'Pro Forma Adj'!G21</f>
        <v>0</v>
      </c>
      <c r="J21" s="40">
        <f>'Restating Adj'!H21</f>
        <v>0</v>
      </c>
      <c r="K21" s="129">
        <f>'Restating Adj'!I21</f>
        <v>-8023.6618676613516</v>
      </c>
      <c r="L21" s="131">
        <f>'Pro Forma Adj'!H21</f>
        <v>0</v>
      </c>
      <c r="M21" s="129">
        <f>'Pro Forma Adj'!I21</f>
        <v>0</v>
      </c>
      <c r="N21" s="131">
        <f>'Restating Adj'!J21</f>
        <v>15535.292606293089</v>
      </c>
      <c r="O21" s="129">
        <f>'Restating Adj'!K21+'Pro Forma Adj'!J21</f>
        <v>0</v>
      </c>
      <c r="P21" s="129">
        <f>'Restating Adj'!L21</f>
        <v>0</v>
      </c>
      <c r="Q21" s="129">
        <f>'Restating Adj'!M21</f>
        <v>0</v>
      </c>
      <c r="R21" s="129">
        <f>'Restating Adj'!N21+'Pro Forma Adj'!K21</f>
        <v>0</v>
      </c>
      <c r="S21" s="129">
        <f>'Restating Adj'!O21</f>
        <v>0</v>
      </c>
      <c r="T21" s="129">
        <f>'Pro Forma Adj'!L21</f>
        <v>0</v>
      </c>
      <c r="U21" s="129">
        <f>'Restating Adj'!P21</f>
        <v>0</v>
      </c>
      <c r="V21" s="130">
        <f>'Restating Adj'!Q21</f>
        <v>0</v>
      </c>
      <c r="W21" s="40">
        <f>'Restating Adj'!R21</f>
        <v>0</v>
      </c>
      <c r="X21" s="131">
        <f>'Pro Forma Adj'!M21</f>
        <v>0</v>
      </c>
      <c r="Y21" s="129">
        <f>'Pro Forma Adj'!N21</f>
        <v>0</v>
      </c>
      <c r="Z21" s="129">
        <f>'Restating Adj'!S21</f>
        <v>0</v>
      </c>
      <c r="AA21" s="130">
        <f>'Restating Adj'!T21</f>
        <v>0</v>
      </c>
      <c r="AB21" s="132">
        <f>'Restating Adj'!U21+'Pro Forma Adj'!O21</f>
        <v>0</v>
      </c>
      <c r="AC21" s="41">
        <f>'Restating Adj'!V21+'Pro Forma Adj'!P21</f>
        <v>0</v>
      </c>
      <c r="AD21" s="131">
        <f>'Pro Forma Adj'!Q21</f>
        <v>0</v>
      </c>
      <c r="AE21" s="131">
        <f>'Restating Adj'!W21</f>
        <v>0</v>
      </c>
      <c r="AF21" s="131">
        <f>'Pro Forma Adj'!R21</f>
        <v>0</v>
      </c>
      <c r="AG21" s="131">
        <f>'Restating Adj'!X21</f>
        <v>0</v>
      </c>
      <c r="AH21" s="131">
        <f>'Restating Adj'!Y21</f>
        <v>0</v>
      </c>
      <c r="AI21" s="131">
        <f>'Restating Adj'!Z21</f>
        <v>0</v>
      </c>
      <c r="AJ21" s="131">
        <f>'Restating Adj'!AA21</f>
        <v>0</v>
      </c>
      <c r="AK21" s="133">
        <f>'Restating Adj'!AB21</f>
        <v>0</v>
      </c>
      <c r="AL21" s="40">
        <f>'Restating Adj'!AC21</f>
        <v>0</v>
      </c>
      <c r="AM21" s="129">
        <f>'Restating Adj'!AD21</f>
        <v>0</v>
      </c>
      <c r="AN21" s="129">
        <f>'Restating Adj'!AE21</f>
        <v>0</v>
      </c>
      <c r="AO21" s="129">
        <f>'Restating Adj'!AF21</f>
        <v>0</v>
      </c>
      <c r="AP21" s="129">
        <f>'Restating Adj'!AG21</f>
        <v>0</v>
      </c>
      <c r="AQ21" s="129">
        <f>'Restating Adj'!AH21</f>
        <v>0</v>
      </c>
      <c r="AR21" s="129">
        <f>'Restating Adj'!AI21</f>
        <v>0</v>
      </c>
      <c r="AS21" s="129">
        <f>'Restating Adj'!AJ21</f>
        <v>0</v>
      </c>
      <c r="AT21" s="131">
        <f>'Pro Forma Adj'!S21</f>
        <v>-15030.02310173677</v>
      </c>
      <c r="AU21" s="129">
        <f>'Restating Adj'!AK21+'Pro Forma Adj'!T21</f>
        <v>0</v>
      </c>
      <c r="AV21" s="129">
        <f>'Restating Adj'!AL21</f>
        <v>0</v>
      </c>
      <c r="AW21" s="130">
        <f>'Pro Forma Adj'!U21</f>
        <v>-92246.506611782112</v>
      </c>
      <c r="AX21" s="40">
        <f>'Pro Forma Adj'!V21</f>
        <v>-121903.35511594545</v>
      </c>
      <c r="AY21" s="130">
        <f>'Pro Forma Adj'!W21</f>
        <v>0</v>
      </c>
      <c r="BB21" s="235">
        <f>B21-'Page 1.4'!C15</f>
        <v>0</v>
      </c>
    </row>
    <row r="22" spans="1:54">
      <c r="A22" s="18" t="s">
        <v>66</v>
      </c>
      <c r="B22" s="142">
        <f t="shared" si="10"/>
        <v>-10477551.397368219</v>
      </c>
      <c r="C22" s="41">
        <f>'Restating Adj'!C22</f>
        <v>0</v>
      </c>
      <c r="D22" s="131">
        <f>'Restating Adj'!D22</f>
        <v>0</v>
      </c>
      <c r="E22" s="129">
        <f>'Pro Forma Adj'!C22</f>
        <v>0</v>
      </c>
      <c r="F22" s="129">
        <f>'Restating Adj'!E22</f>
        <v>0</v>
      </c>
      <c r="G22" s="129">
        <f>'Restating Adj'!F22+'Pro Forma Adj'!E22</f>
        <v>0</v>
      </c>
      <c r="H22" s="129">
        <f>'Restating Adj'!G22+'Pro Forma Adj'!F22</f>
        <v>0</v>
      </c>
      <c r="I22" s="130">
        <f>'Pro Forma Adj'!G22</f>
        <v>0</v>
      </c>
      <c r="J22" s="40">
        <f>'Restating Adj'!H22</f>
        <v>0</v>
      </c>
      <c r="K22" s="129">
        <f>'Restating Adj'!I22</f>
        <v>-9607.172373060017</v>
      </c>
      <c r="L22" s="131">
        <f>'Pro Forma Adj'!H22</f>
        <v>0</v>
      </c>
      <c r="M22" s="129">
        <f>'Pro Forma Adj'!I22</f>
        <v>0</v>
      </c>
      <c r="N22" s="131">
        <f>'Restating Adj'!J22</f>
        <v>-151428.21681276715</v>
      </c>
      <c r="O22" s="129">
        <f>'Restating Adj'!K22+'Pro Forma Adj'!J22</f>
        <v>0</v>
      </c>
      <c r="P22" s="129">
        <f>'Restating Adj'!L22</f>
        <v>0</v>
      </c>
      <c r="Q22" s="129">
        <f>'Restating Adj'!M22</f>
        <v>0</v>
      </c>
      <c r="R22" s="129">
        <f>'Restating Adj'!N22+'Pro Forma Adj'!K22</f>
        <v>0</v>
      </c>
      <c r="S22" s="129">
        <f>'Restating Adj'!O22</f>
        <v>0</v>
      </c>
      <c r="T22" s="129">
        <f>'Pro Forma Adj'!L22</f>
        <v>82851.118234178648</v>
      </c>
      <c r="U22" s="129">
        <f>'Restating Adj'!P22</f>
        <v>0</v>
      </c>
      <c r="V22" s="130">
        <f>'Restating Adj'!Q22</f>
        <v>0</v>
      </c>
      <c r="W22" s="40">
        <f>'Restating Adj'!R22</f>
        <v>904671.58552475576</v>
      </c>
      <c r="X22" s="131">
        <f>'Pro Forma Adj'!M22</f>
        <v>-18150818.786363181</v>
      </c>
      <c r="Y22" s="129">
        <f>'Pro Forma Adj'!N22</f>
        <v>0</v>
      </c>
      <c r="Z22" s="129">
        <f>'Restating Adj'!S22</f>
        <v>8774225.7699999996</v>
      </c>
      <c r="AA22" s="130">
        <f>'Restating Adj'!T22</f>
        <v>0</v>
      </c>
      <c r="AB22" s="132">
        <f>'Restating Adj'!U22+'Pro Forma Adj'!O22</f>
        <v>0</v>
      </c>
      <c r="AC22" s="41">
        <f>'Restating Adj'!V22+'Pro Forma Adj'!P22</f>
        <v>0</v>
      </c>
      <c r="AD22" s="131">
        <f>'Pro Forma Adj'!Q22</f>
        <v>0</v>
      </c>
      <c r="AE22" s="131">
        <f>'Restating Adj'!W22</f>
        <v>0</v>
      </c>
      <c r="AF22" s="131">
        <f>'Pro Forma Adj'!R22</f>
        <v>0</v>
      </c>
      <c r="AG22" s="131">
        <f>'Restating Adj'!X22</f>
        <v>0</v>
      </c>
      <c r="AH22" s="131">
        <f>'Restating Adj'!Y22</f>
        <v>0</v>
      </c>
      <c r="AI22" s="131">
        <f>'Restating Adj'!Z22</f>
        <v>0</v>
      </c>
      <c r="AJ22" s="131">
        <f>'Restating Adj'!AA22</f>
        <v>0</v>
      </c>
      <c r="AK22" s="133">
        <f>'Restating Adj'!AB22</f>
        <v>0</v>
      </c>
      <c r="AL22" s="40">
        <f>'Restating Adj'!AC22</f>
        <v>0</v>
      </c>
      <c r="AM22" s="129">
        <f>'Restating Adj'!AD22</f>
        <v>0</v>
      </c>
      <c r="AN22" s="129">
        <f>'Restating Adj'!AE22</f>
        <v>0</v>
      </c>
      <c r="AO22" s="129">
        <f>'Restating Adj'!AF22</f>
        <v>0</v>
      </c>
      <c r="AP22" s="129">
        <f>'Restating Adj'!AG22</f>
        <v>0</v>
      </c>
      <c r="AQ22" s="129">
        <f>'Restating Adj'!AH22</f>
        <v>0</v>
      </c>
      <c r="AR22" s="129">
        <f>'Restating Adj'!AI22</f>
        <v>0</v>
      </c>
      <c r="AS22" s="129">
        <f>'Restating Adj'!AJ22</f>
        <v>0</v>
      </c>
      <c r="AT22" s="131">
        <f>'Pro Forma Adj'!S22</f>
        <v>0</v>
      </c>
      <c r="AU22" s="129">
        <f>'Restating Adj'!AK22+'Pro Forma Adj'!T22</f>
        <v>0</v>
      </c>
      <c r="AV22" s="129">
        <f>'Restating Adj'!AL22</f>
        <v>0</v>
      </c>
      <c r="AW22" s="130">
        <f>'Pro Forma Adj'!U22</f>
        <v>0</v>
      </c>
      <c r="AX22" s="40">
        <f>'Pro Forma Adj'!V22</f>
        <v>-153789.95343334693</v>
      </c>
      <c r="AY22" s="130">
        <f>'Pro Forma Adj'!W22</f>
        <v>-1773655.7421447977</v>
      </c>
      <c r="BB22" s="235">
        <f>B22-'Page 1.4'!C16</f>
        <v>0</v>
      </c>
    </row>
    <row r="23" spans="1:54">
      <c r="A23" s="18" t="s">
        <v>67</v>
      </c>
      <c r="B23" s="142">
        <f t="shared" si="10"/>
        <v>-3836556.3012709403</v>
      </c>
      <c r="C23" s="41">
        <f>'Restating Adj'!C23</f>
        <v>0</v>
      </c>
      <c r="D23" s="131">
        <f>'Restating Adj'!D23</f>
        <v>0</v>
      </c>
      <c r="E23" s="129">
        <f>'Pro Forma Adj'!C23</f>
        <v>0</v>
      </c>
      <c r="F23" s="129">
        <f>'Restating Adj'!E23</f>
        <v>0</v>
      </c>
      <c r="G23" s="129">
        <f>'Restating Adj'!F23+'Pro Forma Adj'!E23</f>
        <v>0</v>
      </c>
      <c r="H23" s="129">
        <f>'Restating Adj'!G23+'Pro Forma Adj'!F23</f>
        <v>-65153.370885581295</v>
      </c>
      <c r="I23" s="130">
        <f>'Pro Forma Adj'!G23</f>
        <v>0</v>
      </c>
      <c r="J23" s="40">
        <f>'Restating Adj'!H23</f>
        <v>-15.025190816493238</v>
      </c>
      <c r="K23" s="129">
        <f>'Restating Adj'!I23</f>
        <v>-6643.7924590255116</v>
      </c>
      <c r="L23" s="131">
        <f>'Pro Forma Adj'!H23</f>
        <v>0</v>
      </c>
      <c r="M23" s="129">
        <f>'Pro Forma Adj'!I23</f>
        <v>0</v>
      </c>
      <c r="N23" s="131">
        <f>'Restating Adj'!J23</f>
        <v>-134.84521611248974</v>
      </c>
      <c r="O23" s="129">
        <f>'Restating Adj'!K23+'Pro Forma Adj'!J23</f>
        <v>0</v>
      </c>
      <c r="P23" s="129">
        <f>'Restating Adj'!L23</f>
        <v>0</v>
      </c>
      <c r="Q23" s="129">
        <f>'Restating Adj'!M23</f>
        <v>0</v>
      </c>
      <c r="R23" s="129">
        <f>'Restating Adj'!N23+'Pro Forma Adj'!K23</f>
        <v>0</v>
      </c>
      <c r="S23" s="129">
        <f>'Restating Adj'!O23</f>
        <v>0</v>
      </c>
      <c r="T23" s="129">
        <f>'Pro Forma Adj'!L23</f>
        <v>160518.37103772757</v>
      </c>
      <c r="U23" s="129">
        <f>'Restating Adj'!P23</f>
        <v>0</v>
      </c>
      <c r="V23" s="130">
        <f>'Restating Adj'!Q23</f>
        <v>0</v>
      </c>
      <c r="W23" s="40">
        <f>'Restating Adj'!R23</f>
        <v>0</v>
      </c>
      <c r="X23" s="131">
        <f>'Pro Forma Adj'!M23</f>
        <v>-3568926.1977596208</v>
      </c>
      <c r="Y23" s="129">
        <f>'Pro Forma Adj'!N23</f>
        <v>0</v>
      </c>
      <c r="Z23" s="129">
        <f>'Restating Adj'!S23</f>
        <v>0</v>
      </c>
      <c r="AA23" s="130">
        <f>'Restating Adj'!T23</f>
        <v>0</v>
      </c>
      <c r="AB23" s="132">
        <f>'Restating Adj'!U23+'Pro Forma Adj'!O23</f>
        <v>0</v>
      </c>
      <c r="AC23" s="41">
        <f>'Restating Adj'!V23+'Pro Forma Adj'!P23</f>
        <v>0</v>
      </c>
      <c r="AD23" s="131">
        <f>'Pro Forma Adj'!Q23</f>
        <v>0</v>
      </c>
      <c r="AE23" s="131">
        <f>'Restating Adj'!W23</f>
        <v>0</v>
      </c>
      <c r="AF23" s="131">
        <f>'Pro Forma Adj'!R23</f>
        <v>0</v>
      </c>
      <c r="AG23" s="131">
        <f>'Restating Adj'!X23</f>
        <v>0</v>
      </c>
      <c r="AH23" s="131">
        <f>'Restating Adj'!Y23</f>
        <v>0</v>
      </c>
      <c r="AI23" s="131">
        <f>'Restating Adj'!Z23</f>
        <v>0</v>
      </c>
      <c r="AJ23" s="131">
        <f>'Restating Adj'!AA23</f>
        <v>0</v>
      </c>
      <c r="AK23" s="133">
        <f>'Restating Adj'!AB23</f>
        <v>0</v>
      </c>
      <c r="AL23" s="40">
        <f>'Restating Adj'!AC23</f>
        <v>0</v>
      </c>
      <c r="AM23" s="129">
        <f>'Restating Adj'!AD23</f>
        <v>0</v>
      </c>
      <c r="AN23" s="129">
        <f>'Restating Adj'!AE23</f>
        <v>0</v>
      </c>
      <c r="AO23" s="129">
        <f>'Restating Adj'!AF23</f>
        <v>0</v>
      </c>
      <c r="AP23" s="129">
        <f>'Restating Adj'!AG23</f>
        <v>0</v>
      </c>
      <c r="AQ23" s="129">
        <f>'Restating Adj'!AH23</f>
        <v>0</v>
      </c>
      <c r="AR23" s="129">
        <f>'Restating Adj'!AI23</f>
        <v>0</v>
      </c>
      <c r="AS23" s="129">
        <f>'Restating Adj'!AJ23</f>
        <v>0</v>
      </c>
      <c r="AT23" s="131">
        <f>'Pro Forma Adj'!S23</f>
        <v>0</v>
      </c>
      <c r="AU23" s="129">
        <f>'Restating Adj'!AK23+'Pro Forma Adj'!T23</f>
        <v>0</v>
      </c>
      <c r="AV23" s="129">
        <f>'Restating Adj'!AL23</f>
        <v>0</v>
      </c>
      <c r="AW23" s="130">
        <f>'Pro Forma Adj'!U23</f>
        <v>0</v>
      </c>
      <c r="AX23" s="40">
        <f>'Pro Forma Adj'!V23</f>
        <v>0</v>
      </c>
      <c r="AY23" s="130">
        <f>'Pro Forma Adj'!W23</f>
        <v>-356201.44079751149</v>
      </c>
      <c r="BB23" s="235">
        <f>B23-'Page 1.4'!C17</f>
        <v>0</v>
      </c>
    </row>
    <row r="24" spans="1:54">
      <c r="A24" s="18" t="s">
        <v>68</v>
      </c>
      <c r="B24" s="142">
        <f t="shared" si="10"/>
        <v>344580.41397375759</v>
      </c>
      <c r="C24" s="41">
        <f>'Restating Adj'!C24</f>
        <v>0</v>
      </c>
      <c r="D24" s="131">
        <f>'Restating Adj'!D24</f>
        <v>0</v>
      </c>
      <c r="E24" s="129">
        <f>'Pro Forma Adj'!C24</f>
        <v>0</v>
      </c>
      <c r="F24" s="129">
        <f>'Restating Adj'!E24</f>
        <v>0</v>
      </c>
      <c r="G24" s="129">
        <f>'Restating Adj'!F24+'Pro Forma Adj'!E24</f>
        <v>0</v>
      </c>
      <c r="H24" s="129">
        <f>'Restating Adj'!G24+'Pro Forma Adj'!F24</f>
        <v>0</v>
      </c>
      <c r="I24" s="130">
        <f>'Pro Forma Adj'!G24</f>
        <v>0</v>
      </c>
      <c r="J24" s="40">
        <f>'Restating Adj'!H24</f>
        <v>-47.568757706145263</v>
      </c>
      <c r="K24" s="129">
        <f>'Restating Adj'!I24</f>
        <v>-20868.260545977962</v>
      </c>
      <c r="L24" s="131">
        <f>'Pro Forma Adj'!H24</f>
        <v>0</v>
      </c>
      <c r="M24" s="129">
        <f>'Pro Forma Adj'!I24</f>
        <v>0</v>
      </c>
      <c r="N24" s="131">
        <f>'Restating Adj'!J24</f>
        <v>-124.44211032180037</v>
      </c>
      <c r="O24" s="129">
        <f>'Restating Adj'!K24+'Pro Forma Adj'!J24</f>
        <v>0</v>
      </c>
      <c r="P24" s="129">
        <f>'Restating Adj'!L24</f>
        <v>0</v>
      </c>
      <c r="Q24" s="129">
        <f>'Restating Adj'!M24</f>
        <v>0</v>
      </c>
      <c r="R24" s="129">
        <f>'Restating Adj'!N24+'Pro Forma Adj'!K24</f>
        <v>0</v>
      </c>
      <c r="S24" s="129">
        <f>'Restating Adj'!O24</f>
        <v>0</v>
      </c>
      <c r="T24" s="129">
        <f>'Pro Forma Adj'!L24</f>
        <v>365620.68538776349</v>
      </c>
      <c r="U24" s="129">
        <f>'Restating Adj'!P24</f>
        <v>0</v>
      </c>
      <c r="V24" s="130">
        <f>'Restating Adj'!Q24</f>
        <v>0</v>
      </c>
      <c r="W24" s="40">
        <f>'Restating Adj'!R24</f>
        <v>0</v>
      </c>
      <c r="X24" s="131">
        <f>'Pro Forma Adj'!M24</f>
        <v>0</v>
      </c>
      <c r="Y24" s="129">
        <f>'Pro Forma Adj'!N24</f>
        <v>0</v>
      </c>
      <c r="Z24" s="129">
        <f>'Restating Adj'!S24</f>
        <v>0</v>
      </c>
      <c r="AA24" s="130">
        <f>'Restating Adj'!T24</f>
        <v>0</v>
      </c>
      <c r="AB24" s="132">
        <f>'Restating Adj'!U24+'Pro Forma Adj'!O24</f>
        <v>0</v>
      </c>
      <c r="AC24" s="41">
        <f>'Restating Adj'!V24+'Pro Forma Adj'!P24</f>
        <v>0</v>
      </c>
      <c r="AD24" s="131">
        <f>'Pro Forma Adj'!Q24</f>
        <v>0</v>
      </c>
      <c r="AE24" s="131">
        <f>'Restating Adj'!W24</f>
        <v>0</v>
      </c>
      <c r="AF24" s="131">
        <f>'Pro Forma Adj'!R24</f>
        <v>0</v>
      </c>
      <c r="AG24" s="131">
        <f>'Restating Adj'!X24</f>
        <v>0</v>
      </c>
      <c r="AH24" s="131">
        <f>'Restating Adj'!Y24</f>
        <v>0</v>
      </c>
      <c r="AI24" s="131">
        <f>'Restating Adj'!Z24</f>
        <v>0</v>
      </c>
      <c r="AJ24" s="131">
        <f>'Restating Adj'!AA24</f>
        <v>0</v>
      </c>
      <c r="AK24" s="133">
        <f>'Restating Adj'!AB24</f>
        <v>0</v>
      </c>
      <c r="AL24" s="40">
        <f>'Restating Adj'!AC24</f>
        <v>0</v>
      </c>
      <c r="AM24" s="129">
        <f>'Restating Adj'!AD24</f>
        <v>0</v>
      </c>
      <c r="AN24" s="129">
        <f>'Restating Adj'!AE24</f>
        <v>0</v>
      </c>
      <c r="AO24" s="129">
        <f>'Restating Adj'!AF24</f>
        <v>0</v>
      </c>
      <c r="AP24" s="129">
        <f>'Restating Adj'!AG24</f>
        <v>0</v>
      </c>
      <c r="AQ24" s="129">
        <f>'Restating Adj'!AH24</f>
        <v>0</v>
      </c>
      <c r="AR24" s="129">
        <f>'Restating Adj'!AI24</f>
        <v>0</v>
      </c>
      <c r="AS24" s="129">
        <f>'Restating Adj'!AJ24</f>
        <v>0</v>
      </c>
      <c r="AT24" s="131">
        <f>'Pro Forma Adj'!S24</f>
        <v>0</v>
      </c>
      <c r="AU24" s="129">
        <f>'Restating Adj'!AK24+'Pro Forma Adj'!T24</f>
        <v>0</v>
      </c>
      <c r="AV24" s="129">
        <f>'Restating Adj'!AL24</f>
        <v>0</v>
      </c>
      <c r="AW24" s="130">
        <f>'Pro Forma Adj'!U24</f>
        <v>0</v>
      </c>
      <c r="AX24" s="40">
        <f>'Pro Forma Adj'!V24</f>
        <v>0</v>
      </c>
      <c r="AY24" s="130">
        <f>'Pro Forma Adj'!W24</f>
        <v>0</v>
      </c>
      <c r="BB24" s="235">
        <f>B24-'Page 1.4'!C18</f>
        <v>0</v>
      </c>
    </row>
    <row r="25" spans="1:54">
      <c r="A25" s="18" t="s">
        <v>69</v>
      </c>
      <c r="B25" s="142">
        <f t="shared" si="10"/>
        <v>-1124997.3572180208</v>
      </c>
      <c r="C25" s="41">
        <f>'Restating Adj'!C25</f>
        <v>0</v>
      </c>
      <c r="D25" s="131">
        <f>'Restating Adj'!D25</f>
        <v>0</v>
      </c>
      <c r="E25" s="129">
        <f>'Pro Forma Adj'!C25</f>
        <v>0</v>
      </c>
      <c r="F25" s="129">
        <f>'Restating Adj'!E25</f>
        <v>0</v>
      </c>
      <c r="G25" s="129">
        <f>'Restating Adj'!F25+'Pro Forma Adj'!E25</f>
        <v>0</v>
      </c>
      <c r="H25" s="129">
        <f>'Restating Adj'!G25+'Pro Forma Adj'!F25</f>
        <v>0</v>
      </c>
      <c r="I25" s="130">
        <f>'Pro Forma Adj'!G25</f>
        <v>0</v>
      </c>
      <c r="J25" s="40">
        <f>'Restating Adj'!H25</f>
        <v>-1001.831242912659</v>
      </c>
      <c r="K25" s="129">
        <f>'Restating Adj'!I25</f>
        <v>-16796.944663172984</v>
      </c>
      <c r="L25" s="131">
        <f>'Pro Forma Adj'!H25</f>
        <v>0</v>
      </c>
      <c r="M25" s="129">
        <f>'Pro Forma Adj'!I25</f>
        <v>-1083728.1413119351</v>
      </c>
      <c r="N25" s="131">
        <f>'Restating Adj'!J25</f>
        <v>0</v>
      </c>
      <c r="O25" s="129">
        <f>'Restating Adj'!K25+'Pro Forma Adj'!J25</f>
        <v>0</v>
      </c>
      <c r="P25" s="129">
        <f>'Restating Adj'!L25</f>
        <v>0</v>
      </c>
      <c r="Q25" s="129">
        <f>'Restating Adj'!M25</f>
        <v>0</v>
      </c>
      <c r="R25" s="129">
        <f>'Restating Adj'!N25+'Pro Forma Adj'!K25</f>
        <v>0</v>
      </c>
      <c r="S25" s="129">
        <f>'Restating Adj'!O25</f>
        <v>0</v>
      </c>
      <c r="T25" s="129">
        <f>'Pro Forma Adj'!L25</f>
        <v>0</v>
      </c>
      <c r="U25" s="129">
        <f>'Restating Adj'!P25</f>
        <v>0</v>
      </c>
      <c r="V25" s="130">
        <f>'Restating Adj'!Q25</f>
        <v>0</v>
      </c>
      <c r="W25" s="40">
        <f>'Restating Adj'!R25</f>
        <v>0</v>
      </c>
      <c r="X25" s="131">
        <f>'Pro Forma Adj'!M25</f>
        <v>0</v>
      </c>
      <c r="Y25" s="129">
        <f>'Pro Forma Adj'!N25</f>
        <v>0</v>
      </c>
      <c r="Z25" s="129">
        <f>'Restating Adj'!S25</f>
        <v>0</v>
      </c>
      <c r="AA25" s="130">
        <f>'Restating Adj'!T25</f>
        <v>0</v>
      </c>
      <c r="AB25" s="132">
        <f>'Restating Adj'!U25+'Pro Forma Adj'!O25</f>
        <v>0</v>
      </c>
      <c r="AC25" s="41">
        <f>'Restating Adj'!V25+'Pro Forma Adj'!P25</f>
        <v>0</v>
      </c>
      <c r="AD25" s="131">
        <f>'Pro Forma Adj'!Q25</f>
        <v>0</v>
      </c>
      <c r="AE25" s="131">
        <f>'Restating Adj'!W25</f>
        <v>0</v>
      </c>
      <c r="AF25" s="131">
        <f>'Pro Forma Adj'!R25</f>
        <v>0</v>
      </c>
      <c r="AG25" s="131">
        <f>'Restating Adj'!X25</f>
        <v>0</v>
      </c>
      <c r="AH25" s="131">
        <f>'Restating Adj'!Y25</f>
        <v>0</v>
      </c>
      <c r="AI25" s="131">
        <f>'Restating Adj'!Z25</f>
        <v>0</v>
      </c>
      <c r="AJ25" s="131">
        <f>'Restating Adj'!AA25</f>
        <v>0</v>
      </c>
      <c r="AK25" s="133">
        <f>'Restating Adj'!AB25</f>
        <v>0</v>
      </c>
      <c r="AL25" s="40">
        <f>'Restating Adj'!AC25</f>
        <v>0</v>
      </c>
      <c r="AM25" s="129">
        <f>'Restating Adj'!AD25</f>
        <v>0</v>
      </c>
      <c r="AN25" s="129">
        <f>'Restating Adj'!AE25</f>
        <v>0</v>
      </c>
      <c r="AO25" s="129">
        <f>'Restating Adj'!AF25</f>
        <v>0</v>
      </c>
      <c r="AP25" s="129">
        <f>'Restating Adj'!AG25</f>
        <v>0</v>
      </c>
      <c r="AQ25" s="129">
        <f>'Restating Adj'!AH25</f>
        <v>0</v>
      </c>
      <c r="AR25" s="129">
        <f>'Restating Adj'!AI25</f>
        <v>0</v>
      </c>
      <c r="AS25" s="129">
        <f>'Restating Adj'!AJ25</f>
        <v>0</v>
      </c>
      <c r="AT25" s="131">
        <f>'Pro Forma Adj'!S25</f>
        <v>0</v>
      </c>
      <c r="AU25" s="129">
        <f>'Restating Adj'!AK25+'Pro Forma Adj'!T25</f>
        <v>-23470.439999999988</v>
      </c>
      <c r="AV25" s="129">
        <f>'Restating Adj'!AL25</f>
        <v>0</v>
      </c>
      <c r="AW25" s="130">
        <f>'Pro Forma Adj'!U25</f>
        <v>0</v>
      </c>
      <c r="AX25" s="40">
        <f>'Pro Forma Adj'!V25</f>
        <v>0</v>
      </c>
      <c r="AY25" s="130">
        <f>'Pro Forma Adj'!W25</f>
        <v>0</v>
      </c>
      <c r="BB25" s="235">
        <f>B25-'Page 1.4'!C19</f>
        <v>0</v>
      </c>
    </row>
    <row r="26" spans="1:54">
      <c r="A26" s="18" t="s">
        <v>70</v>
      </c>
      <c r="B26" s="142">
        <f>SUM(C26:AY26)</f>
        <v>-8808315.0298450738</v>
      </c>
      <c r="C26" s="41">
        <f>'Restating Adj'!C26</f>
        <v>0</v>
      </c>
      <c r="D26" s="131">
        <f>'Restating Adj'!D26</f>
        <v>0</v>
      </c>
      <c r="E26" s="129">
        <f>'Pro Forma Adj'!C26</f>
        <v>0</v>
      </c>
      <c r="F26" s="129">
        <f>'Restating Adj'!E26</f>
        <v>0</v>
      </c>
      <c r="G26" s="129">
        <f>'Restating Adj'!F26+'Pro Forma Adj'!E26</f>
        <v>0</v>
      </c>
      <c r="H26" s="129">
        <f>'Restating Adj'!G26+'Pro Forma Adj'!F26</f>
        <v>0</v>
      </c>
      <c r="I26" s="130">
        <f>'Pro Forma Adj'!G26</f>
        <v>0</v>
      </c>
      <c r="J26" s="40">
        <f>'Restating Adj'!H26</f>
        <v>247.08719192707974</v>
      </c>
      <c r="K26" s="129">
        <f>'Restating Adj'!I26</f>
        <v>-774.46665443633958</v>
      </c>
      <c r="L26" s="131">
        <f>'Pro Forma Adj'!H26</f>
        <v>0</v>
      </c>
      <c r="M26" s="129">
        <f>'Pro Forma Adj'!I26</f>
        <v>0</v>
      </c>
      <c r="N26" s="131">
        <f>'Restating Adj'!J26</f>
        <v>0</v>
      </c>
      <c r="O26" s="129">
        <f>'Restating Adj'!K26+'Pro Forma Adj'!J26</f>
        <v>0</v>
      </c>
      <c r="P26" s="129">
        <f>'Restating Adj'!L26</f>
        <v>-8855002</v>
      </c>
      <c r="Q26" s="129">
        <f>'Restating Adj'!M26</f>
        <v>3668.9492345489057</v>
      </c>
      <c r="R26" s="129">
        <f>'Restating Adj'!N26+'Pro Forma Adj'!K26</f>
        <v>0</v>
      </c>
      <c r="S26" s="129">
        <f>'Restating Adj'!O26</f>
        <v>0</v>
      </c>
      <c r="T26" s="129">
        <f>'Pro Forma Adj'!L26</f>
        <v>0</v>
      </c>
      <c r="U26" s="129">
        <f>'Restating Adj'!P26</f>
        <v>43545.400382885564</v>
      </c>
      <c r="V26" s="130">
        <f>'Restating Adj'!Q26</f>
        <v>0</v>
      </c>
      <c r="W26" s="40">
        <f>'Restating Adj'!R26</f>
        <v>0</v>
      </c>
      <c r="X26" s="131">
        <f>'Pro Forma Adj'!M26</f>
        <v>0</v>
      </c>
      <c r="Y26" s="129">
        <f>'Pro Forma Adj'!N26</f>
        <v>0</v>
      </c>
      <c r="Z26" s="129">
        <f>'Restating Adj'!S26</f>
        <v>0</v>
      </c>
      <c r="AA26" s="130">
        <f>'Restating Adj'!T26</f>
        <v>0</v>
      </c>
      <c r="AB26" s="132">
        <f>'Restating Adj'!U26+'Pro Forma Adj'!O26</f>
        <v>0</v>
      </c>
      <c r="AC26" s="41">
        <f>'Restating Adj'!V26+'Pro Forma Adj'!P26</f>
        <v>0</v>
      </c>
      <c r="AD26" s="131">
        <f>'Pro Forma Adj'!Q26</f>
        <v>0</v>
      </c>
      <c r="AE26" s="131">
        <f>'Restating Adj'!W26</f>
        <v>0</v>
      </c>
      <c r="AF26" s="131">
        <f>'Pro Forma Adj'!R26</f>
        <v>0</v>
      </c>
      <c r="AG26" s="131">
        <f>'Restating Adj'!X26</f>
        <v>0</v>
      </c>
      <c r="AH26" s="131">
        <f>'Restating Adj'!Y26</f>
        <v>0</v>
      </c>
      <c r="AI26" s="131">
        <f>'Restating Adj'!Z26</f>
        <v>0</v>
      </c>
      <c r="AJ26" s="131">
        <f>'Restating Adj'!AA26</f>
        <v>0</v>
      </c>
      <c r="AK26" s="133">
        <f>'Restating Adj'!AB26</f>
        <v>0</v>
      </c>
      <c r="AL26" s="40">
        <f>'Restating Adj'!AC26</f>
        <v>0</v>
      </c>
      <c r="AM26" s="129">
        <f>'Restating Adj'!AD26</f>
        <v>0</v>
      </c>
      <c r="AN26" s="129">
        <f>'Restating Adj'!AE26</f>
        <v>0</v>
      </c>
      <c r="AO26" s="129">
        <f>'Restating Adj'!AF26</f>
        <v>0</v>
      </c>
      <c r="AP26" s="129">
        <f>'Restating Adj'!AG26</f>
        <v>0</v>
      </c>
      <c r="AQ26" s="129">
        <f>'Restating Adj'!AH26</f>
        <v>0</v>
      </c>
      <c r="AR26" s="129">
        <f>'Restating Adj'!AI26</f>
        <v>0</v>
      </c>
      <c r="AS26" s="129">
        <f>'Restating Adj'!AJ26</f>
        <v>0</v>
      </c>
      <c r="AT26" s="131">
        <f>'Pro Forma Adj'!S26</f>
        <v>0</v>
      </c>
      <c r="AU26" s="129">
        <f>'Restating Adj'!AK26+'Pro Forma Adj'!T26</f>
        <v>0</v>
      </c>
      <c r="AV26" s="129">
        <f>'Restating Adj'!AL26</f>
        <v>0</v>
      </c>
      <c r="AW26" s="130">
        <f>'Pro Forma Adj'!U26</f>
        <v>0</v>
      </c>
      <c r="AX26" s="40">
        <f>'Pro Forma Adj'!V26</f>
        <v>0</v>
      </c>
      <c r="AY26" s="130">
        <f>'Pro Forma Adj'!W26</f>
        <v>0</v>
      </c>
      <c r="BB26" s="235">
        <f>B26-'Page 1.4'!C20</f>
        <v>0</v>
      </c>
    </row>
    <row r="27" spans="1:54">
      <c r="A27" s="18" t="s">
        <v>71</v>
      </c>
      <c r="B27" s="142">
        <f t="shared" si="10"/>
        <v>0</v>
      </c>
      <c r="C27" s="41">
        <f>'Restating Adj'!C27</f>
        <v>0</v>
      </c>
      <c r="D27" s="131">
        <f>'Restating Adj'!D27</f>
        <v>0</v>
      </c>
      <c r="E27" s="129">
        <f>'Pro Forma Adj'!C27</f>
        <v>0</v>
      </c>
      <c r="F27" s="129">
        <f>'Restating Adj'!E27</f>
        <v>0</v>
      </c>
      <c r="G27" s="129">
        <f>'Restating Adj'!F27+'Pro Forma Adj'!E27</f>
        <v>0</v>
      </c>
      <c r="H27" s="129">
        <f>'Restating Adj'!G27+'Pro Forma Adj'!F27</f>
        <v>0</v>
      </c>
      <c r="I27" s="130">
        <f>'Pro Forma Adj'!G27</f>
        <v>0</v>
      </c>
      <c r="J27" s="40">
        <f>'Restating Adj'!H27</f>
        <v>0</v>
      </c>
      <c r="K27" s="129">
        <f>'Restating Adj'!I27</f>
        <v>0</v>
      </c>
      <c r="L27" s="131">
        <f>'Pro Forma Adj'!H27</f>
        <v>0</v>
      </c>
      <c r="M27" s="129">
        <f>'Pro Forma Adj'!I27</f>
        <v>0</v>
      </c>
      <c r="N27" s="131">
        <f>'Restating Adj'!J27</f>
        <v>0</v>
      </c>
      <c r="O27" s="129">
        <f>'Restating Adj'!K27+'Pro Forma Adj'!J27</f>
        <v>0</v>
      </c>
      <c r="P27" s="129">
        <f>'Restating Adj'!L27</f>
        <v>0</v>
      </c>
      <c r="Q27" s="129">
        <f>'Restating Adj'!M27</f>
        <v>0</v>
      </c>
      <c r="R27" s="129">
        <f>'Restating Adj'!N27+'Pro Forma Adj'!K27</f>
        <v>0</v>
      </c>
      <c r="S27" s="129">
        <f>'Restating Adj'!O27</f>
        <v>0</v>
      </c>
      <c r="T27" s="129">
        <f>'Pro Forma Adj'!L27</f>
        <v>0</v>
      </c>
      <c r="U27" s="129">
        <f>'Restating Adj'!P27</f>
        <v>0</v>
      </c>
      <c r="V27" s="130">
        <f>'Restating Adj'!Q27</f>
        <v>0</v>
      </c>
      <c r="W27" s="40">
        <f>'Restating Adj'!R27</f>
        <v>0</v>
      </c>
      <c r="X27" s="131">
        <f>'Pro Forma Adj'!M27</f>
        <v>0</v>
      </c>
      <c r="Y27" s="129">
        <f>'Pro Forma Adj'!N27</f>
        <v>0</v>
      </c>
      <c r="Z27" s="129">
        <f>'Restating Adj'!S27</f>
        <v>0</v>
      </c>
      <c r="AA27" s="130">
        <f>'Restating Adj'!T27</f>
        <v>0</v>
      </c>
      <c r="AB27" s="132">
        <f>'Restating Adj'!U27+'Pro Forma Adj'!O27</f>
        <v>0</v>
      </c>
      <c r="AC27" s="41">
        <f>'Restating Adj'!V27+'Pro Forma Adj'!P27</f>
        <v>0</v>
      </c>
      <c r="AD27" s="131">
        <f>'Pro Forma Adj'!Q27</f>
        <v>0</v>
      </c>
      <c r="AE27" s="131">
        <f>'Restating Adj'!W27</f>
        <v>0</v>
      </c>
      <c r="AF27" s="131">
        <f>'Pro Forma Adj'!R27</f>
        <v>0</v>
      </c>
      <c r="AG27" s="131">
        <f>'Restating Adj'!X27</f>
        <v>0</v>
      </c>
      <c r="AH27" s="131">
        <f>'Restating Adj'!Y27</f>
        <v>0</v>
      </c>
      <c r="AI27" s="131">
        <f>'Restating Adj'!Z27</f>
        <v>0</v>
      </c>
      <c r="AJ27" s="131">
        <f>'Restating Adj'!AA27</f>
        <v>0</v>
      </c>
      <c r="AK27" s="133">
        <f>'Restating Adj'!AB27</f>
        <v>0</v>
      </c>
      <c r="AL27" s="40">
        <f>'Restating Adj'!AC27</f>
        <v>0</v>
      </c>
      <c r="AM27" s="129">
        <f>'Restating Adj'!AD27</f>
        <v>0</v>
      </c>
      <c r="AN27" s="129">
        <f>'Restating Adj'!AE27</f>
        <v>0</v>
      </c>
      <c r="AO27" s="129">
        <f>'Restating Adj'!AF27</f>
        <v>0</v>
      </c>
      <c r="AP27" s="129">
        <f>'Restating Adj'!AG27</f>
        <v>0</v>
      </c>
      <c r="AQ27" s="129">
        <f>'Restating Adj'!AH27</f>
        <v>0</v>
      </c>
      <c r="AR27" s="129">
        <f>'Restating Adj'!AI27</f>
        <v>0</v>
      </c>
      <c r="AS27" s="129">
        <f>'Restating Adj'!AJ27</f>
        <v>0</v>
      </c>
      <c r="AT27" s="131">
        <f>'Pro Forma Adj'!S27</f>
        <v>0</v>
      </c>
      <c r="AU27" s="129">
        <f>'Restating Adj'!AK27+'Pro Forma Adj'!T27</f>
        <v>0</v>
      </c>
      <c r="AV27" s="129">
        <f>'Restating Adj'!AL27</f>
        <v>0</v>
      </c>
      <c r="AW27" s="130">
        <f>'Pro Forma Adj'!U27</f>
        <v>0</v>
      </c>
      <c r="AX27" s="40">
        <f>'Pro Forma Adj'!V27</f>
        <v>0</v>
      </c>
      <c r="AY27" s="130">
        <f>'Pro Forma Adj'!W27</f>
        <v>0</v>
      </c>
      <c r="BB27" s="235">
        <f>B27-'Page 1.4'!C21</f>
        <v>0</v>
      </c>
    </row>
    <row r="28" spans="1:54">
      <c r="A28" s="18" t="s">
        <v>72</v>
      </c>
      <c r="B28" s="142">
        <f t="shared" si="10"/>
        <v>-653912.21560024982</v>
      </c>
      <c r="C28" s="41">
        <f>'Restating Adj'!C28</f>
        <v>0</v>
      </c>
      <c r="D28" s="131">
        <f>'Restating Adj'!D28</f>
        <v>0</v>
      </c>
      <c r="E28" s="129">
        <f>'Pro Forma Adj'!C28</f>
        <v>0</v>
      </c>
      <c r="F28" s="129">
        <f>'Restating Adj'!E28</f>
        <v>0</v>
      </c>
      <c r="G28" s="129">
        <f>'Restating Adj'!F28+'Pro Forma Adj'!E28</f>
        <v>0</v>
      </c>
      <c r="H28" s="129">
        <f>'Restating Adj'!G28+'Pro Forma Adj'!F28</f>
        <v>0</v>
      </c>
      <c r="I28" s="130">
        <f>'Pro Forma Adj'!G28</f>
        <v>0</v>
      </c>
      <c r="J28" s="40">
        <f>'Restating Adj'!H28</f>
        <v>-131528.98019489166</v>
      </c>
      <c r="K28" s="129">
        <f>'Restating Adj'!I28</f>
        <v>-28058.166542048693</v>
      </c>
      <c r="L28" s="131">
        <f>'Pro Forma Adj'!H28</f>
        <v>0</v>
      </c>
      <c r="M28" s="129">
        <f>'Pro Forma Adj'!I28</f>
        <v>0</v>
      </c>
      <c r="N28" s="131">
        <f>'Restating Adj'!J28</f>
        <v>184026.37917072655</v>
      </c>
      <c r="O28" s="129">
        <f>'Restating Adj'!K28+'Pro Forma Adj'!J28</f>
        <v>-4243.9566412224667</v>
      </c>
      <c r="P28" s="129">
        <f>'Restating Adj'!L28</f>
        <v>0</v>
      </c>
      <c r="Q28" s="129">
        <f>'Restating Adj'!M28</f>
        <v>0</v>
      </c>
      <c r="R28" s="129">
        <f>'Restating Adj'!N28+'Pro Forma Adj'!K28</f>
        <v>29289.111501199019</v>
      </c>
      <c r="S28" s="129">
        <f>'Restating Adj'!O28</f>
        <v>-14413.215258144253</v>
      </c>
      <c r="T28" s="129">
        <f>'Pro Forma Adj'!L28</f>
        <v>-767118.82869517128</v>
      </c>
      <c r="U28" s="129">
        <f>'Restating Adj'!P28</f>
        <v>0</v>
      </c>
      <c r="V28" s="130">
        <f>'Restating Adj'!Q28</f>
        <v>1362.579400068731</v>
      </c>
      <c r="W28" s="40">
        <f>'Restating Adj'!R28</f>
        <v>0</v>
      </c>
      <c r="X28" s="131">
        <f>'Pro Forma Adj'!M28</f>
        <v>0</v>
      </c>
      <c r="Y28" s="129">
        <f>'Pro Forma Adj'!N28</f>
        <v>0</v>
      </c>
      <c r="Z28" s="129">
        <f>'Restating Adj'!S28</f>
        <v>0</v>
      </c>
      <c r="AA28" s="130">
        <f>'Restating Adj'!T28</f>
        <v>0</v>
      </c>
      <c r="AB28" s="132">
        <f>'Restating Adj'!U28+'Pro Forma Adj'!O28</f>
        <v>0</v>
      </c>
      <c r="AC28" s="41">
        <f>'Restating Adj'!V28+'Pro Forma Adj'!P28</f>
        <v>0</v>
      </c>
      <c r="AD28" s="131">
        <f>'Pro Forma Adj'!Q28</f>
        <v>0</v>
      </c>
      <c r="AE28" s="131">
        <f>'Restating Adj'!W28</f>
        <v>0</v>
      </c>
      <c r="AF28" s="131">
        <f>'Pro Forma Adj'!R28</f>
        <v>0</v>
      </c>
      <c r="AG28" s="131">
        <f>'Restating Adj'!X28</f>
        <v>0</v>
      </c>
      <c r="AH28" s="131">
        <f>'Restating Adj'!Y28</f>
        <v>0</v>
      </c>
      <c r="AI28" s="131">
        <f>'Restating Adj'!Z28</f>
        <v>0</v>
      </c>
      <c r="AJ28" s="131">
        <f>'Restating Adj'!AA28</f>
        <v>0</v>
      </c>
      <c r="AK28" s="133">
        <f>'Restating Adj'!AB28</f>
        <v>0</v>
      </c>
      <c r="AL28" s="40">
        <f>'Restating Adj'!AC28</f>
        <v>0</v>
      </c>
      <c r="AM28" s="129">
        <f>'Restating Adj'!AD28</f>
        <v>0</v>
      </c>
      <c r="AN28" s="129">
        <f>'Restating Adj'!AE28</f>
        <v>76772.861659234259</v>
      </c>
      <c r="AO28" s="129">
        <f>'Restating Adj'!AF28</f>
        <v>0</v>
      </c>
      <c r="AP28" s="129">
        <f>'Restating Adj'!AG28</f>
        <v>0</v>
      </c>
      <c r="AQ28" s="129">
        <f>'Restating Adj'!AH28</f>
        <v>0</v>
      </c>
      <c r="AR28" s="129">
        <f>'Restating Adj'!AI28</f>
        <v>0</v>
      </c>
      <c r="AS28" s="129">
        <f>'Restating Adj'!AJ28</f>
        <v>0</v>
      </c>
      <c r="AT28" s="131">
        <f>'Pro Forma Adj'!S28</f>
        <v>0</v>
      </c>
      <c r="AU28" s="129">
        <f>'Restating Adj'!AK28+'Pro Forma Adj'!T28</f>
        <v>0</v>
      </c>
      <c r="AV28" s="129">
        <f>'Restating Adj'!AL28</f>
        <v>0</v>
      </c>
      <c r="AW28" s="130">
        <f>'Pro Forma Adj'!U28</f>
        <v>0</v>
      </c>
      <c r="AX28" s="40">
        <f>'Pro Forma Adj'!V28</f>
        <v>0</v>
      </c>
      <c r="AY28" s="130">
        <f>'Pro Forma Adj'!W28</f>
        <v>0</v>
      </c>
      <c r="BB28" s="235">
        <f>B28-'Page 1.4'!C22</f>
        <v>0</v>
      </c>
    </row>
    <row r="29" spans="1:54">
      <c r="A29" s="18" t="s">
        <v>73</v>
      </c>
      <c r="B29" s="245">
        <f t="shared" si="10"/>
        <v>-24935834.360645633</v>
      </c>
      <c r="C29" s="158">
        <f>SUM(C19:C28)</f>
        <v>0</v>
      </c>
      <c r="D29" s="165">
        <f t="shared" ref="D29:AU29" si="11">SUM(D19:D28)</f>
        <v>0</v>
      </c>
      <c r="E29" s="165">
        <f t="shared" ref="E29" si="12">SUM(E19:E28)</f>
        <v>0</v>
      </c>
      <c r="F29" s="165">
        <f t="shared" si="11"/>
        <v>0</v>
      </c>
      <c r="G29" s="165">
        <f t="shared" si="11"/>
        <v>0</v>
      </c>
      <c r="H29" s="165">
        <f t="shared" si="11"/>
        <v>-65153.370885581295</v>
      </c>
      <c r="I29" s="163">
        <f t="shared" si="11"/>
        <v>0</v>
      </c>
      <c r="J29" s="158">
        <f>SUM(J19:J28)</f>
        <v>-132346.31819439988</v>
      </c>
      <c r="K29" s="165">
        <f t="shared" si="11"/>
        <v>-109073.81345781857</v>
      </c>
      <c r="L29" s="165">
        <f t="shared" ref="L29:M29" si="13">SUM(L19:L28)</f>
        <v>0</v>
      </c>
      <c r="M29" s="165">
        <f t="shared" si="13"/>
        <v>-1083728.1413119351</v>
      </c>
      <c r="N29" s="165">
        <f t="shared" si="11"/>
        <v>94179.484143901253</v>
      </c>
      <c r="O29" s="165">
        <f t="shared" si="11"/>
        <v>-4243.9566412224667</v>
      </c>
      <c r="P29" s="165">
        <f t="shared" si="11"/>
        <v>-8855002</v>
      </c>
      <c r="Q29" s="165">
        <f t="shared" ref="Q29:V29" si="14">SUM(Q19:Q28)</f>
        <v>3668.9492345489057</v>
      </c>
      <c r="R29" s="165">
        <f t="shared" si="14"/>
        <v>29289.111501199019</v>
      </c>
      <c r="S29" s="165">
        <f t="shared" si="14"/>
        <v>-14413.215258144253</v>
      </c>
      <c r="T29" s="165">
        <f t="shared" si="14"/>
        <v>-158128.65403550165</v>
      </c>
      <c r="U29" s="165">
        <f t="shared" si="14"/>
        <v>43545.400382885564</v>
      </c>
      <c r="V29" s="163">
        <f t="shared" si="14"/>
        <v>1362.579400068731</v>
      </c>
      <c r="W29" s="165">
        <f t="shared" ref="W29:X29" si="15">SUM(W19:W28)</f>
        <v>-688548.58794637048</v>
      </c>
      <c r="X29" s="165">
        <f t="shared" si="15"/>
        <v>-19348021.954924542</v>
      </c>
      <c r="Y29" s="165">
        <f t="shared" ref="Y29:Z29" si="16">SUM(Y19:Y28)</f>
        <v>0</v>
      </c>
      <c r="Z29" s="165">
        <f t="shared" si="16"/>
        <v>8774225.7699999996</v>
      </c>
      <c r="AA29" s="163">
        <f t="shared" si="11"/>
        <v>0</v>
      </c>
      <c r="AB29" s="245">
        <f t="shared" si="11"/>
        <v>0</v>
      </c>
      <c r="AC29" s="158">
        <f t="shared" si="11"/>
        <v>0</v>
      </c>
      <c r="AD29" s="165">
        <f t="shared" ref="AD29" si="17">SUM(AD19:AD28)</f>
        <v>0</v>
      </c>
      <c r="AE29" s="165">
        <f t="shared" si="11"/>
        <v>0</v>
      </c>
      <c r="AF29" s="165">
        <f t="shared" si="11"/>
        <v>0</v>
      </c>
      <c r="AG29" s="165">
        <f t="shared" si="11"/>
        <v>0</v>
      </c>
      <c r="AH29" s="165">
        <f t="shared" ref="AH29" si="18">SUM(AH19:AH28)</f>
        <v>0</v>
      </c>
      <c r="AI29" s="165">
        <f t="shared" si="11"/>
        <v>0</v>
      </c>
      <c r="AJ29" s="165">
        <f t="shared" si="11"/>
        <v>0</v>
      </c>
      <c r="AK29" s="163">
        <f t="shared" si="11"/>
        <v>0</v>
      </c>
      <c r="AL29" s="158">
        <f t="shared" si="11"/>
        <v>0</v>
      </c>
      <c r="AM29" s="165">
        <f t="shared" si="11"/>
        <v>0</v>
      </c>
      <c r="AN29" s="165">
        <f t="shared" si="11"/>
        <v>76772.861659234259</v>
      </c>
      <c r="AO29" s="165">
        <f t="shared" si="11"/>
        <v>0</v>
      </c>
      <c r="AP29" s="165">
        <f t="shared" si="11"/>
        <v>0</v>
      </c>
      <c r="AQ29" s="165">
        <f t="shared" si="11"/>
        <v>0</v>
      </c>
      <c r="AR29" s="165">
        <f t="shared" si="11"/>
        <v>0</v>
      </c>
      <c r="AS29" s="165">
        <f t="shared" ref="AS29" si="19">SUM(AS19:AS28)</f>
        <v>0</v>
      </c>
      <c r="AT29" s="165">
        <f t="shared" si="11"/>
        <v>-15030.02310173677</v>
      </c>
      <c r="AU29" s="165">
        <f t="shared" si="11"/>
        <v>-23470.439999999988</v>
      </c>
      <c r="AV29" s="165">
        <f t="shared" ref="AV29:AW29" si="20">SUM(AV19:AV28)</f>
        <v>0</v>
      </c>
      <c r="AW29" s="163">
        <f t="shared" si="20"/>
        <v>-92246.506611782112</v>
      </c>
      <c r="AX29" s="158">
        <f t="shared" ref="AX29" si="21">SUM(AX19:AX28)</f>
        <v>-506089.35463854618</v>
      </c>
      <c r="AY29" s="163">
        <f t="shared" ref="AY29" si="22">SUM(AY19:AY28)</f>
        <v>-2863382.1799598867</v>
      </c>
      <c r="BB29" s="235">
        <f>B29-'Page 1.4'!C23</f>
        <v>0</v>
      </c>
    </row>
    <row r="30" spans="1:54">
      <c r="A30" s="18" t="s">
        <v>74</v>
      </c>
      <c r="B30" s="142">
        <f t="shared" si="10"/>
        <v>-788827.3579004521</v>
      </c>
      <c r="C30" s="41">
        <f>'Restating Adj'!C30</f>
        <v>0</v>
      </c>
      <c r="D30" s="131">
        <f>'Restating Adj'!D30</f>
        <v>0</v>
      </c>
      <c r="E30" s="129">
        <f>'Pro Forma Adj'!C30</f>
        <v>0</v>
      </c>
      <c r="F30" s="129">
        <f>'Restating Adj'!E30</f>
        <v>0</v>
      </c>
      <c r="G30" s="129">
        <f>'Restating Adj'!F30+'Pro Forma Adj'!E30</f>
        <v>0</v>
      </c>
      <c r="H30" s="129">
        <f>'Restating Adj'!G30+'Pro Forma Adj'!F30</f>
        <v>0</v>
      </c>
      <c r="I30" s="130">
        <f>'Pro Forma Adj'!G30</f>
        <v>0</v>
      </c>
      <c r="J30" s="40">
        <f>'Restating Adj'!H30</f>
        <v>0</v>
      </c>
      <c r="K30" s="129">
        <f>'Restating Adj'!I30</f>
        <v>0</v>
      </c>
      <c r="L30" s="131">
        <f>'Pro Forma Adj'!H30</f>
        <v>0</v>
      </c>
      <c r="M30" s="129">
        <f>'Pro Forma Adj'!I30</f>
        <v>-62393.007246632129</v>
      </c>
      <c r="N30" s="131">
        <f>'Restating Adj'!J30</f>
        <v>0</v>
      </c>
      <c r="O30" s="129">
        <f>'Restating Adj'!K30+'Pro Forma Adj'!J30</f>
        <v>0</v>
      </c>
      <c r="P30" s="129">
        <f>'Restating Adj'!L30</f>
        <v>0</v>
      </c>
      <c r="Q30" s="129">
        <f>'Restating Adj'!M30</f>
        <v>0</v>
      </c>
      <c r="R30" s="129">
        <f>'Restating Adj'!N30+'Pro Forma Adj'!K30</f>
        <v>0</v>
      </c>
      <c r="S30" s="129">
        <f>'Restating Adj'!O30</f>
        <v>0</v>
      </c>
      <c r="T30" s="129">
        <f>'Pro Forma Adj'!L30</f>
        <v>0</v>
      </c>
      <c r="U30" s="129">
        <f>'Restating Adj'!P30</f>
        <v>0</v>
      </c>
      <c r="V30" s="130">
        <f>'Restating Adj'!Q30</f>
        <v>0</v>
      </c>
      <c r="W30" s="40">
        <f>'Restating Adj'!R30</f>
        <v>0</v>
      </c>
      <c r="X30" s="131">
        <f>'Pro Forma Adj'!M30</f>
        <v>0</v>
      </c>
      <c r="Y30" s="129">
        <f>'Pro Forma Adj'!N30</f>
        <v>0</v>
      </c>
      <c r="Z30" s="129">
        <f>'Restating Adj'!S30</f>
        <v>0</v>
      </c>
      <c r="AA30" s="130">
        <f>'Restating Adj'!T30</f>
        <v>-408883.72009548731</v>
      </c>
      <c r="AB30" s="132">
        <f>'Restating Adj'!U30+'Pro Forma Adj'!O30</f>
        <v>0</v>
      </c>
      <c r="AC30" s="41">
        <f>'Restating Adj'!V30+'Pro Forma Adj'!P30</f>
        <v>0</v>
      </c>
      <c r="AD30" s="131">
        <f>'Pro Forma Adj'!Q30</f>
        <v>0</v>
      </c>
      <c r="AE30" s="131">
        <f>'Restating Adj'!W30</f>
        <v>0</v>
      </c>
      <c r="AF30" s="131">
        <f>'Pro Forma Adj'!R30</f>
        <v>0</v>
      </c>
      <c r="AG30" s="131">
        <f>'Restating Adj'!X30</f>
        <v>0</v>
      </c>
      <c r="AH30" s="131">
        <f>'Restating Adj'!Y30</f>
        <v>0</v>
      </c>
      <c r="AI30" s="131">
        <f>'Restating Adj'!Z30</f>
        <v>0</v>
      </c>
      <c r="AJ30" s="131">
        <f>'Restating Adj'!AA30</f>
        <v>0</v>
      </c>
      <c r="AK30" s="133">
        <f>'Restating Adj'!AB30</f>
        <v>0</v>
      </c>
      <c r="AL30" s="40">
        <f>'Restating Adj'!AC30</f>
        <v>0</v>
      </c>
      <c r="AM30" s="129">
        <f>'Restating Adj'!AD30</f>
        <v>0</v>
      </c>
      <c r="AN30" s="129">
        <f>'Restating Adj'!AE30</f>
        <v>0</v>
      </c>
      <c r="AO30" s="129">
        <f>'Restating Adj'!AF30</f>
        <v>0</v>
      </c>
      <c r="AP30" s="129">
        <f>'Restating Adj'!AG30</f>
        <v>-17990.552799178593</v>
      </c>
      <c r="AQ30" s="129">
        <f>'Restating Adj'!AH30</f>
        <v>0</v>
      </c>
      <c r="AR30" s="129">
        <f>'Restating Adj'!AI30</f>
        <v>0</v>
      </c>
      <c r="AS30" s="129">
        <f>'Restating Adj'!AJ30</f>
        <v>0</v>
      </c>
      <c r="AT30" s="131">
        <f>'Pro Forma Adj'!S30</f>
        <v>0</v>
      </c>
      <c r="AU30" s="129">
        <f>'Restating Adj'!AK30+'Pro Forma Adj'!T30</f>
        <v>0</v>
      </c>
      <c r="AV30" s="129">
        <f>'Restating Adj'!AL30</f>
        <v>0</v>
      </c>
      <c r="AW30" s="130">
        <f>'Pro Forma Adj'!U30</f>
        <v>0</v>
      </c>
      <c r="AX30" s="40">
        <f>'Pro Forma Adj'!V30</f>
        <v>-299560.07775915402</v>
      </c>
      <c r="AY30" s="130">
        <f>'Pro Forma Adj'!W30</f>
        <v>0</v>
      </c>
      <c r="BB30" s="235">
        <f>B30-'Page 1.4'!C24</f>
        <v>0</v>
      </c>
    </row>
    <row r="31" spans="1:54">
      <c r="A31" s="18" t="s">
        <v>75</v>
      </c>
      <c r="B31" s="142">
        <f t="shared" si="10"/>
        <v>-577160.48710398469</v>
      </c>
      <c r="C31" s="41">
        <f>'Restating Adj'!C31</f>
        <v>0</v>
      </c>
      <c r="D31" s="131">
        <f>'Restating Adj'!D31</f>
        <v>0</v>
      </c>
      <c r="E31" s="129">
        <f>'Pro Forma Adj'!C31</f>
        <v>0</v>
      </c>
      <c r="F31" s="129">
        <f>'Restating Adj'!E31</f>
        <v>0</v>
      </c>
      <c r="G31" s="129">
        <f>'Restating Adj'!F31+'Pro Forma Adj'!E31</f>
        <v>0</v>
      </c>
      <c r="H31" s="129">
        <f>'Restating Adj'!G31+'Pro Forma Adj'!F31</f>
        <v>0</v>
      </c>
      <c r="I31" s="130">
        <f>'Pro Forma Adj'!G31</f>
        <v>0</v>
      </c>
      <c r="J31" s="40">
        <f>'Restating Adj'!H31</f>
        <v>0</v>
      </c>
      <c r="K31" s="129">
        <f>'Restating Adj'!I31</f>
        <v>0</v>
      </c>
      <c r="L31" s="131">
        <f>'Pro Forma Adj'!H31</f>
        <v>0</v>
      </c>
      <c r="M31" s="129">
        <f>'Pro Forma Adj'!I31</f>
        <v>0</v>
      </c>
      <c r="N31" s="131">
        <f>'Restating Adj'!J31</f>
        <v>0</v>
      </c>
      <c r="O31" s="129">
        <f>'Restating Adj'!K31+'Pro Forma Adj'!J31</f>
        <v>0</v>
      </c>
      <c r="P31" s="129">
        <f>'Restating Adj'!L31</f>
        <v>0</v>
      </c>
      <c r="Q31" s="129">
        <f>'Restating Adj'!M31</f>
        <v>0</v>
      </c>
      <c r="R31" s="129">
        <f>'Restating Adj'!N31+'Pro Forma Adj'!K31</f>
        <v>0</v>
      </c>
      <c r="S31" s="129">
        <f>'Restating Adj'!O31</f>
        <v>0</v>
      </c>
      <c r="T31" s="129">
        <f>'Pro Forma Adj'!L31</f>
        <v>0</v>
      </c>
      <c r="U31" s="129">
        <f>'Restating Adj'!P31</f>
        <v>0</v>
      </c>
      <c r="V31" s="130">
        <f>'Restating Adj'!Q31</f>
        <v>0</v>
      </c>
      <c r="W31" s="40">
        <f>'Restating Adj'!R31</f>
        <v>0</v>
      </c>
      <c r="X31" s="131">
        <f>'Pro Forma Adj'!M31</f>
        <v>0</v>
      </c>
      <c r="Y31" s="129">
        <f>'Pro Forma Adj'!N31</f>
        <v>0</v>
      </c>
      <c r="Z31" s="129">
        <f>'Restating Adj'!S31</f>
        <v>0</v>
      </c>
      <c r="AA31" s="130">
        <f>'Restating Adj'!T31</f>
        <v>0</v>
      </c>
      <c r="AB31" s="132">
        <f>'Restating Adj'!U31+'Pro Forma Adj'!O31</f>
        <v>0</v>
      </c>
      <c r="AC31" s="41">
        <f>'Restating Adj'!V31+'Pro Forma Adj'!P31</f>
        <v>0</v>
      </c>
      <c r="AD31" s="131">
        <f>'Pro Forma Adj'!Q31</f>
        <v>0</v>
      </c>
      <c r="AE31" s="131">
        <f>'Restating Adj'!W31</f>
        <v>0</v>
      </c>
      <c r="AF31" s="131">
        <f>'Pro Forma Adj'!R31</f>
        <v>0</v>
      </c>
      <c r="AG31" s="131">
        <f>'Restating Adj'!X31</f>
        <v>0</v>
      </c>
      <c r="AH31" s="131">
        <f>'Restating Adj'!Y31</f>
        <v>0</v>
      </c>
      <c r="AI31" s="131">
        <f>'Restating Adj'!Z31</f>
        <v>0</v>
      </c>
      <c r="AJ31" s="131">
        <f>'Restating Adj'!AA31</f>
        <v>0</v>
      </c>
      <c r="AK31" s="133">
        <f>'Restating Adj'!AB31</f>
        <v>0</v>
      </c>
      <c r="AL31" s="40">
        <f>'Restating Adj'!AC31</f>
        <v>0</v>
      </c>
      <c r="AM31" s="129">
        <f>'Restating Adj'!AD31</f>
        <v>0</v>
      </c>
      <c r="AN31" s="129">
        <f>'Restating Adj'!AE31</f>
        <v>0</v>
      </c>
      <c r="AO31" s="129">
        <f>'Restating Adj'!AF31</f>
        <v>0</v>
      </c>
      <c r="AP31" s="129">
        <f>'Restating Adj'!AG31</f>
        <v>0</v>
      </c>
      <c r="AQ31" s="129">
        <f>'Restating Adj'!AH31</f>
        <v>0</v>
      </c>
      <c r="AR31" s="129">
        <f>'Restating Adj'!AI31</f>
        <v>0</v>
      </c>
      <c r="AS31" s="129">
        <f>'Restating Adj'!AJ31</f>
        <v>0</v>
      </c>
      <c r="AT31" s="131">
        <f>'Pro Forma Adj'!S31</f>
        <v>-402431.60954907537</v>
      </c>
      <c r="AU31" s="129">
        <f>'Restating Adj'!AK31+'Pro Forma Adj'!T31</f>
        <v>0</v>
      </c>
      <c r="AV31" s="129">
        <f>'Restating Adj'!AL31</f>
        <v>-174728.87755490927</v>
      </c>
      <c r="AW31" s="130">
        <f>'Pro Forma Adj'!U31</f>
        <v>0</v>
      </c>
      <c r="AX31" s="40">
        <f>'Pro Forma Adj'!V31</f>
        <v>0</v>
      </c>
      <c r="AY31" s="130">
        <f>'Pro Forma Adj'!W31</f>
        <v>0</v>
      </c>
      <c r="BB31" s="235">
        <f>B31-'Page 1.4'!C25</f>
        <v>0</v>
      </c>
    </row>
    <row r="32" spans="1:54">
      <c r="A32" s="18" t="s">
        <v>76</v>
      </c>
      <c r="B32" s="142">
        <f t="shared" si="10"/>
        <v>1695432.3015409142</v>
      </c>
      <c r="C32" s="41">
        <f>'Restating Adj'!C32</f>
        <v>0</v>
      </c>
      <c r="D32" s="131">
        <f>'Restating Adj'!D32</f>
        <v>0</v>
      </c>
      <c r="E32" s="129">
        <f>'Pro Forma Adj'!C32</f>
        <v>0</v>
      </c>
      <c r="F32" s="129">
        <f>'Restating Adj'!E32</f>
        <v>0</v>
      </c>
      <c r="G32" s="129">
        <f>'Restating Adj'!F32+'Pro Forma Adj'!E32</f>
        <v>0</v>
      </c>
      <c r="H32" s="129">
        <f>'Restating Adj'!G32+'Pro Forma Adj'!F32</f>
        <v>0</v>
      </c>
      <c r="I32" s="130">
        <f>'Pro Forma Adj'!G32</f>
        <v>0</v>
      </c>
      <c r="J32" s="40">
        <f>'Restating Adj'!H32</f>
        <v>0</v>
      </c>
      <c r="K32" s="129">
        <f>'Restating Adj'!I32</f>
        <v>0</v>
      </c>
      <c r="L32" s="131">
        <f>'Pro Forma Adj'!H32</f>
        <v>0</v>
      </c>
      <c r="M32" s="129">
        <f>'Pro Forma Adj'!I32</f>
        <v>0</v>
      </c>
      <c r="N32" s="131">
        <f>'Restating Adj'!J32</f>
        <v>0</v>
      </c>
      <c r="O32" s="129">
        <f>'Restating Adj'!K32+'Pro Forma Adj'!J32</f>
        <v>0</v>
      </c>
      <c r="P32" s="129">
        <f>'Restating Adj'!L32</f>
        <v>0</v>
      </c>
      <c r="Q32" s="129">
        <f>'Restating Adj'!M32</f>
        <v>0</v>
      </c>
      <c r="R32" s="129">
        <f>'Restating Adj'!N32+'Pro Forma Adj'!K32</f>
        <v>0</v>
      </c>
      <c r="S32" s="129">
        <f>'Restating Adj'!O32</f>
        <v>0</v>
      </c>
      <c r="T32" s="129">
        <f>'Pro Forma Adj'!L32</f>
        <v>0</v>
      </c>
      <c r="U32" s="129">
        <f>'Restating Adj'!P32</f>
        <v>0</v>
      </c>
      <c r="V32" s="130">
        <f>'Restating Adj'!Q32</f>
        <v>0</v>
      </c>
      <c r="W32" s="40">
        <f>'Restating Adj'!R32</f>
        <v>0</v>
      </c>
      <c r="X32" s="131">
        <f>'Pro Forma Adj'!M32</f>
        <v>0</v>
      </c>
      <c r="Y32" s="129">
        <f>'Pro Forma Adj'!N32</f>
        <v>0</v>
      </c>
      <c r="Z32" s="129">
        <f>'Restating Adj'!S32</f>
        <v>0</v>
      </c>
      <c r="AA32" s="130">
        <f>'Restating Adj'!T32</f>
        <v>-46288.058459085209</v>
      </c>
      <c r="AB32" s="132">
        <f>'Restating Adj'!U32+'Pro Forma Adj'!O32</f>
        <v>0</v>
      </c>
      <c r="AC32" s="41">
        <f>'Restating Adj'!V32+'Pro Forma Adj'!P32</f>
        <v>0</v>
      </c>
      <c r="AD32" s="131">
        <f>'Pro Forma Adj'!Q32</f>
        <v>0</v>
      </c>
      <c r="AE32" s="131">
        <f>'Restating Adj'!W32</f>
        <v>0</v>
      </c>
      <c r="AF32" s="131">
        <f>'Pro Forma Adj'!R32</f>
        <v>1741720.3599999994</v>
      </c>
      <c r="AG32" s="131">
        <f>'Restating Adj'!X32</f>
        <v>0</v>
      </c>
      <c r="AH32" s="131">
        <f>'Restating Adj'!Y32</f>
        <v>0</v>
      </c>
      <c r="AI32" s="131">
        <f>'Restating Adj'!Z32</f>
        <v>0</v>
      </c>
      <c r="AJ32" s="131">
        <f>'Restating Adj'!AA32</f>
        <v>0</v>
      </c>
      <c r="AK32" s="133">
        <f>'Restating Adj'!AB32</f>
        <v>0</v>
      </c>
      <c r="AL32" s="40">
        <f>'Restating Adj'!AC32</f>
        <v>0</v>
      </c>
      <c r="AM32" s="129">
        <f>'Restating Adj'!AD32</f>
        <v>0</v>
      </c>
      <c r="AN32" s="129">
        <f>'Restating Adj'!AE32</f>
        <v>0</v>
      </c>
      <c r="AO32" s="129">
        <f>'Restating Adj'!AF32</f>
        <v>0</v>
      </c>
      <c r="AP32" s="129">
        <f>'Restating Adj'!AG32</f>
        <v>0</v>
      </c>
      <c r="AQ32" s="129">
        <f>'Restating Adj'!AH32</f>
        <v>0</v>
      </c>
      <c r="AR32" s="129">
        <f>'Restating Adj'!AI32</f>
        <v>0</v>
      </c>
      <c r="AS32" s="129">
        <f>'Restating Adj'!AJ32</f>
        <v>0</v>
      </c>
      <c r="AT32" s="131">
        <f>'Pro Forma Adj'!S32</f>
        <v>0</v>
      </c>
      <c r="AU32" s="129">
        <f>'Restating Adj'!AK32+'Pro Forma Adj'!T32</f>
        <v>0</v>
      </c>
      <c r="AV32" s="129">
        <f>'Restating Adj'!AL32</f>
        <v>0</v>
      </c>
      <c r="AW32" s="130">
        <f>'Pro Forma Adj'!U32</f>
        <v>0</v>
      </c>
      <c r="AX32" s="40">
        <f>'Pro Forma Adj'!V32</f>
        <v>0</v>
      </c>
      <c r="AY32" s="130">
        <f>'Pro Forma Adj'!W32</f>
        <v>0</v>
      </c>
      <c r="BB32" s="235">
        <f>B32-'Page 1.4'!C26</f>
        <v>0</v>
      </c>
    </row>
    <row r="33" spans="1:54">
      <c r="A33" s="18" t="s">
        <v>77</v>
      </c>
      <c r="B33" s="142">
        <f t="shared" si="10"/>
        <v>5843399.4273473015</v>
      </c>
      <c r="C33" s="41">
        <f>'Restating Adj'!C33</f>
        <v>1112120.2505000001</v>
      </c>
      <c r="D33" s="131">
        <f>'Restating Adj'!D33</f>
        <v>3892026.5999999964</v>
      </c>
      <c r="E33" s="129">
        <f>'Pro Forma Adj'!C33</f>
        <v>11614217.705999998</v>
      </c>
      <c r="F33" s="129">
        <f>'Restating Adj'!E33</f>
        <v>-72479.662520813828</v>
      </c>
      <c r="G33" s="129">
        <f>'Restating Adj'!F33+'Pro Forma Adj'!E33</f>
        <v>-2881851.6339346142</v>
      </c>
      <c r="H33" s="129">
        <f>'Restating Adj'!G33+'Pro Forma Adj'!F33</f>
        <v>324343.57948719093</v>
      </c>
      <c r="I33" s="130">
        <f>'Pro Forma Adj'!G33</f>
        <v>352650.74886430608</v>
      </c>
      <c r="J33" s="40">
        <f>'Restating Adj'!H33</f>
        <v>46321.211368039956</v>
      </c>
      <c r="K33" s="129">
        <f>'Restating Adj'!I33</f>
        <v>38175.834710236501</v>
      </c>
      <c r="L33" s="131">
        <f>'Pro Forma Adj'!H33</f>
        <v>0</v>
      </c>
      <c r="M33" s="129">
        <f>'Pro Forma Adj'!I33</f>
        <v>139378.15895917785</v>
      </c>
      <c r="N33" s="131">
        <f>'Restating Adj'!J33</f>
        <v>-32962.819450365438</v>
      </c>
      <c r="O33" s="129">
        <f>'Restating Adj'!K33+'Pro Forma Adj'!J33</f>
        <v>357771.39064885571</v>
      </c>
      <c r="P33" s="129">
        <f>'Restating Adj'!L33</f>
        <v>-714064.77513409429</v>
      </c>
      <c r="Q33" s="129">
        <f>'Restating Adj'!M33</f>
        <v>-1284.132232092117</v>
      </c>
      <c r="R33" s="129">
        <f>'Restating Adj'!N33+'Pro Forma Adj'!K33</f>
        <v>-121734.58902541964</v>
      </c>
      <c r="S33" s="129">
        <f>'Restating Adj'!O33</f>
        <v>5044.6253403504879</v>
      </c>
      <c r="T33" s="129">
        <f>'Pro Forma Adj'!L33</f>
        <v>324423.69237473473</v>
      </c>
      <c r="U33" s="129">
        <f>'Restating Adj'!P33</f>
        <v>-15240.890134009946</v>
      </c>
      <c r="V33" s="130">
        <f>'Restating Adj'!Q33</f>
        <v>-476.90279002405583</v>
      </c>
      <c r="W33" s="40">
        <f>'Restating Adj'!R33</f>
        <v>570428.76413548074</v>
      </c>
      <c r="X33" s="131">
        <f>'Pro Forma Adj'!M33</f>
        <v>-4775135.940495275</v>
      </c>
      <c r="Y33" s="129">
        <f>'Pro Forma Adj'!N33</f>
        <v>385187.76799570123</v>
      </c>
      <c r="Z33" s="129">
        <f>'Restating Adj'!S33</f>
        <v>-3070979.0194999995</v>
      </c>
      <c r="AA33" s="130">
        <f>'Restating Adj'!T33</f>
        <v>36330.024507595139</v>
      </c>
      <c r="AB33" s="132">
        <f>'Restating Adj'!U33+'Pro Forma Adj'!O33</f>
        <v>-932020.24015831109</v>
      </c>
      <c r="AC33" s="41">
        <f>'Restating Adj'!V33+'Pro Forma Adj'!P33</f>
        <v>380692.37042456953</v>
      </c>
      <c r="AD33" s="131">
        <f>'Pro Forma Adj'!Q33</f>
        <v>-1205929.156551077</v>
      </c>
      <c r="AE33" s="131">
        <f>'Restating Adj'!W33</f>
        <v>0</v>
      </c>
      <c r="AF33" s="131">
        <f>'Pro Forma Adj'!R33</f>
        <v>-609602.1259999997</v>
      </c>
      <c r="AG33" s="131">
        <f>'Restating Adj'!X33</f>
        <v>-83729.110166808881</v>
      </c>
      <c r="AH33" s="131">
        <f>'Restating Adj'!Y33</f>
        <v>0</v>
      </c>
      <c r="AI33" s="131">
        <f>'Restating Adj'!Z33</f>
        <v>0</v>
      </c>
      <c r="AJ33" s="131">
        <f>'Restating Adj'!AA33</f>
        <v>0</v>
      </c>
      <c r="AK33" s="133">
        <f>'Restating Adj'!AB33</f>
        <v>0</v>
      </c>
      <c r="AL33" s="40">
        <f>'Restating Adj'!AC33</f>
        <v>-3525.9343636363633</v>
      </c>
      <c r="AM33" s="129">
        <f>'Restating Adj'!AD33</f>
        <v>0</v>
      </c>
      <c r="AN33" s="129">
        <f>'Restating Adj'!AE33</f>
        <v>130593.18601344011</v>
      </c>
      <c r="AO33" s="129">
        <f>'Restating Adj'!AF33</f>
        <v>0</v>
      </c>
      <c r="AP33" s="129">
        <f>'Restating Adj'!AG33</f>
        <v>0</v>
      </c>
      <c r="AQ33" s="129">
        <f>'Restating Adj'!AH33</f>
        <v>0</v>
      </c>
      <c r="AR33" s="129">
        <f>'Restating Adj'!AI33</f>
        <v>0</v>
      </c>
      <c r="AS33" s="129">
        <f>'Restating Adj'!AJ33</f>
        <v>71784.749346106531</v>
      </c>
      <c r="AT33" s="131">
        <f>'Pro Forma Adj'!S33</f>
        <v>480052.51818497508</v>
      </c>
      <c r="AU33" s="129">
        <f>'Restating Adj'!AK33+'Pro Forma Adj'!T33</f>
        <v>-1050000</v>
      </c>
      <c r="AV33" s="129">
        <f>'Restating Adj'!AL33</f>
        <v>8254.9606091356254</v>
      </c>
      <c r="AW33" s="130">
        <f>'Pro Forma Adj'!U33</f>
        <v>32286.277314123738</v>
      </c>
      <c r="AX33" s="40">
        <f>'Pro Forma Adj'!V33</f>
        <v>281977.30133919505</v>
      </c>
      <c r="AY33" s="130">
        <f>'Pro Forma Adj'!W33</f>
        <v>830354.64168063516</v>
      </c>
      <c r="BB33" s="235">
        <f>B33-'Page 1.4'!C27</f>
        <v>0</v>
      </c>
    </row>
    <row r="34" spans="1:54">
      <c r="A34" s="18" t="s">
        <v>78</v>
      </c>
      <c r="B34" s="142">
        <f t="shared" si="10"/>
        <v>0</v>
      </c>
      <c r="C34" s="41">
        <f>'Restating Adj'!C34</f>
        <v>0</v>
      </c>
      <c r="D34" s="131">
        <f>'Restating Adj'!D34</f>
        <v>0</v>
      </c>
      <c r="E34" s="129">
        <f>'Pro Forma Adj'!C34</f>
        <v>0</v>
      </c>
      <c r="F34" s="129">
        <f>'Restating Adj'!E34</f>
        <v>0</v>
      </c>
      <c r="G34" s="129">
        <f>'Restating Adj'!F34+'Pro Forma Adj'!E34</f>
        <v>0</v>
      </c>
      <c r="H34" s="129">
        <f>'Restating Adj'!G34+'Pro Forma Adj'!F34</f>
        <v>0</v>
      </c>
      <c r="I34" s="130">
        <f>'Pro Forma Adj'!G34</f>
        <v>0</v>
      </c>
      <c r="J34" s="40">
        <f>'Restating Adj'!H34</f>
        <v>0</v>
      </c>
      <c r="K34" s="129">
        <f>'Restating Adj'!I34</f>
        <v>0</v>
      </c>
      <c r="L34" s="131">
        <f>'Pro Forma Adj'!H34</f>
        <v>0</v>
      </c>
      <c r="M34" s="129">
        <f>'Pro Forma Adj'!I34</f>
        <v>0</v>
      </c>
      <c r="N34" s="131">
        <f>'Restating Adj'!J34</f>
        <v>0</v>
      </c>
      <c r="O34" s="129">
        <f>'Restating Adj'!K34+'Pro Forma Adj'!J34</f>
        <v>0</v>
      </c>
      <c r="P34" s="129">
        <f>'Restating Adj'!L34</f>
        <v>0</v>
      </c>
      <c r="Q34" s="129">
        <f>'Restating Adj'!M34</f>
        <v>0</v>
      </c>
      <c r="R34" s="129">
        <f>'Restating Adj'!N34+'Pro Forma Adj'!K34</f>
        <v>0</v>
      </c>
      <c r="S34" s="129">
        <f>'Restating Adj'!O34</f>
        <v>0</v>
      </c>
      <c r="T34" s="129">
        <f>'Pro Forma Adj'!L34</f>
        <v>0</v>
      </c>
      <c r="U34" s="129">
        <f>'Restating Adj'!P34</f>
        <v>0</v>
      </c>
      <c r="V34" s="130">
        <f>'Restating Adj'!Q34</f>
        <v>0</v>
      </c>
      <c r="W34" s="40">
        <f>'Restating Adj'!R34</f>
        <v>0</v>
      </c>
      <c r="X34" s="131">
        <f>'Pro Forma Adj'!M34</f>
        <v>0</v>
      </c>
      <c r="Y34" s="129">
        <f>'Pro Forma Adj'!N34</f>
        <v>0</v>
      </c>
      <c r="Z34" s="129">
        <f>'Restating Adj'!S34</f>
        <v>0</v>
      </c>
      <c r="AA34" s="130">
        <f>'Restating Adj'!T34</f>
        <v>0</v>
      </c>
      <c r="AB34" s="132">
        <f>'Restating Adj'!U34+'Pro Forma Adj'!O34</f>
        <v>0</v>
      </c>
      <c r="AC34" s="41">
        <f>'Restating Adj'!V34+'Pro Forma Adj'!P34</f>
        <v>0</v>
      </c>
      <c r="AD34" s="131">
        <f>'Pro Forma Adj'!Q34</f>
        <v>0</v>
      </c>
      <c r="AE34" s="131">
        <f>'Restating Adj'!W34</f>
        <v>0</v>
      </c>
      <c r="AF34" s="131">
        <f>'Pro Forma Adj'!R34</f>
        <v>0</v>
      </c>
      <c r="AG34" s="131">
        <f>'Restating Adj'!X34</f>
        <v>0</v>
      </c>
      <c r="AH34" s="131">
        <f>'Restating Adj'!Y34</f>
        <v>0</v>
      </c>
      <c r="AI34" s="131">
        <f>'Restating Adj'!Z34</f>
        <v>0</v>
      </c>
      <c r="AJ34" s="131">
        <f>'Restating Adj'!AA34</f>
        <v>0</v>
      </c>
      <c r="AK34" s="133">
        <f>'Restating Adj'!AB34</f>
        <v>0</v>
      </c>
      <c r="AL34" s="40">
        <f>'Restating Adj'!AC34</f>
        <v>0</v>
      </c>
      <c r="AM34" s="129">
        <f>'Restating Adj'!AD34</f>
        <v>0</v>
      </c>
      <c r="AN34" s="129">
        <f>'Restating Adj'!AE34</f>
        <v>0</v>
      </c>
      <c r="AO34" s="129">
        <f>'Restating Adj'!AF34</f>
        <v>0</v>
      </c>
      <c r="AP34" s="129">
        <f>'Restating Adj'!AG34</f>
        <v>0</v>
      </c>
      <c r="AQ34" s="129">
        <f>'Restating Adj'!AH34</f>
        <v>0</v>
      </c>
      <c r="AR34" s="129">
        <f>'Restating Adj'!AI34</f>
        <v>0</v>
      </c>
      <c r="AS34" s="129">
        <f>'Restating Adj'!AJ34</f>
        <v>0</v>
      </c>
      <c r="AT34" s="131">
        <f>'Pro Forma Adj'!S34</f>
        <v>0</v>
      </c>
      <c r="AU34" s="129">
        <f>'Restating Adj'!AK34+'Pro Forma Adj'!T34</f>
        <v>0</v>
      </c>
      <c r="AV34" s="129">
        <f>'Restating Adj'!AL34</f>
        <v>0</v>
      </c>
      <c r="AW34" s="130">
        <f>'Pro Forma Adj'!U34</f>
        <v>0</v>
      </c>
      <c r="AX34" s="40">
        <f>'Pro Forma Adj'!V34</f>
        <v>0</v>
      </c>
      <c r="AY34" s="130">
        <f>'Pro Forma Adj'!W34</f>
        <v>0</v>
      </c>
      <c r="BB34" s="235">
        <f>B34-'Page 1.4'!C28</f>
        <v>0</v>
      </c>
    </row>
    <row r="35" spans="1:54">
      <c r="A35" s="18" t="s">
        <v>79</v>
      </c>
      <c r="B35" s="142">
        <f t="shared" si="10"/>
        <v>-313781.08975478605</v>
      </c>
      <c r="C35" s="41">
        <f>'Restating Adj'!C35</f>
        <v>0</v>
      </c>
      <c r="D35" s="131">
        <f>'Restating Adj'!D35</f>
        <v>0</v>
      </c>
      <c r="E35" s="129">
        <f>'Pro Forma Adj'!C35</f>
        <v>0</v>
      </c>
      <c r="F35" s="129">
        <f>'Restating Adj'!E35</f>
        <v>342725.89115355402</v>
      </c>
      <c r="G35" s="129">
        <f>'Restating Adj'!F35+'Pro Forma Adj'!E35</f>
        <v>0</v>
      </c>
      <c r="H35" s="129">
        <f>'Restating Adj'!G35+'Pro Forma Adj'!F35</f>
        <v>0</v>
      </c>
      <c r="I35" s="130">
        <f>'Pro Forma Adj'!G35</f>
        <v>0</v>
      </c>
      <c r="J35" s="40">
        <f>'Restating Adj'!H35</f>
        <v>0</v>
      </c>
      <c r="K35" s="129">
        <f>'Restating Adj'!I35</f>
        <v>0</v>
      </c>
      <c r="L35" s="131">
        <f>'Pro Forma Adj'!H35</f>
        <v>0</v>
      </c>
      <c r="M35" s="129">
        <f>'Pro Forma Adj'!I35</f>
        <v>283835</v>
      </c>
      <c r="N35" s="131">
        <f>'Restating Adj'!J35</f>
        <v>0</v>
      </c>
      <c r="O35" s="129">
        <f>'Restating Adj'!K35+'Pro Forma Adj'!J35</f>
        <v>-386326</v>
      </c>
      <c r="P35" s="129">
        <f>'Restating Adj'!L35</f>
        <v>0</v>
      </c>
      <c r="Q35" s="129">
        <f>'Restating Adj'!M35</f>
        <v>0</v>
      </c>
      <c r="R35" s="129">
        <f>'Restating Adj'!N35+'Pro Forma Adj'!K35</f>
        <v>0</v>
      </c>
      <c r="S35" s="129">
        <f>'Restating Adj'!O35</f>
        <v>0</v>
      </c>
      <c r="T35" s="129">
        <f>'Pro Forma Adj'!L35</f>
        <v>0</v>
      </c>
      <c r="U35" s="129">
        <f>'Restating Adj'!P35</f>
        <v>0</v>
      </c>
      <c r="V35" s="130">
        <f>'Restating Adj'!Q35</f>
        <v>0</v>
      </c>
      <c r="W35" s="40">
        <f>'Restating Adj'!R35</f>
        <v>0</v>
      </c>
      <c r="X35" s="131">
        <f>'Pro Forma Adj'!M35</f>
        <v>0</v>
      </c>
      <c r="Y35" s="129">
        <f>'Pro Forma Adj'!N35</f>
        <v>0</v>
      </c>
      <c r="Z35" s="129">
        <f>'Restating Adj'!S35</f>
        <v>0</v>
      </c>
      <c r="AA35" s="130">
        <f>'Restating Adj'!T35</f>
        <v>113543.20922531039</v>
      </c>
      <c r="AB35" s="132">
        <f>'Restating Adj'!U35+'Pro Forma Adj'!O35</f>
        <v>1010602.8659636988</v>
      </c>
      <c r="AC35" s="41">
        <f>'Restating Adj'!V35+'Pro Forma Adj'!P35</f>
        <v>0</v>
      </c>
      <c r="AD35" s="131">
        <f>'Pro Forma Adj'!Q35</f>
        <v>419162.75841324474</v>
      </c>
      <c r="AE35" s="131">
        <f>'Restating Adj'!W35</f>
        <v>-296778.81346373697</v>
      </c>
      <c r="AF35" s="131">
        <f>'Pro Forma Adj'!R35</f>
        <v>0</v>
      </c>
      <c r="AG35" s="131">
        <f>'Restating Adj'!X35</f>
        <v>0</v>
      </c>
      <c r="AH35" s="131">
        <f>'Restating Adj'!Y35</f>
        <v>0</v>
      </c>
      <c r="AI35" s="131">
        <f>'Restating Adj'!Z35</f>
        <v>396343.93645358831</v>
      </c>
      <c r="AJ35" s="131">
        <f>'Restating Adj'!AA35</f>
        <v>-1877339</v>
      </c>
      <c r="AK35" s="133">
        <f>'Restating Adj'!AB35</f>
        <v>20913</v>
      </c>
      <c r="AL35" s="40">
        <f>'Restating Adj'!AC35</f>
        <v>0</v>
      </c>
      <c r="AM35" s="129">
        <f>'Restating Adj'!AD35</f>
        <v>0</v>
      </c>
      <c r="AN35" s="129">
        <f>'Restating Adj'!AE35</f>
        <v>12719.986316934381</v>
      </c>
      <c r="AO35" s="129">
        <f>'Restating Adj'!AF35</f>
        <v>0</v>
      </c>
      <c r="AP35" s="129">
        <f>'Restating Adj'!AG35</f>
        <v>0</v>
      </c>
      <c r="AQ35" s="129">
        <f>'Restating Adj'!AH35</f>
        <v>0</v>
      </c>
      <c r="AR35" s="129">
        <f>'Restating Adj'!AI35</f>
        <v>0</v>
      </c>
      <c r="AS35" s="129">
        <f>'Restating Adj'!AJ35</f>
        <v>0</v>
      </c>
      <c r="AT35" s="131">
        <f>'Pro Forma Adj'!S35</f>
        <v>-362096.92381737975</v>
      </c>
      <c r="AU35" s="129">
        <f>'Restating Adj'!AK35+'Pro Forma Adj'!T35</f>
        <v>8913</v>
      </c>
      <c r="AV35" s="129">
        <f>'Restating Adj'!AL35</f>
        <v>0</v>
      </c>
      <c r="AW35" s="130">
        <f>'Pro Forma Adj'!U35</f>
        <v>0</v>
      </c>
      <c r="AX35" s="40">
        <f>'Pro Forma Adj'!V35</f>
        <v>0</v>
      </c>
      <c r="AY35" s="130">
        <f>'Pro Forma Adj'!W35</f>
        <v>0</v>
      </c>
      <c r="BB35" s="235">
        <f>B35-'Page 1.4'!C29</f>
        <v>0</v>
      </c>
    </row>
    <row r="36" spans="1:54" ht="11.25" customHeight="1">
      <c r="A36" s="18" t="s">
        <v>80</v>
      </c>
      <c r="B36" s="142">
        <f t="shared" si="10"/>
        <v>0</v>
      </c>
      <c r="C36" s="41">
        <f>'Restating Adj'!C36</f>
        <v>0</v>
      </c>
      <c r="D36" s="131">
        <f>'Restating Adj'!D36</f>
        <v>0</v>
      </c>
      <c r="E36" s="129">
        <f>'Pro Forma Adj'!C36</f>
        <v>0</v>
      </c>
      <c r="F36" s="129">
        <f>'Restating Adj'!E36</f>
        <v>0</v>
      </c>
      <c r="G36" s="129">
        <f>'Restating Adj'!F36+'Pro Forma Adj'!E36</f>
        <v>0</v>
      </c>
      <c r="H36" s="129">
        <f>'Restating Adj'!G36+'Pro Forma Adj'!F36</f>
        <v>0</v>
      </c>
      <c r="I36" s="130">
        <f>'Pro Forma Adj'!G36</f>
        <v>0</v>
      </c>
      <c r="J36" s="40">
        <f>'Restating Adj'!H36</f>
        <v>0</v>
      </c>
      <c r="K36" s="129">
        <f>'Restating Adj'!I36</f>
        <v>0</v>
      </c>
      <c r="L36" s="131">
        <f>'Pro Forma Adj'!H36</f>
        <v>0</v>
      </c>
      <c r="M36" s="129">
        <f>'Pro Forma Adj'!I36</f>
        <v>0</v>
      </c>
      <c r="N36" s="131">
        <f>'Restating Adj'!J36</f>
        <v>0</v>
      </c>
      <c r="O36" s="129">
        <f>'Restating Adj'!K36+'Pro Forma Adj'!J36</f>
        <v>0</v>
      </c>
      <c r="P36" s="129">
        <f>'Restating Adj'!L36</f>
        <v>0</v>
      </c>
      <c r="Q36" s="129">
        <f>'Restating Adj'!M36</f>
        <v>0</v>
      </c>
      <c r="R36" s="129">
        <f>'Restating Adj'!N36+'Pro Forma Adj'!K36</f>
        <v>0</v>
      </c>
      <c r="S36" s="129">
        <f>'Restating Adj'!O36</f>
        <v>0</v>
      </c>
      <c r="T36" s="129">
        <f>'Pro Forma Adj'!L36</f>
        <v>0</v>
      </c>
      <c r="U36" s="129">
        <f>'Restating Adj'!P36</f>
        <v>0</v>
      </c>
      <c r="V36" s="130">
        <f>'Restating Adj'!Q36</f>
        <v>0</v>
      </c>
      <c r="W36" s="40">
        <f>'Restating Adj'!R36</f>
        <v>0</v>
      </c>
      <c r="X36" s="131">
        <f>'Pro Forma Adj'!M36</f>
        <v>0</v>
      </c>
      <c r="Y36" s="129">
        <f>'Pro Forma Adj'!N36</f>
        <v>0</v>
      </c>
      <c r="Z36" s="129">
        <f>'Restating Adj'!S36</f>
        <v>0</v>
      </c>
      <c r="AA36" s="130">
        <f>'Restating Adj'!T36</f>
        <v>0</v>
      </c>
      <c r="AB36" s="132">
        <f>'Restating Adj'!U36+'Pro Forma Adj'!O36</f>
        <v>0</v>
      </c>
      <c r="AC36" s="41">
        <f>'Restating Adj'!V36+'Pro Forma Adj'!P36</f>
        <v>0</v>
      </c>
      <c r="AD36" s="131">
        <f>'Pro Forma Adj'!Q36</f>
        <v>0</v>
      </c>
      <c r="AE36" s="131">
        <f>'Restating Adj'!W36</f>
        <v>0</v>
      </c>
      <c r="AF36" s="131">
        <f>'Pro Forma Adj'!R36</f>
        <v>0</v>
      </c>
      <c r="AG36" s="131">
        <f>'Restating Adj'!X36</f>
        <v>0</v>
      </c>
      <c r="AH36" s="131">
        <f>'Restating Adj'!Y36</f>
        <v>0</v>
      </c>
      <c r="AI36" s="131">
        <f>'Restating Adj'!Z36</f>
        <v>0</v>
      </c>
      <c r="AJ36" s="131">
        <f>'Restating Adj'!AA36</f>
        <v>0</v>
      </c>
      <c r="AK36" s="133">
        <f>'Restating Adj'!AB36</f>
        <v>0</v>
      </c>
      <c r="AL36" s="40">
        <f>'Restating Adj'!AC36</f>
        <v>0</v>
      </c>
      <c r="AM36" s="129">
        <f>'Restating Adj'!AD36</f>
        <v>0</v>
      </c>
      <c r="AN36" s="129">
        <f>'Restating Adj'!AE36</f>
        <v>0</v>
      </c>
      <c r="AO36" s="129">
        <f>'Restating Adj'!AF36</f>
        <v>0</v>
      </c>
      <c r="AP36" s="129">
        <f>'Restating Adj'!AG36</f>
        <v>0</v>
      </c>
      <c r="AQ36" s="129">
        <f>'Restating Adj'!AH36</f>
        <v>0</v>
      </c>
      <c r="AR36" s="129">
        <f>'Restating Adj'!AI36</f>
        <v>0</v>
      </c>
      <c r="AS36" s="129">
        <f>'Restating Adj'!AJ36</f>
        <v>0</v>
      </c>
      <c r="AT36" s="131">
        <f>'Pro Forma Adj'!S36</f>
        <v>0</v>
      </c>
      <c r="AU36" s="129">
        <f>'Restating Adj'!AK36+'Pro Forma Adj'!T36</f>
        <v>0</v>
      </c>
      <c r="AV36" s="129">
        <f>'Restating Adj'!AL36</f>
        <v>0</v>
      </c>
      <c r="AW36" s="130">
        <f>'Pro Forma Adj'!U36</f>
        <v>0</v>
      </c>
      <c r="AX36" s="40">
        <f>'Pro Forma Adj'!V36</f>
        <v>0</v>
      </c>
      <c r="AY36" s="130">
        <f>'Pro Forma Adj'!W36</f>
        <v>0</v>
      </c>
      <c r="BB36" s="235">
        <f>B36-'Page 1.4'!C30</f>
        <v>0</v>
      </c>
    </row>
    <row r="37" spans="1:54">
      <c r="A37" s="18" t="s">
        <v>81</v>
      </c>
      <c r="B37" s="142">
        <f t="shared" si="10"/>
        <v>-669964.45033362613</v>
      </c>
      <c r="C37" s="41">
        <f>'Restating Adj'!C37</f>
        <v>0</v>
      </c>
      <c r="D37" s="131">
        <f>'Restating Adj'!D37</f>
        <v>0</v>
      </c>
      <c r="E37" s="129">
        <f>'Pro Forma Adj'!C37</f>
        <v>0</v>
      </c>
      <c r="F37" s="129">
        <f>'Restating Adj'!E37</f>
        <v>-695990.1299664448</v>
      </c>
      <c r="G37" s="129">
        <f>'Restating Adj'!F37+'Pro Forma Adj'!E37</f>
        <v>0</v>
      </c>
      <c r="H37" s="129">
        <f>'Restating Adj'!G37+'Pro Forma Adj'!F37</f>
        <v>0</v>
      </c>
      <c r="I37" s="130">
        <f>'Pro Forma Adj'!G37</f>
        <v>0</v>
      </c>
      <c r="J37" s="40">
        <f>'Restating Adj'!H37</f>
        <v>0</v>
      </c>
      <c r="K37" s="129">
        <f>'Restating Adj'!I37</f>
        <v>0</v>
      </c>
      <c r="L37" s="131">
        <f>'Pro Forma Adj'!H37</f>
        <v>0</v>
      </c>
      <c r="M37" s="129">
        <f>'Pro Forma Adj'!I37</f>
        <v>0</v>
      </c>
      <c r="N37" s="131">
        <f>'Restating Adj'!J37</f>
        <v>0</v>
      </c>
      <c r="O37" s="129">
        <f>'Restating Adj'!K37+'Pro Forma Adj'!J37</f>
        <v>0</v>
      </c>
      <c r="P37" s="129">
        <f>'Restating Adj'!L37</f>
        <v>0</v>
      </c>
      <c r="Q37" s="129">
        <f>'Restating Adj'!M37</f>
        <v>0</v>
      </c>
      <c r="R37" s="129">
        <f>'Restating Adj'!N37+'Pro Forma Adj'!K37</f>
        <v>0</v>
      </c>
      <c r="S37" s="129">
        <f>'Restating Adj'!O37</f>
        <v>0</v>
      </c>
      <c r="T37" s="129">
        <f>'Pro Forma Adj'!L37</f>
        <v>0</v>
      </c>
      <c r="U37" s="129">
        <f>'Restating Adj'!P37</f>
        <v>0</v>
      </c>
      <c r="V37" s="130">
        <f>'Restating Adj'!Q37</f>
        <v>0</v>
      </c>
      <c r="W37" s="40">
        <f>'Restating Adj'!R37</f>
        <v>0</v>
      </c>
      <c r="X37" s="131">
        <f>'Pro Forma Adj'!M37</f>
        <v>0</v>
      </c>
      <c r="Y37" s="129">
        <f>'Pro Forma Adj'!N37</f>
        <v>0</v>
      </c>
      <c r="Z37" s="129">
        <f>'Restating Adj'!S37</f>
        <v>0</v>
      </c>
      <c r="AA37" s="130">
        <f>'Restating Adj'!T37</f>
        <v>0</v>
      </c>
      <c r="AB37" s="132">
        <f>'Restating Adj'!U37+'Pro Forma Adj'!O37</f>
        <v>0</v>
      </c>
      <c r="AC37" s="41">
        <f>'Restating Adj'!V37+'Pro Forma Adj'!P37</f>
        <v>0</v>
      </c>
      <c r="AD37" s="131">
        <f>'Pro Forma Adj'!Q37</f>
        <v>0</v>
      </c>
      <c r="AE37" s="131">
        <f>'Restating Adj'!W37</f>
        <v>0</v>
      </c>
      <c r="AF37" s="131">
        <f>'Pro Forma Adj'!R37</f>
        <v>0</v>
      </c>
      <c r="AG37" s="131">
        <f>'Restating Adj'!X37</f>
        <v>0</v>
      </c>
      <c r="AH37" s="131">
        <f>'Restating Adj'!Y37</f>
        <v>0</v>
      </c>
      <c r="AI37" s="131">
        <f>'Restating Adj'!Z37</f>
        <v>0</v>
      </c>
      <c r="AJ37" s="131">
        <f>'Restating Adj'!AA37</f>
        <v>0</v>
      </c>
      <c r="AK37" s="133">
        <f>'Restating Adj'!AB37</f>
        <v>0</v>
      </c>
      <c r="AL37" s="40">
        <f>'Restating Adj'!AC37</f>
        <v>10074.098181818181</v>
      </c>
      <c r="AM37" s="129">
        <f>'Restating Adj'!AD37</f>
        <v>0</v>
      </c>
      <c r="AN37" s="129">
        <f>'Restating Adj'!AE37</f>
        <v>0</v>
      </c>
      <c r="AO37" s="129">
        <f>'Restating Adj'!AF37</f>
        <v>0</v>
      </c>
      <c r="AP37" s="129">
        <f>'Restating Adj'!AG37</f>
        <v>0</v>
      </c>
      <c r="AQ37" s="129">
        <f>'Restating Adj'!AH37</f>
        <v>0</v>
      </c>
      <c r="AR37" s="129">
        <f>'Restating Adj'!AI37</f>
        <v>0</v>
      </c>
      <c r="AS37" s="129">
        <f>'Restating Adj'!AJ37</f>
        <v>0</v>
      </c>
      <c r="AT37" s="131">
        <f>'Pro Forma Adj'!S37</f>
        <v>0</v>
      </c>
      <c r="AU37" s="129">
        <f>'Restating Adj'!AK37+'Pro Forma Adj'!T37</f>
        <v>0</v>
      </c>
      <c r="AV37" s="129">
        <f>'Restating Adj'!AL37</f>
        <v>0</v>
      </c>
      <c r="AW37" s="130">
        <f>'Pro Forma Adj'!U37</f>
        <v>0</v>
      </c>
      <c r="AX37" s="40">
        <f>'Pro Forma Adj'!V37</f>
        <v>0</v>
      </c>
      <c r="AY37" s="130">
        <f>'Pro Forma Adj'!W37</f>
        <v>15951.581451000529</v>
      </c>
      <c r="BB37" s="235">
        <f>B37-'Page 1.4'!C31</f>
        <v>0</v>
      </c>
    </row>
    <row r="38" spans="1:54">
      <c r="A38" s="18" t="s">
        <v>82</v>
      </c>
      <c r="B38" s="244">
        <f t="shared" si="10"/>
        <v>-19746736.016850259</v>
      </c>
      <c r="C38" s="42">
        <f>SUM(C29:C37)</f>
        <v>1112120.2505000001</v>
      </c>
      <c r="D38" s="134">
        <f t="shared" ref="D38:AU38" si="23">SUM(D29:D37)</f>
        <v>3892026.5999999964</v>
      </c>
      <c r="E38" s="134">
        <f t="shared" ref="E38" si="24">SUM(E29:E37)</f>
        <v>11614217.705999998</v>
      </c>
      <c r="F38" s="134">
        <f t="shared" si="23"/>
        <v>-425743.90133370459</v>
      </c>
      <c r="G38" s="134">
        <f t="shared" si="23"/>
        <v>-2881851.6339346142</v>
      </c>
      <c r="H38" s="134">
        <f t="shared" si="23"/>
        <v>259190.20860160963</v>
      </c>
      <c r="I38" s="135">
        <f t="shared" si="23"/>
        <v>352650.74886430608</v>
      </c>
      <c r="J38" s="42">
        <f t="shared" si="23"/>
        <v>-86025.10682635993</v>
      </c>
      <c r="K38" s="134">
        <f t="shared" si="23"/>
        <v>-70897.978747582063</v>
      </c>
      <c r="L38" s="134">
        <f t="shared" ref="L38:M38" si="25">SUM(L29:L37)</f>
        <v>0</v>
      </c>
      <c r="M38" s="134">
        <f t="shared" si="25"/>
        <v>-722907.98959938949</v>
      </c>
      <c r="N38" s="134">
        <f t="shared" si="23"/>
        <v>61216.664693535815</v>
      </c>
      <c r="O38" s="134">
        <f t="shared" si="23"/>
        <v>-32798.565992366755</v>
      </c>
      <c r="P38" s="134">
        <f t="shared" si="23"/>
        <v>-9569066.7751340941</v>
      </c>
      <c r="Q38" s="134">
        <f t="shared" ref="Q38:V38" si="26">SUM(Q29:Q37)</f>
        <v>2384.8170024567889</v>
      </c>
      <c r="R38" s="134">
        <f t="shared" si="26"/>
        <v>-92445.477524220623</v>
      </c>
      <c r="S38" s="134">
        <f t="shared" si="26"/>
        <v>-9368.5899177937645</v>
      </c>
      <c r="T38" s="134">
        <f t="shared" si="26"/>
        <v>166295.03833923308</v>
      </c>
      <c r="U38" s="134">
        <f t="shared" si="26"/>
        <v>28304.510248875617</v>
      </c>
      <c r="V38" s="135">
        <f t="shared" si="26"/>
        <v>885.67661004467527</v>
      </c>
      <c r="W38" s="42">
        <f t="shared" si="23"/>
        <v>-118119.82381088973</v>
      </c>
      <c r="X38" s="134">
        <f t="shared" ref="X38" si="27">SUM(X29:X37)</f>
        <v>-24123157.895419817</v>
      </c>
      <c r="Y38" s="134">
        <f t="shared" si="23"/>
        <v>385187.76799570123</v>
      </c>
      <c r="Z38" s="134">
        <f t="shared" si="23"/>
        <v>5703246.7505000001</v>
      </c>
      <c r="AA38" s="135">
        <f t="shared" si="23"/>
        <v>-305298.54482166702</v>
      </c>
      <c r="AB38" s="244">
        <f t="shared" si="23"/>
        <v>78582.625805387739</v>
      </c>
      <c r="AC38" s="42">
        <f t="shared" si="23"/>
        <v>380692.37042456953</v>
      </c>
      <c r="AD38" s="134">
        <f t="shared" ref="AD38" si="28">SUM(AD29:AD37)</f>
        <v>-786766.39813783229</v>
      </c>
      <c r="AE38" s="134">
        <f t="shared" si="23"/>
        <v>-296778.81346373697</v>
      </c>
      <c r="AF38" s="134">
        <f t="shared" si="23"/>
        <v>1132118.2339999997</v>
      </c>
      <c r="AG38" s="134">
        <f t="shared" si="23"/>
        <v>-83729.110166808881</v>
      </c>
      <c r="AH38" s="134">
        <f t="shared" ref="AH38" si="29">SUM(AH29:AH37)</f>
        <v>0</v>
      </c>
      <c r="AI38" s="134">
        <f t="shared" si="23"/>
        <v>396343.93645358831</v>
      </c>
      <c r="AJ38" s="134">
        <f t="shared" si="23"/>
        <v>-1877339</v>
      </c>
      <c r="AK38" s="135">
        <f t="shared" si="23"/>
        <v>20913</v>
      </c>
      <c r="AL38" s="42">
        <f t="shared" si="23"/>
        <v>6548.163818181818</v>
      </c>
      <c r="AM38" s="134">
        <f t="shared" si="23"/>
        <v>0</v>
      </c>
      <c r="AN38" s="134">
        <f t="shared" si="23"/>
        <v>220086.03398960872</v>
      </c>
      <c r="AO38" s="134">
        <f t="shared" si="23"/>
        <v>0</v>
      </c>
      <c r="AP38" s="134">
        <f t="shared" si="23"/>
        <v>-17990.552799178593</v>
      </c>
      <c r="AQ38" s="134">
        <f t="shared" si="23"/>
        <v>0</v>
      </c>
      <c r="AR38" s="134">
        <f t="shared" si="23"/>
        <v>0</v>
      </c>
      <c r="AS38" s="134">
        <f t="shared" ref="AS38" si="30">SUM(AS29:AS37)</f>
        <v>71784.749346106531</v>
      </c>
      <c r="AT38" s="134">
        <f t="shared" si="23"/>
        <v>-299506.03828321683</v>
      </c>
      <c r="AU38" s="134">
        <f t="shared" si="23"/>
        <v>-1064557.44</v>
      </c>
      <c r="AV38" s="134">
        <f t="shared" ref="AV38:AW38" si="31">SUM(AV29:AV37)</f>
        <v>-166473.91694577364</v>
      </c>
      <c r="AW38" s="135">
        <f t="shared" si="31"/>
        <v>-59960.22929765837</v>
      </c>
      <c r="AX38" s="42">
        <f t="shared" ref="AX38" si="32">SUM(AX29:AX37)</f>
        <v>-523672.1310585051</v>
      </c>
      <c r="AY38" s="135">
        <f t="shared" ref="AY38" si="33">SUM(AY29:AY37)</f>
        <v>-2017075.956828251</v>
      </c>
      <c r="BB38" s="235">
        <f>B38-'Page 1.4'!C32</f>
        <v>0</v>
      </c>
    </row>
    <row r="39" spans="1:54">
      <c r="A39" s="18"/>
      <c r="B39" s="127">
        <f t="shared" si="10"/>
        <v>0</v>
      </c>
      <c r="C39" s="39"/>
      <c r="D39" s="16"/>
      <c r="E39" s="16"/>
      <c r="F39" s="16"/>
      <c r="G39" s="16"/>
      <c r="H39" s="16"/>
      <c r="I39" s="125"/>
      <c r="J39" s="39"/>
      <c r="K39" s="16"/>
      <c r="L39" s="16"/>
      <c r="M39" s="16"/>
      <c r="N39" s="16"/>
      <c r="O39" s="16"/>
      <c r="P39" s="16"/>
      <c r="Q39" s="16"/>
      <c r="R39" s="16"/>
      <c r="S39" s="16"/>
      <c r="T39" s="16"/>
      <c r="U39" s="16"/>
      <c r="V39" s="125"/>
      <c r="W39" s="39"/>
      <c r="X39" s="16"/>
      <c r="Y39" s="16"/>
      <c r="Z39" s="16"/>
      <c r="AA39" s="125"/>
      <c r="AB39" s="127"/>
      <c r="AC39" s="39"/>
      <c r="AD39" s="16"/>
      <c r="AE39" s="16"/>
      <c r="AF39" s="16"/>
      <c r="AG39" s="16"/>
      <c r="AH39" s="16"/>
      <c r="AI39" s="16"/>
      <c r="AJ39" s="16"/>
      <c r="AK39" s="125"/>
      <c r="AL39" s="39"/>
      <c r="AM39" s="16"/>
      <c r="AN39" s="16"/>
      <c r="AO39" s="16"/>
      <c r="AP39" s="16"/>
      <c r="AQ39" s="16"/>
      <c r="AR39" s="16"/>
      <c r="AS39" s="16"/>
      <c r="AT39" s="16"/>
      <c r="AU39" s="16"/>
      <c r="AV39" s="16"/>
      <c r="AW39" s="125"/>
      <c r="AX39" s="39"/>
      <c r="AY39" s="125"/>
      <c r="BB39" s="235">
        <f>B39-'Page 1.4'!C33</f>
        <v>0</v>
      </c>
    </row>
    <row r="40" spans="1:54" ht="13.5" thickBot="1">
      <c r="A40" s="18" t="s">
        <v>83</v>
      </c>
      <c r="B40" s="246">
        <f t="shared" si="10"/>
        <v>19232684.497932471</v>
      </c>
      <c r="C40" s="44">
        <f t="shared" ref="C40:AY40" si="34">C16-C38</f>
        <v>2065366.1795000006</v>
      </c>
      <c r="D40" s="143">
        <f t="shared" si="34"/>
        <v>9163677.3999999948</v>
      </c>
      <c r="E40" s="143">
        <f t="shared" si="34"/>
        <v>21569261.453999996</v>
      </c>
      <c r="F40" s="143">
        <f t="shared" si="34"/>
        <v>425743.90133370459</v>
      </c>
      <c r="G40" s="143">
        <f t="shared" si="34"/>
        <v>-5352010.177307141</v>
      </c>
      <c r="H40" s="143">
        <f t="shared" si="34"/>
        <v>602352.36190478317</v>
      </c>
      <c r="I40" s="144">
        <f t="shared" si="34"/>
        <v>654922.81931942562</v>
      </c>
      <c r="J40" s="44">
        <f t="shared" si="34"/>
        <v>86025.10682635993</v>
      </c>
      <c r="K40" s="143">
        <f t="shared" si="34"/>
        <v>70897.978747582063</v>
      </c>
      <c r="L40" s="143">
        <f t="shared" si="34"/>
        <v>0</v>
      </c>
      <c r="M40" s="143">
        <f t="shared" si="34"/>
        <v>722907.98959938949</v>
      </c>
      <c r="N40" s="143">
        <f t="shared" si="34"/>
        <v>-61216.664693535815</v>
      </c>
      <c r="O40" s="143">
        <f t="shared" si="34"/>
        <v>32798.565992366755</v>
      </c>
      <c r="P40" s="143">
        <f t="shared" si="34"/>
        <v>714064.77513409406</v>
      </c>
      <c r="Q40" s="143">
        <f t="shared" si="34"/>
        <v>-2384.8170024567889</v>
      </c>
      <c r="R40" s="143">
        <f t="shared" si="34"/>
        <v>92445.477524220623</v>
      </c>
      <c r="S40" s="143">
        <f t="shared" si="34"/>
        <v>9368.5899177937645</v>
      </c>
      <c r="T40" s="143">
        <f t="shared" si="34"/>
        <v>-166295.03833923308</v>
      </c>
      <c r="U40" s="143">
        <f t="shared" si="34"/>
        <v>-28304.510248875617</v>
      </c>
      <c r="V40" s="144">
        <f t="shared" si="34"/>
        <v>-885.67661004467527</v>
      </c>
      <c r="W40" s="44">
        <f t="shared" si="34"/>
        <v>1059367.7048230357</v>
      </c>
      <c r="X40" s="143">
        <f t="shared" si="34"/>
        <v>-8868109.6037769392</v>
      </c>
      <c r="Y40" s="143">
        <f t="shared" si="34"/>
        <v>715348.71199201676</v>
      </c>
      <c r="Z40" s="143">
        <f t="shared" si="34"/>
        <v>-5703246.7505000001</v>
      </c>
      <c r="AA40" s="144">
        <f t="shared" si="34"/>
        <v>305298.54482166702</v>
      </c>
      <c r="AB40" s="246">
        <f t="shared" si="34"/>
        <v>-78582.625805387739</v>
      </c>
      <c r="AC40" s="44">
        <f t="shared" si="34"/>
        <v>-380692.37042456953</v>
      </c>
      <c r="AD40" s="143">
        <f t="shared" si="34"/>
        <v>786766.39813783229</v>
      </c>
      <c r="AE40" s="143">
        <f t="shared" si="34"/>
        <v>296778.81346373697</v>
      </c>
      <c r="AF40" s="143">
        <f t="shared" si="34"/>
        <v>-1132118.2339999997</v>
      </c>
      <c r="AG40" s="143">
        <f t="shared" si="34"/>
        <v>83729.110166808881</v>
      </c>
      <c r="AH40" s="143">
        <f t="shared" si="34"/>
        <v>0</v>
      </c>
      <c r="AI40" s="143">
        <f t="shared" si="34"/>
        <v>-396343.93645358831</v>
      </c>
      <c r="AJ40" s="143">
        <f t="shared" si="34"/>
        <v>1877339</v>
      </c>
      <c r="AK40" s="144">
        <f t="shared" si="34"/>
        <v>-20913</v>
      </c>
      <c r="AL40" s="44">
        <f t="shared" si="34"/>
        <v>-6548.163818181818</v>
      </c>
      <c r="AM40" s="143">
        <f t="shared" si="34"/>
        <v>0</v>
      </c>
      <c r="AN40" s="143">
        <f t="shared" si="34"/>
        <v>-220086.03398960872</v>
      </c>
      <c r="AO40" s="143">
        <f t="shared" si="34"/>
        <v>0</v>
      </c>
      <c r="AP40" s="143">
        <f t="shared" si="34"/>
        <v>17990.552799178593</v>
      </c>
      <c r="AQ40" s="143">
        <f t="shared" si="34"/>
        <v>0</v>
      </c>
      <c r="AR40" s="143">
        <f t="shared" si="34"/>
        <v>0</v>
      </c>
      <c r="AS40" s="143">
        <f t="shared" si="34"/>
        <v>-71784.749346106531</v>
      </c>
      <c r="AT40" s="143">
        <f t="shared" si="34"/>
        <v>299506.03828321683</v>
      </c>
      <c r="AU40" s="143">
        <f t="shared" si="34"/>
        <v>-1935442.56</v>
      </c>
      <c r="AV40" s="143">
        <f t="shared" si="34"/>
        <v>166473.91694577364</v>
      </c>
      <c r="AW40" s="144">
        <f t="shared" si="34"/>
        <v>59960.22929765837</v>
      </c>
      <c r="AX40" s="44">
        <f t="shared" si="34"/>
        <v>523672.1310585051</v>
      </c>
      <c r="AY40" s="144">
        <f t="shared" si="34"/>
        <v>1255585.6586589941</v>
      </c>
      <c r="BB40" s="235">
        <f>B40-'Page 1.4'!C34</f>
        <v>0</v>
      </c>
    </row>
    <row r="41" spans="1:54" ht="13.5" thickTop="1">
      <c r="A41" s="18"/>
      <c r="B41" s="127"/>
      <c r="C41" s="39"/>
      <c r="D41" s="16"/>
      <c r="E41" s="16"/>
      <c r="F41" s="16"/>
      <c r="G41" s="16"/>
      <c r="H41" s="16"/>
      <c r="I41" s="125"/>
      <c r="J41" s="39"/>
      <c r="K41" s="16"/>
      <c r="L41" s="16"/>
      <c r="M41" s="16"/>
      <c r="N41" s="16"/>
      <c r="O41" s="16"/>
      <c r="P41" s="16"/>
      <c r="Q41" s="16"/>
      <c r="R41" s="16"/>
      <c r="S41" s="16"/>
      <c r="T41" s="16"/>
      <c r="U41" s="16"/>
      <c r="V41" s="125"/>
      <c r="W41" s="39"/>
      <c r="X41" s="16"/>
      <c r="Y41" s="16"/>
      <c r="Z41" s="16"/>
      <c r="AA41" s="125"/>
      <c r="AB41" s="127"/>
      <c r="AC41" s="39"/>
      <c r="AD41" s="16"/>
      <c r="AE41" s="16"/>
      <c r="AF41" s="16"/>
      <c r="AG41" s="16"/>
      <c r="AH41" s="16"/>
      <c r="AI41" s="16"/>
      <c r="AJ41" s="16"/>
      <c r="AK41" s="125"/>
      <c r="AL41" s="39"/>
      <c r="AM41" s="16"/>
      <c r="AN41" s="16"/>
      <c r="AO41" s="16"/>
      <c r="AP41" s="16"/>
      <c r="AQ41" s="16"/>
      <c r="AR41" s="16"/>
      <c r="AS41" s="16"/>
      <c r="AT41" s="16"/>
      <c r="AU41" s="16"/>
      <c r="AV41" s="16"/>
      <c r="AW41" s="125"/>
      <c r="AX41" s="39"/>
      <c r="AY41" s="125"/>
      <c r="BB41" s="235">
        <f>B41-'Page 1.4'!C35</f>
        <v>0</v>
      </c>
    </row>
    <row r="42" spans="1:54">
      <c r="A42" s="18" t="s">
        <v>84</v>
      </c>
      <c r="B42" s="127"/>
      <c r="C42" s="39"/>
      <c r="D42" s="16"/>
      <c r="E42" s="16"/>
      <c r="F42" s="16"/>
      <c r="G42" s="16"/>
      <c r="H42" s="16"/>
      <c r="I42" s="125"/>
      <c r="J42" s="39"/>
      <c r="K42" s="16"/>
      <c r="L42" s="16"/>
      <c r="M42" s="16"/>
      <c r="N42" s="16"/>
      <c r="O42" s="16"/>
      <c r="P42" s="16"/>
      <c r="Q42" s="16"/>
      <c r="R42" s="16"/>
      <c r="S42" s="16"/>
      <c r="T42" s="16"/>
      <c r="U42" s="16"/>
      <c r="V42" s="125"/>
      <c r="W42" s="39"/>
      <c r="X42" s="16"/>
      <c r="Y42" s="16"/>
      <c r="Z42" s="16"/>
      <c r="AA42" s="125"/>
      <c r="AB42" s="127"/>
      <c r="AC42" s="39"/>
      <c r="AD42" s="16"/>
      <c r="AE42" s="16"/>
      <c r="AF42" s="16"/>
      <c r="AG42" s="16"/>
      <c r="AH42" s="16"/>
      <c r="AI42" s="16"/>
      <c r="AJ42" s="16"/>
      <c r="AK42" s="125"/>
      <c r="AL42" s="39"/>
      <c r="AM42" s="16"/>
      <c r="AN42" s="16"/>
      <c r="AO42" s="16"/>
      <c r="AP42" s="16"/>
      <c r="AQ42" s="16"/>
      <c r="AR42" s="16"/>
      <c r="AS42" s="16"/>
      <c r="AT42" s="16"/>
      <c r="AU42" s="16"/>
      <c r="AV42" s="16"/>
      <c r="AW42" s="125"/>
      <c r="AX42" s="39"/>
      <c r="AY42" s="125"/>
      <c r="BB42" s="235">
        <f>B42-'Page 1.4'!C36</f>
        <v>0</v>
      </c>
    </row>
    <row r="43" spans="1:54">
      <c r="A43" s="18" t="s">
        <v>85</v>
      </c>
      <c r="B43" s="142">
        <f t="shared" ref="B43:B54" si="35">SUM(C43:AY43)</f>
        <v>15932098.041228279</v>
      </c>
      <c r="C43" s="41">
        <f>'Restating Adj'!C43</f>
        <v>0</v>
      </c>
      <c r="D43" s="131">
        <f>'Restating Adj'!D43</f>
        <v>0</v>
      </c>
      <c r="E43" s="129">
        <f>'Pro Forma Adj'!C43</f>
        <v>0</v>
      </c>
      <c r="F43" s="129">
        <f>'Restating Adj'!E43</f>
        <v>0</v>
      </c>
      <c r="G43" s="129">
        <f>'Restating Adj'!F43+'Pro Forma Adj'!E43</f>
        <v>0</v>
      </c>
      <c r="H43" s="129">
        <f>'Restating Adj'!G43+'Pro Forma Adj'!F43</f>
        <v>0</v>
      </c>
      <c r="I43" s="130">
        <f>'Pro Forma Adj'!G43</f>
        <v>0</v>
      </c>
      <c r="J43" s="40">
        <f>'Restating Adj'!H43</f>
        <v>0</v>
      </c>
      <c r="K43" s="129">
        <f>'Restating Adj'!I43</f>
        <v>0</v>
      </c>
      <c r="L43" s="131">
        <f>'Pro Forma Adj'!H43</f>
        <v>0</v>
      </c>
      <c r="M43" s="129">
        <f>'Pro Forma Adj'!I43</f>
        <v>-2012269.6840151576</v>
      </c>
      <c r="N43" s="131">
        <f>'Restating Adj'!J43</f>
        <v>0</v>
      </c>
      <c r="O43" s="129">
        <f>'Restating Adj'!K43+'Pro Forma Adj'!J43</f>
        <v>0</v>
      </c>
      <c r="P43" s="129">
        <f>'Restating Adj'!L43</f>
        <v>0</v>
      </c>
      <c r="Q43" s="129">
        <f>'Restating Adj'!M43</f>
        <v>0</v>
      </c>
      <c r="R43" s="129">
        <f>'Restating Adj'!N43+'Pro Forma Adj'!K43</f>
        <v>0</v>
      </c>
      <c r="S43" s="129">
        <f>'Restating Adj'!O43</f>
        <v>0</v>
      </c>
      <c r="T43" s="129">
        <f>'Pro Forma Adj'!L43</f>
        <v>0</v>
      </c>
      <c r="U43" s="129">
        <f>'Restating Adj'!P43</f>
        <v>0</v>
      </c>
      <c r="V43" s="130">
        <f>'Restating Adj'!Q43</f>
        <v>0</v>
      </c>
      <c r="W43" s="40">
        <f>'Restating Adj'!R43</f>
        <v>0</v>
      </c>
      <c r="X43" s="131">
        <f>'Pro Forma Adj'!M43</f>
        <v>0</v>
      </c>
      <c r="Y43" s="129">
        <f>'Pro Forma Adj'!N43</f>
        <v>0</v>
      </c>
      <c r="Z43" s="129">
        <f>'Restating Adj'!S43</f>
        <v>0</v>
      </c>
      <c r="AA43" s="130">
        <f>'Restating Adj'!T43</f>
        <v>-26918433.364462718</v>
      </c>
      <c r="AB43" s="132">
        <f>'Restating Adj'!U43+'Pro Forma Adj'!O43</f>
        <v>0</v>
      </c>
      <c r="AC43" s="41">
        <f>'Restating Adj'!V43+'Pro Forma Adj'!P43</f>
        <v>0</v>
      </c>
      <c r="AD43" s="131">
        <f>'Pro Forma Adj'!Q43</f>
        <v>0</v>
      </c>
      <c r="AE43" s="131">
        <f>'Restating Adj'!W43</f>
        <v>0</v>
      </c>
      <c r="AF43" s="131">
        <f>'Pro Forma Adj'!R43</f>
        <v>0</v>
      </c>
      <c r="AG43" s="131">
        <f>'Restating Adj'!X43</f>
        <v>0</v>
      </c>
      <c r="AH43" s="131">
        <f>'Restating Adj'!Y43</f>
        <v>0</v>
      </c>
      <c r="AI43" s="131">
        <f>'Restating Adj'!Z43</f>
        <v>0</v>
      </c>
      <c r="AJ43" s="131">
        <f>'Restating Adj'!AA43</f>
        <v>0</v>
      </c>
      <c r="AK43" s="133">
        <f>'Restating Adj'!AB43</f>
        <v>0</v>
      </c>
      <c r="AL43" s="40">
        <f>'Restating Adj'!AC43</f>
        <v>0</v>
      </c>
      <c r="AM43" s="129">
        <f>'Restating Adj'!AD43</f>
        <v>58989055.517888799</v>
      </c>
      <c r="AN43" s="129">
        <f>'Restating Adj'!AE43</f>
        <v>0</v>
      </c>
      <c r="AO43" s="129">
        <f>'Restating Adj'!AF43</f>
        <v>0</v>
      </c>
      <c r="AP43" s="129">
        <f>'Restating Adj'!AG43</f>
        <v>-423015.57377275266</v>
      </c>
      <c r="AQ43" s="129">
        <f>'Restating Adj'!AH43</f>
        <v>0</v>
      </c>
      <c r="AR43" s="129">
        <f>'Restating Adj'!AI43</f>
        <v>0</v>
      </c>
      <c r="AS43" s="129">
        <f>'Restating Adj'!AJ43</f>
        <v>0</v>
      </c>
      <c r="AT43" s="131">
        <f>'Pro Forma Adj'!S43</f>
        <v>0</v>
      </c>
      <c r="AU43" s="129">
        <f>'Restating Adj'!AK43+'Pro Forma Adj'!T43</f>
        <v>0</v>
      </c>
      <c r="AV43" s="129">
        <f>'Restating Adj'!AL43</f>
        <v>0</v>
      </c>
      <c r="AW43" s="130">
        <f>'Pro Forma Adj'!U43</f>
        <v>-1557660.9172082131</v>
      </c>
      <c r="AX43" s="40">
        <f>'Pro Forma Adj'!V43</f>
        <v>-11114449.246748975</v>
      </c>
      <c r="AY43" s="130">
        <f>'Pro Forma Adj'!W43</f>
        <v>-1031128.6904527023</v>
      </c>
      <c r="BB43" s="235">
        <f>B43-'Page 1.4'!C37</f>
        <v>0</v>
      </c>
    </row>
    <row r="44" spans="1:54">
      <c r="A44" s="18" t="s">
        <v>86</v>
      </c>
      <c r="B44" s="142">
        <f t="shared" si="35"/>
        <v>0</v>
      </c>
      <c r="C44" s="41">
        <f>'Restating Adj'!C44</f>
        <v>0</v>
      </c>
      <c r="D44" s="131">
        <f>'Restating Adj'!D44</f>
        <v>0</v>
      </c>
      <c r="E44" s="129">
        <f>'Pro Forma Adj'!C44</f>
        <v>0</v>
      </c>
      <c r="F44" s="129">
        <f>'Restating Adj'!E44</f>
        <v>0</v>
      </c>
      <c r="G44" s="129">
        <f>'Restating Adj'!F44+'Pro Forma Adj'!E44</f>
        <v>0</v>
      </c>
      <c r="H44" s="129">
        <f>'Restating Adj'!G44+'Pro Forma Adj'!F44</f>
        <v>0</v>
      </c>
      <c r="I44" s="130">
        <f>'Pro Forma Adj'!G44</f>
        <v>0</v>
      </c>
      <c r="J44" s="40">
        <f>'Restating Adj'!H44</f>
        <v>0</v>
      </c>
      <c r="K44" s="129">
        <f>'Restating Adj'!I44</f>
        <v>0</v>
      </c>
      <c r="L44" s="131">
        <f>'Pro Forma Adj'!H44</f>
        <v>0</v>
      </c>
      <c r="M44" s="129">
        <f>'Pro Forma Adj'!I44</f>
        <v>0</v>
      </c>
      <c r="N44" s="131">
        <f>'Restating Adj'!J44</f>
        <v>0</v>
      </c>
      <c r="O44" s="129">
        <f>'Restating Adj'!K44+'Pro Forma Adj'!J44</f>
        <v>0</v>
      </c>
      <c r="P44" s="129">
        <f>'Restating Adj'!L44</f>
        <v>0</v>
      </c>
      <c r="Q44" s="129">
        <f>'Restating Adj'!M44</f>
        <v>0</v>
      </c>
      <c r="R44" s="129">
        <f>'Restating Adj'!N44+'Pro Forma Adj'!K44</f>
        <v>0</v>
      </c>
      <c r="S44" s="129">
        <f>'Restating Adj'!O44</f>
        <v>0</v>
      </c>
      <c r="T44" s="129">
        <f>'Pro Forma Adj'!L44</f>
        <v>0</v>
      </c>
      <c r="U44" s="129">
        <f>'Restating Adj'!P44</f>
        <v>0</v>
      </c>
      <c r="V44" s="130">
        <f>'Restating Adj'!Q44</f>
        <v>0</v>
      </c>
      <c r="W44" s="40">
        <f>'Restating Adj'!R44</f>
        <v>0</v>
      </c>
      <c r="X44" s="131">
        <f>'Pro Forma Adj'!M44</f>
        <v>0</v>
      </c>
      <c r="Y44" s="129">
        <f>'Pro Forma Adj'!N44</f>
        <v>0</v>
      </c>
      <c r="Z44" s="129">
        <f>'Restating Adj'!S44</f>
        <v>0</v>
      </c>
      <c r="AA44" s="130">
        <f>'Restating Adj'!T44</f>
        <v>0</v>
      </c>
      <c r="AB44" s="132">
        <f>'Restating Adj'!U44+'Pro Forma Adj'!O44</f>
        <v>0</v>
      </c>
      <c r="AC44" s="41">
        <f>'Restating Adj'!V44+'Pro Forma Adj'!P44</f>
        <v>0</v>
      </c>
      <c r="AD44" s="131">
        <f>'Pro Forma Adj'!Q44</f>
        <v>0</v>
      </c>
      <c r="AE44" s="131">
        <f>'Restating Adj'!W44</f>
        <v>0</v>
      </c>
      <c r="AF44" s="131">
        <f>'Pro Forma Adj'!R44</f>
        <v>0</v>
      </c>
      <c r="AG44" s="131">
        <f>'Restating Adj'!X44</f>
        <v>0</v>
      </c>
      <c r="AH44" s="131">
        <f>'Restating Adj'!Y44</f>
        <v>0</v>
      </c>
      <c r="AI44" s="131">
        <f>'Restating Adj'!Z44</f>
        <v>0</v>
      </c>
      <c r="AJ44" s="131">
        <f>'Restating Adj'!AA44</f>
        <v>0</v>
      </c>
      <c r="AK44" s="133">
        <f>'Restating Adj'!AB44</f>
        <v>0</v>
      </c>
      <c r="AL44" s="40">
        <f>'Restating Adj'!AC44</f>
        <v>0</v>
      </c>
      <c r="AM44" s="129">
        <f>'Restating Adj'!AD44</f>
        <v>0</v>
      </c>
      <c r="AN44" s="129">
        <f>'Restating Adj'!AE44</f>
        <v>0</v>
      </c>
      <c r="AO44" s="129">
        <f>'Restating Adj'!AF44</f>
        <v>0</v>
      </c>
      <c r="AP44" s="129">
        <f>'Restating Adj'!AG44</f>
        <v>0</v>
      </c>
      <c r="AQ44" s="129">
        <f>'Restating Adj'!AH44</f>
        <v>0</v>
      </c>
      <c r="AR44" s="129">
        <f>'Restating Adj'!AI44</f>
        <v>0</v>
      </c>
      <c r="AS44" s="129">
        <f>'Restating Adj'!AJ44</f>
        <v>0</v>
      </c>
      <c r="AT44" s="131">
        <f>'Pro Forma Adj'!S44</f>
        <v>0</v>
      </c>
      <c r="AU44" s="129">
        <f>'Restating Adj'!AK44+'Pro Forma Adj'!T44</f>
        <v>0</v>
      </c>
      <c r="AV44" s="129">
        <f>'Restating Adj'!AL44</f>
        <v>0</v>
      </c>
      <c r="AW44" s="130">
        <f>'Pro Forma Adj'!U44</f>
        <v>0</v>
      </c>
      <c r="AX44" s="40">
        <f>'Pro Forma Adj'!V44</f>
        <v>0</v>
      </c>
      <c r="AY44" s="130">
        <f>'Pro Forma Adj'!W44</f>
        <v>0</v>
      </c>
      <c r="BB44" s="235">
        <f>B44-'Page 1.4'!C38</f>
        <v>0</v>
      </c>
    </row>
    <row r="45" spans="1:54">
      <c r="A45" s="18" t="s">
        <v>87</v>
      </c>
      <c r="B45" s="142">
        <f t="shared" si="35"/>
        <v>-5634630.6639231807</v>
      </c>
      <c r="C45" s="41">
        <f>'Restating Adj'!C45</f>
        <v>0</v>
      </c>
      <c r="D45" s="131">
        <f>'Restating Adj'!D45</f>
        <v>0</v>
      </c>
      <c r="E45" s="129">
        <f>'Pro Forma Adj'!C45</f>
        <v>0</v>
      </c>
      <c r="F45" s="129">
        <f>'Restating Adj'!E45</f>
        <v>0</v>
      </c>
      <c r="G45" s="129">
        <f>'Restating Adj'!F45+'Pro Forma Adj'!E45</f>
        <v>0</v>
      </c>
      <c r="H45" s="129">
        <f>'Restating Adj'!G45+'Pro Forma Adj'!F45</f>
        <v>0</v>
      </c>
      <c r="I45" s="130">
        <f>'Pro Forma Adj'!G45</f>
        <v>0</v>
      </c>
      <c r="J45" s="40">
        <f>'Restating Adj'!H45</f>
        <v>0</v>
      </c>
      <c r="K45" s="129">
        <f>'Restating Adj'!I45</f>
        <v>0</v>
      </c>
      <c r="L45" s="131">
        <f>'Pro Forma Adj'!H45</f>
        <v>0</v>
      </c>
      <c r="M45" s="129">
        <f>'Pro Forma Adj'!I45</f>
        <v>0</v>
      </c>
      <c r="N45" s="131">
        <f>'Restating Adj'!J45</f>
        <v>0</v>
      </c>
      <c r="O45" s="129">
        <f>'Restating Adj'!K45+'Pro Forma Adj'!J45</f>
        <v>0</v>
      </c>
      <c r="P45" s="129">
        <f>'Restating Adj'!L45</f>
        <v>0</v>
      </c>
      <c r="Q45" s="129">
        <f>'Restating Adj'!M45</f>
        <v>0</v>
      </c>
      <c r="R45" s="129">
        <f>'Restating Adj'!N45+'Pro Forma Adj'!K45</f>
        <v>-79630.904999999548</v>
      </c>
      <c r="S45" s="129">
        <f>'Restating Adj'!O45</f>
        <v>0</v>
      </c>
      <c r="T45" s="129">
        <f>'Pro Forma Adj'!L45</f>
        <v>0</v>
      </c>
      <c r="U45" s="129">
        <f>'Restating Adj'!P45</f>
        <v>0</v>
      </c>
      <c r="V45" s="130">
        <f>'Restating Adj'!Q45</f>
        <v>0</v>
      </c>
      <c r="W45" s="40">
        <f>'Restating Adj'!R45</f>
        <v>0</v>
      </c>
      <c r="X45" s="131">
        <f>'Pro Forma Adj'!M45</f>
        <v>0</v>
      </c>
      <c r="Y45" s="129">
        <f>'Pro Forma Adj'!N45</f>
        <v>0</v>
      </c>
      <c r="Z45" s="129">
        <f>'Restating Adj'!S45</f>
        <v>0</v>
      </c>
      <c r="AA45" s="130">
        <f>'Restating Adj'!T45</f>
        <v>0</v>
      </c>
      <c r="AB45" s="132">
        <f>'Restating Adj'!U45+'Pro Forma Adj'!O45</f>
        <v>0</v>
      </c>
      <c r="AC45" s="41">
        <f>'Restating Adj'!V45+'Pro Forma Adj'!P45</f>
        <v>0</v>
      </c>
      <c r="AD45" s="131">
        <f>'Pro Forma Adj'!Q45</f>
        <v>0</v>
      </c>
      <c r="AE45" s="131">
        <f>'Restating Adj'!W45</f>
        <v>0</v>
      </c>
      <c r="AF45" s="131">
        <f>'Pro Forma Adj'!R45</f>
        <v>0</v>
      </c>
      <c r="AG45" s="131">
        <f>'Restating Adj'!X45</f>
        <v>0</v>
      </c>
      <c r="AH45" s="131">
        <f>'Restating Adj'!Y45</f>
        <v>0</v>
      </c>
      <c r="AI45" s="131">
        <f>'Restating Adj'!Z45</f>
        <v>0</v>
      </c>
      <c r="AJ45" s="131">
        <f>'Restating Adj'!AA45</f>
        <v>0</v>
      </c>
      <c r="AK45" s="133">
        <f>'Restating Adj'!AB45</f>
        <v>0</v>
      </c>
      <c r="AL45" s="40">
        <f>'Restating Adj'!AC45</f>
        <v>0</v>
      </c>
      <c r="AM45" s="129">
        <f>'Restating Adj'!AD45</f>
        <v>385035.68442549539</v>
      </c>
      <c r="AN45" s="129">
        <f>'Restating Adj'!AE45</f>
        <v>164613.1918070376</v>
      </c>
      <c r="AO45" s="129">
        <f>'Restating Adj'!AF45</f>
        <v>0</v>
      </c>
      <c r="AP45" s="129">
        <f>'Restating Adj'!AG45</f>
        <v>0</v>
      </c>
      <c r="AQ45" s="129">
        <f>'Restating Adj'!AH45</f>
        <v>0</v>
      </c>
      <c r="AR45" s="129">
        <f>'Restating Adj'!AI45</f>
        <v>-2843528.0057719639</v>
      </c>
      <c r="AS45" s="129">
        <f>'Restating Adj'!AJ45</f>
        <v>0</v>
      </c>
      <c r="AT45" s="131">
        <f>'Pro Forma Adj'!S45</f>
        <v>-213316.93399499287</v>
      </c>
      <c r="AU45" s="129">
        <f>'Restating Adj'!AK45+'Pro Forma Adj'!T45</f>
        <v>-3041073.2716250001</v>
      </c>
      <c r="AV45" s="129">
        <f>'Restating Adj'!AL45</f>
        <v>0</v>
      </c>
      <c r="AW45" s="130">
        <f>'Pro Forma Adj'!U45</f>
        <v>0</v>
      </c>
      <c r="AX45" s="40">
        <f>'Pro Forma Adj'!V45</f>
        <v>0</v>
      </c>
      <c r="AY45" s="130">
        <f>'Pro Forma Adj'!W45</f>
        <v>-6730.423763757688</v>
      </c>
      <c r="BB45" s="235">
        <f>B45-'Page 1.4'!C39</f>
        <v>0</v>
      </c>
    </row>
    <row r="46" spans="1:54">
      <c r="A46" s="18" t="s">
        <v>88</v>
      </c>
      <c r="B46" s="142">
        <f t="shared" si="35"/>
        <v>0</v>
      </c>
      <c r="C46" s="41">
        <f>'Restating Adj'!C46</f>
        <v>0</v>
      </c>
      <c r="D46" s="131">
        <f>'Restating Adj'!D46</f>
        <v>0</v>
      </c>
      <c r="E46" s="129">
        <f>'Pro Forma Adj'!C46</f>
        <v>0</v>
      </c>
      <c r="F46" s="129">
        <f>'Restating Adj'!E46</f>
        <v>0</v>
      </c>
      <c r="G46" s="129">
        <f>'Restating Adj'!F46+'Pro Forma Adj'!E46</f>
        <v>0</v>
      </c>
      <c r="H46" s="129">
        <f>'Restating Adj'!G46+'Pro Forma Adj'!F46</f>
        <v>0</v>
      </c>
      <c r="I46" s="130">
        <f>'Pro Forma Adj'!G46</f>
        <v>0</v>
      </c>
      <c r="J46" s="40">
        <f>'Restating Adj'!H46</f>
        <v>0</v>
      </c>
      <c r="K46" s="129">
        <f>'Restating Adj'!I46</f>
        <v>0</v>
      </c>
      <c r="L46" s="131">
        <f>'Pro Forma Adj'!H46</f>
        <v>0</v>
      </c>
      <c r="M46" s="129">
        <f>'Pro Forma Adj'!I46</f>
        <v>0</v>
      </c>
      <c r="N46" s="131">
        <f>'Restating Adj'!J46</f>
        <v>0</v>
      </c>
      <c r="O46" s="129">
        <f>'Restating Adj'!K46+'Pro Forma Adj'!J46</f>
        <v>0</v>
      </c>
      <c r="P46" s="129">
        <f>'Restating Adj'!L46</f>
        <v>0</v>
      </c>
      <c r="Q46" s="129">
        <f>'Restating Adj'!M46</f>
        <v>0</v>
      </c>
      <c r="R46" s="129">
        <f>'Restating Adj'!N46+'Pro Forma Adj'!K46</f>
        <v>0</v>
      </c>
      <c r="S46" s="129">
        <f>'Restating Adj'!O46</f>
        <v>0</v>
      </c>
      <c r="T46" s="129">
        <f>'Pro Forma Adj'!L46</f>
        <v>0</v>
      </c>
      <c r="U46" s="129">
        <f>'Restating Adj'!P46</f>
        <v>0</v>
      </c>
      <c r="V46" s="130">
        <f>'Restating Adj'!Q46</f>
        <v>0</v>
      </c>
      <c r="W46" s="40">
        <f>'Restating Adj'!R46</f>
        <v>0</v>
      </c>
      <c r="X46" s="131">
        <f>'Pro Forma Adj'!M46</f>
        <v>0</v>
      </c>
      <c r="Y46" s="129">
        <f>'Pro Forma Adj'!N46</f>
        <v>0</v>
      </c>
      <c r="Z46" s="129">
        <f>'Restating Adj'!S46</f>
        <v>0</v>
      </c>
      <c r="AA46" s="130">
        <f>'Restating Adj'!T46</f>
        <v>0</v>
      </c>
      <c r="AB46" s="132">
        <f>'Restating Adj'!U46+'Pro Forma Adj'!O46</f>
        <v>0</v>
      </c>
      <c r="AC46" s="41">
        <f>'Restating Adj'!V46+'Pro Forma Adj'!P46</f>
        <v>0</v>
      </c>
      <c r="AD46" s="131">
        <f>'Pro Forma Adj'!Q46</f>
        <v>0</v>
      </c>
      <c r="AE46" s="131">
        <f>'Restating Adj'!W46</f>
        <v>0</v>
      </c>
      <c r="AF46" s="131">
        <f>'Pro Forma Adj'!R46</f>
        <v>0</v>
      </c>
      <c r="AG46" s="131">
        <f>'Restating Adj'!X46</f>
        <v>0</v>
      </c>
      <c r="AH46" s="131">
        <f>'Restating Adj'!Y46</f>
        <v>0</v>
      </c>
      <c r="AI46" s="131">
        <f>'Restating Adj'!Z46</f>
        <v>0</v>
      </c>
      <c r="AJ46" s="131">
        <f>'Restating Adj'!AA46</f>
        <v>0</v>
      </c>
      <c r="AK46" s="133">
        <f>'Restating Adj'!AB46</f>
        <v>0</v>
      </c>
      <c r="AL46" s="40">
        <f>'Restating Adj'!AC46</f>
        <v>0</v>
      </c>
      <c r="AM46" s="129">
        <f>'Restating Adj'!AD46</f>
        <v>0</v>
      </c>
      <c r="AN46" s="129">
        <f>'Restating Adj'!AE46</f>
        <v>0</v>
      </c>
      <c r="AO46" s="129">
        <f>'Restating Adj'!AF46</f>
        <v>0</v>
      </c>
      <c r="AP46" s="129">
        <f>'Restating Adj'!AG46</f>
        <v>0</v>
      </c>
      <c r="AQ46" s="129">
        <f>'Restating Adj'!AH46</f>
        <v>0</v>
      </c>
      <c r="AR46" s="129">
        <f>'Restating Adj'!AI46</f>
        <v>0</v>
      </c>
      <c r="AS46" s="129">
        <f>'Restating Adj'!AJ46</f>
        <v>0</v>
      </c>
      <c r="AT46" s="131">
        <f>'Pro Forma Adj'!S46</f>
        <v>0</v>
      </c>
      <c r="AU46" s="129">
        <f>'Restating Adj'!AK46+'Pro Forma Adj'!T46</f>
        <v>0</v>
      </c>
      <c r="AV46" s="129">
        <f>'Restating Adj'!AL46</f>
        <v>0</v>
      </c>
      <c r="AW46" s="130">
        <f>'Pro Forma Adj'!U46</f>
        <v>0</v>
      </c>
      <c r="AX46" s="40">
        <f>'Pro Forma Adj'!V46</f>
        <v>0</v>
      </c>
      <c r="AY46" s="130">
        <f>'Pro Forma Adj'!W46</f>
        <v>0</v>
      </c>
      <c r="BB46" s="235">
        <f>B46-'Page 1.4'!C40</f>
        <v>0</v>
      </c>
    </row>
    <row r="47" spans="1:54">
      <c r="A47" s="18" t="s">
        <v>89</v>
      </c>
      <c r="B47" s="142">
        <f t="shared" si="35"/>
        <v>0</v>
      </c>
      <c r="C47" s="41">
        <f>'Restating Adj'!C47</f>
        <v>0</v>
      </c>
      <c r="D47" s="131">
        <f>'Restating Adj'!D47</f>
        <v>0</v>
      </c>
      <c r="E47" s="129">
        <f>'Pro Forma Adj'!C47</f>
        <v>0</v>
      </c>
      <c r="F47" s="129">
        <f>'Restating Adj'!E47</f>
        <v>0</v>
      </c>
      <c r="G47" s="129">
        <f>'Restating Adj'!F47+'Pro Forma Adj'!E47</f>
        <v>0</v>
      </c>
      <c r="H47" s="129">
        <f>'Restating Adj'!G47+'Pro Forma Adj'!F47</f>
        <v>0</v>
      </c>
      <c r="I47" s="130">
        <f>'Pro Forma Adj'!G47</f>
        <v>0</v>
      </c>
      <c r="J47" s="40">
        <f>'Restating Adj'!H47</f>
        <v>0</v>
      </c>
      <c r="K47" s="129">
        <f>'Restating Adj'!I47</f>
        <v>0</v>
      </c>
      <c r="L47" s="131">
        <f>'Pro Forma Adj'!H47</f>
        <v>0</v>
      </c>
      <c r="M47" s="129">
        <f>'Pro Forma Adj'!I47</f>
        <v>0</v>
      </c>
      <c r="N47" s="131">
        <f>'Restating Adj'!J47</f>
        <v>0</v>
      </c>
      <c r="O47" s="129">
        <f>'Restating Adj'!K47+'Pro Forma Adj'!J47</f>
        <v>0</v>
      </c>
      <c r="P47" s="129">
        <f>'Restating Adj'!L47</f>
        <v>0</v>
      </c>
      <c r="Q47" s="129">
        <f>'Restating Adj'!M47</f>
        <v>0</v>
      </c>
      <c r="R47" s="129">
        <f>'Restating Adj'!N47+'Pro Forma Adj'!K47</f>
        <v>0</v>
      </c>
      <c r="S47" s="129">
        <f>'Restating Adj'!O47</f>
        <v>0</v>
      </c>
      <c r="T47" s="129">
        <f>'Pro Forma Adj'!L47</f>
        <v>0</v>
      </c>
      <c r="U47" s="129">
        <f>'Restating Adj'!P47</f>
        <v>0</v>
      </c>
      <c r="V47" s="130">
        <f>'Restating Adj'!Q47</f>
        <v>0</v>
      </c>
      <c r="W47" s="40">
        <f>'Restating Adj'!R47</f>
        <v>0</v>
      </c>
      <c r="X47" s="131">
        <f>'Pro Forma Adj'!M47</f>
        <v>0</v>
      </c>
      <c r="Y47" s="129">
        <f>'Pro Forma Adj'!N47</f>
        <v>0</v>
      </c>
      <c r="Z47" s="129">
        <f>'Restating Adj'!S47</f>
        <v>0</v>
      </c>
      <c r="AA47" s="130">
        <f>'Restating Adj'!T47</f>
        <v>0</v>
      </c>
      <c r="AB47" s="132">
        <f>'Restating Adj'!U47+'Pro Forma Adj'!O47</f>
        <v>0</v>
      </c>
      <c r="AC47" s="41">
        <f>'Restating Adj'!V47+'Pro Forma Adj'!P47</f>
        <v>0</v>
      </c>
      <c r="AD47" s="131">
        <f>'Pro Forma Adj'!Q47</f>
        <v>0</v>
      </c>
      <c r="AE47" s="131">
        <f>'Restating Adj'!W47</f>
        <v>0</v>
      </c>
      <c r="AF47" s="131">
        <f>'Pro Forma Adj'!R47</f>
        <v>0</v>
      </c>
      <c r="AG47" s="131">
        <f>'Restating Adj'!X47</f>
        <v>0</v>
      </c>
      <c r="AH47" s="131">
        <f>'Restating Adj'!Y47</f>
        <v>0</v>
      </c>
      <c r="AI47" s="131">
        <f>'Restating Adj'!Z47</f>
        <v>0</v>
      </c>
      <c r="AJ47" s="131">
        <f>'Restating Adj'!AA47</f>
        <v>0</v>
      </c>
      <c r="AK47" s="133">
        <f>'Restating Adj'!AB47</f>
        <v>0</v>
      </c>
      <c r="AL47" s="40">
        <f>'Restating Adj'!AC47</f>
        <v>0</v>
      </c>
      <c r="AM47" s="129">
        <f>'Restating Adj'!AD47</f>
        <v>0</v>
      </c>
      <c r="AN47" s="129">
        <f>'Restating Adj'!AE47</f>
        <v>0</v>
      </c>
      <c r="AO47" s="129">
        <f>'Restating Adj'!AF47</f>
        <v>0</v>
      </c>
      <c r="AP47" s="129">
        <f>'Restating Adj'!AG47</f>
        <v>0</v>
      </c>
      <c r="AQ47" s="129">
        <f>'Restating Adj'!AH47</f>
        <v>0</v>
      </c>
      <c r="AR47" s="129">
        <f>'Restating Adj'!AI47</f>
        <v>0</v>
      </c>
      <c r="AS47" s="129">
        <f>'Restating Adj'!AJ47</f>
        <v>0</v>
      </c>
      <c r="AT47" s="131">
        <f>'Pro Forma Adj'!S47</f>
        <v>0</v>
      </c>
      <c r="AU47" s="129">
        <f>'Restating Adj'!AK47+'Pro Forma Adj'!T47</f>
        <v>0</v>
      </c>
      <c r="AV47" s="129">
        <f>'Restating Adj'!AL47</f>
        <v>0</v>
      </c>
      <c r="AW47" s="130">
        <f>'Pro Forma Adj'!U47</f>
        <v>0</v>
      </c>
      <c r="AX47" s="40">
        <f>'Pro Forma Adj'!V47</f>
        <v>0</v>
      </c>
      <c r="AY47" s="130">
        <f>'Pro Forma Adj'!W47</f>
        <v>0</v>
      </c>
      <c r="BB47" s="235">
        <f>B47-'Page 1.4'!C41</f>
        <v>0</v>
      </c>
    </row>
    <row r="48" spans="1:54">
      <c r="A48" s="18" t="s">
        <v>90</v>
      </c>
      <c r="B48" s="142">
        <f t="shared" si="35"/>
        <v>-2240510.2035326045</v>
      </c>
      <c r="C48" s="41">
        <f>'Restating Adj'!C48</f>
        <v>0</v>
      </c>
      <c r="D48" s="131">
        <f>'Restating Adj'!D48</f>
        <v>0</v>
      </c>
      <c r="E48" s="129">
        <f>'Pro Forma Adj'!C48</f>
        <v>0</v>
      </c>
      <c r="F48" s="129">
        <f>'Restating Adj'!E48</f>
        <v>0</v>
      </c>
      <c r="G48" s="129">
        <f>'Restating Adj'!F48+'Pro Forma Adj'!E48</f>
        <v>0</v>
      </c>
      <c r="H48" s="129">
        <f>'Restating Adj'!G48+'Pro Forma Adj'!F48</f>
        <v>0</v>
      </c>
      <c r="I48" s="130">
        <f>'Pro Forma Adj'!G48</f>
        <v>0</v>
      </c>
      <c r="J48" s="40">
        <f>'Restating Adj'!H48</f>
        <v>0</v>
      </c>
      <c r="K48" s="129">
        <f>'Restating Adj'!I48</f>
        <v>0</v>
      </c>
      <c r="L48" s="131">
        <f>'Pro Forma Adj'!H48</f>
        <v>0</v>
      </c>
      <c r="M48" s="129">
        <f>'Pro Forma Adj'!I48</f>
        <v>0</v>
      </c>
      <c r="N48" s="131">
        <f>'Restating Adj'!J48</f>
        <v>0</v>
      </c>
      <c r="O48" s="129">
        <f>'Restating Adj'!K48+'Pro Forma Adj'!J48</f>
        <v>0</v>
      </c>
      <c r="P48" s="129">
        <f>'Restating Adj'!L48</f>
        <v>0</v>
      </c>
      <c r="Q48" s="129">
        <f>'Restating Adj'!M48</f>
        <v>0</v>
      </c>
      <c r="R48" s="129">
        <f>'Restating Adj'!N48+'Pro Forma Adj'!K48</f>
        <v>0</v>
      </c>
      <c r="S48" s="129">
        <f>'Restating Adj'!O48</f>
        <v>0</v>
      </c>
      <c r="T48" s="129">
        <f>'Pro Forma Adj'!L48</f>
        <v>0</v>
      </c>
      <c r="U48" s="129">
        <f>'Restating Adj'!P48</f>
        <v>0</v>
      </c>
      <c r="V48" s="130">
        <f>'Restating Adj'!Q48</f>
        <v>0</v>
      </c>
      <c r="W48" s="40">
        <f>'Restating Adj'!R48</f>
        <v>0</v>
      </c>
      <c r="X48" s="131">
        <f>'Pro Forma Adj'!M48</f>
        <v>0</v>
      </c>
      <c r="Y48" s="129">
        <f>'Pro Forma Adj'!N48</f>
        <v>0</v>
      </c>
      <c r="Z48" s="129">
        <f>'Restating Adj'!S48</f>
        <v>0</v>
      </c>
      <c r="AA48" s="130">
        <f>'Restating Adj'!T48</f>
        <v>0</v>
      </c>
      <c r="AB48" s="132">
        <f>'Restating Adj'!U48+'Pro Forma Adj'!O48</f>
        <v>0</v>
      </c>
      <c r="AC48" s="41">
        <f>'Restating Adj'!V48+'Pro Forma Adj'!P48</f>
        <v>0</v>
      </c>
      <c r="AD48" s="131">
        <f>'Pro Forma Adj'!Q48</f>
        <v>0</v>
      </c>
      <c r="AE48" s="131">
        <f>'Restating Adj'!W48</f>
        <v>0</v>
      </c>
      <c r="AF48" s="131">
        <f>'Pro Forma Adj'!R48</f>
        <v>0</v>
      </c>
      <c r="AG48" s="131">
        <f>'Restating Adj'!X48</f>
        <v>0</v>
      </c>
      <c r="AH48" s="131">
        <f>'Restating Adj'!Y48</f>
        <v>0</v>
      </c>
      <c r="AI48" s="131">
        <f>'Restating Adj'!Z48</f>
        <v>0</v>
      </c>
      <c r="AJ48" s="131">
        <f>'Restating Adj'!AA48</f>
        <v>0</v>
      </c>
      <c r="AK48" s="133">
        <f>'Restating Adj'!AB48</f>
        <v>0</v>
      </c>
      <c r="AL48" s="40">
        <f>'Restating Adj'!AC48</f>
        <v>0</v>
      </c>
      <c r="AM48" s="129">
        <f>'Restating Adj'!AD48</f>
        <v>0</v>
      </c>
      <c r="AN48" s="129">
        <f>'Restating Adj'!AE48</f>
        <v>0</v>
      </c>
      <c r="AO48" s="129">
        <f>'Restating Adj'!AF48</f>
        <v>0</v>
      </c>
      <c r="AP48" s="129">
        <f>'Restating Adj'!AG48</f>
        <v>0</v>
      </c>
      <c r="AQ48" s="129">
        <f>'Restating Adj'!AH48</f>
        <v>-1858462.383879981</v>
      </c>
      <c r="AR48" s="129">
        <f>'Restating Adj'!AI48</f>
        <v>-382047.81965262367</v>
      </c>
      <c r="AS48" s="129">
        <f>'Restating Adj'!AJ48</f>
        <v>0</v>
      </c>
      <c r="AT48" s="131">
        <f>'Pro Forma Adj'!S48</f>
        <v>0</v>
      </c>
      <c r="AU48" s="129">
        <f>'Restating Adj'!AK48+'Pro Forma Adj'!T48</f>
        <v>0</v>
      </c>
      <c r="AV48" s="129">
        <f>'Restating Adj'!AL48</f>
        <v>0</v>
      </c>
      <c r="AW48" s="130">
        <f>'Pro Forma Adj'!U48</f>
        <v>0</v>
      </c>
      <c r="AX48" s="40">
        <f>'Pro Forma Adj'!V48</f>
        <v>0</v>
      </c>
      <c r="AY48" s="130">
        <f>'Pro Forma Adj'!W48</f>
        <v>0</v>
      </c>
      <c r="BB48" s="235">
        <f>B48-'Page 1.4'!C42</f>
        <v>0</v>
      </c>
    </row>
    <row r="49" spans="1:54">
      <c r="A49" s="18" t="s">
        <v>91</v>
      </c>
      <c r="B49" s="142">
        <f t="shared" si="35"/>
        <v>-4907986.4739838867</v>
      </c>
      <c r="C49" s="41">
        <f>'Restating Adj'!C49</f>
        <v>0</v>
      </c>
      <c r="D49" s="131">
        <f>'Restating Adj'!D49</f>
        <v>0</v>
      </c>
      <c r="E49" s="129">
        <f>'Pro Forma Adj'!C49</f>
        <v>0</v>
      </c>
      <c r="F49" s="129">
        <f>'Restating Adj'!E49</f>
        <v>0</v>
      </c>
      <c r="G49" s="129">
        <f>'Restating Adj'!F49+'Pro Forma Adj'!E49</f>
        <v>0</v>
      </c>
      <c r="H49" s="129">
        <f>'Restating Adj'!G49+'Pro Forma Adj'!F49</f>
        <v>0</v>
      </c>
      <c r="I49" s="130">
        <f>'Pro Forma Adj'!G49</f>
        <v>0</v>
      </c>
      <c r="J49" s="40">
        <f>'Restating Adj'!H49</f>
        <v>0</v>
      </c>
      <c r="K49" s="129">
        <f>'Restating Adj'!I49</f>
        <v>0</v>
      </c>
      <c r="L49" s="131">
        <f>'Pro Forma Adj'!H49</f>
        <v>0</v>
      </c>
      <c r="M49" s="129">
        <f>'Pro Forma Adj'!I49</f>
        <v>0</v>
      </c>
      <c r="N49" s="131">
        <f>'Restating Adj'!J49</f>
        <v>0</v>
      </c>
      <c r="O49" s="129">
        <f>'Restating Adj'!K49+'Pro Forma Adj'!J49</f>
        <v>0</v>
      </c>
      <c r="P49" s="129">
        <f>'Restating Adj'!L49</f>
        <v>0</v>
      </c>
      <c r="Q49" s="129">
        <f>'Restating Adj'!M49</f>
        <v>0</v>
      </c>
      <c r="R49" s="129">
        <f>'Restating Adj'!N49+'Pro Forma Adj'!K49</f>
        <v>0</v>
      </c>
      <c r="S49" s="129">
        <f>'Restating Adj'!O49</f>
        <v>0</v>
      </c>
      <c r="T49" s="129">
        <f>'Pro Forma Adj'!L49</f>
        <v>0</v>
      </c>
      <c r="U49" s="129">
        <f>'Restating Adj'!P49</f>
        <v>0</v>
      </c>
      <c r="V49" s="130">
        <f>'Restating Adj'!Q49</f>
        <v>0</v>
      </c>
      <c r="W49" s="40">
        <f>'Restating Adj'!R49</f>
        <v>0</v>
      </c>
      <c r="X49" s="131">
        <f>'Pro Forma Adj'!M49</f>
        <v>0</v>
      </c>
      <c r="Y49" s="129">
        <f>'Pro Forma Adj'!N49</f>
        <v>0</v>
      </c>
      <c r="Z49" s="129">
        <f>'Restating Adj'!S49</f>
        <v>0</v>
      </c>
      <c r="AA49" s="130">
        <f>'Restating Adj'!T49</f>
        <v>0</v>
      </c>
      <c r="AB49" s="132">
        <f>'Restating Adj'!U49+'Pro Forma Adj'!O49</f>
        <v>0</v>
      </c>
      <c r="AC49" s="41">
        <f>'Restating Adj'!V49+'Pro Forma Adj'!P49</f>
        <v>0</v>
      </c>
      <c r="AD49" s="131">
        <f>'Pro Forma Adj'!Q49</f>
        <v>0</v>
      </c>
      <c r="AE49" s="131">
        <f>'Restating Adj'!W49</f>
        <v>0</v>
      </c>
      <c r="AF49" s="131">
        <f>'Pro Forma Adj'!R49</f>
        <v>0</v>
      </c>
      <c r="AG49" s="131">
        <f>'Restating Adj'!X49</f>
        <v>0</v>
      </c>
      <c r="AH49" s="131">
        <f>'Restating Adj'!Y49</f>
        <v>0</v>
      </c>
      <c r="AI49" s="131">
        <f>'Restating Adj'!Z49</f>
        <v>0</v>
      </c>
      <c r="AJ49" s="131">
        <f>'Restating Adj'!AA49</f>
        <v>0</v>
      </c>
      <c r="AK49" s="133">
        <f>'Restating Adj'!AB49</f>
        <v>0</v>
      </c>
      <c r="AL49" s="40">
        <f>'Restating Adj'!AC49</f>
        <v>0</v>
      </c>
      <c r="AM49" s="129">
        <f>'Restating Adj'!AD49</f>
        <v>0</v>
      </c>
      <c r="AN49" s="129">
        <f>'Restating Adj'!AE49</f>
        <v>0</v>
      </c>
      <c r="AO49" s="129">
        <f>'Restating Adj'!AF49</f>
        <v>0</v>
      </c>
      <c r="AP49" s="129">
        <f>'Restating Adj'!AG49</f>
        <v>0</v>
      </c>
      <c r="AQ49" s="129">
        <f>'Restating Adj'!AH49</f>
        <v>-4907986.4739838867</v>
      </c>
      <c r="AR49" s="129">
        <f>'Restating Adj'!AI49</f>
        <v>0</v>
      </c>
      <c r="AS49" s="129">
        <f>'Restating Adj'!AJ49</f>
        <v>0</v>
      </c>
      <c r="AT49" s="131">
        <f>'Pro Forma Adj'!S49</f>
        <v>0</v>
      </c>
      <c r="AU49" s="129">
        <f>'Restating Adj'!AK49+'Pro Forma Adj'!T49</f>
        <v>0</v>
      </c>
      <c r="AV49" s="129">
        <f>'Restating Adj'!AL49</f>
        <v>0</v>
      </c>
      <c r="AW49" s="130">
        <f>'Pro Forma Adj'!U49</f>
        <v>0</v>
      </c>
      <c r="AX49" s="40">
        <f>'Pro Forma Adj'!V49</f>
        <v>0</v>
      </c>
      <c r="AY49" s="130">
        <f>'Pro Forma Adj'!W49</f>
        <v>0</v>
      </c>
      <c r="BB49" s="235">
        <f>B49-'Page 1.4'!C43</f>
        <v>0</v>
      </c>
    </row>
    <row r="50" spans="1:54">
      <c r="A50" s="18" t="s">
        <v>92</v>
      </c>
      <c r="B50" s="142">
        <f t="shared" si="35"/>
        <v>-7435680.6054583685</v>
      </c>
      <c r="C50" s="41">
        <f>'Restating Adj'!C50</f>
        <v>0</v>
      </c>
      <c r="D50" s="131">
        <f>'Restating Adj'!D50</f>
        <v>0</v>
      </c>
      <c r="E50" s="129">
        <f>'Pro Forma Adj'!C50</f>
        <v>0</v>
      </c>
      <c r="F50" s="129">
        <f>'Restating Adj'!E50</f>
        <v>0</v>
      </c>
      <c r="G50" s="129">
        <f>'Restating Adj'!F50+'Pro Forma Adj'!E50</f>
        <v>0</v>
      </c>
      <c r="H50" s="129">
        <f>'Restating Adj'!G50+'Pro Forma Adj'!F50</f>
        <v>0</v>
      </c>
      <c r="I50" s="130">
        <f>'Pro Forma Adj'!G50</f>
        <v>0</v>
      </c>
      <c r="J50" s="40">
        <f>'Restating Adj'!H50</f>
        <v>0</v>
      </c>
      <c r="K50" s="129">
        <f>'Restating Adj'!I50</f>
        <v>0</v>
      </c>
      <c r="L50" s="131">
        <f>'Pro Forma Adj'!H50</f>
        <v>0</v>
      </c>
      <c r="M50" s="129">
        <f>'Pro Forma Adj'!I50</f>
        <v>0</v>
      </c>
      <c r="N50" s="131">
        <f>'Restating Adj'!J50</f>
        <v>0</v>
      </c>
      <c r="O50" s="129">
        <f>'Restating Adj'!K50+'Pro Forma Adj'!J50</f>
        <v>0</v>
      </c>
      <c r="P50" s="129">
        <f>'Restating Adj'!L50</f>
        <v>0</v>
      </c>
      <c r="Q50" s="129">
        <f>'Restating Adj'!M50</f>
        <v>0</v>
      </c>
      <c r="R50" s="129">
        <f>'Restating Adj'!N50+'Pro Forma Adj'!K50</f>
        <v>0</v>
      </c>
      <c r="S50" s="129">
        <f>'Restating Adj'!O50</f>
        <v>0</v>
      </c>
      <c r="T50" s="129">
        <f>'Pro Forma Adj'!L50</f>
        <v>0</v>
      </c>
      <c r="U50" s="129">
        <f>'Restating Adj'!P50</f>
        <v>0</v>
      </c>
      <c r="V50" s="130">
        <f>'Restating Adj'!Q50</f>
        <v>0</v>
      </c>
      <c r="W50" s="40">
        <f>'Restating Adj'!R50</f>
        <v>0</v>
      </c>
      <c r="X50" s="131">
        <f>'Pro Forma Adj'!M50</f>
        <v>0</v>
      </c>
      <c r="Y50" s="129">
        <f>'Pro Forma Adj'!N50</f>
        <v>0</v>
      </c>
      <c r="Z50" s="129">
        <f>'Restating Adj'!S50</f>
        <v>0</v>
      </c>
      <c r="AA50" s="130">
        <f>'Restating Adj'!T50</f>
        <v>0</v>
      </c>
      <c r="AB50" s="132">
        <f>'Restating Adj'!U50+'Pro Forma Adj'!O50</f>
        <v>0</v>
      </c>
      <c r="AC50" s="41">
        <f>'Restating Adj'!V50+'Pro Forma Adj'!P50</f>
        <v>0</v>
      </c>
      <c r="AD50" s="131">
        <f>'Pro Forma Adj'!Q50</f>
        <v>0</v>
      </c>
      <c r="AE50" s="131">
        <f>'Restating Adj'!W50</f>
        <v>0</v>
      </c>
      <c r="AF50" s="131">
        <f>'Pro Forma Adj'!R50</f>
        <v>0</v>
      </c>
      <c r="AG50" s="131">
        <f>'Restating Adj'!X50</f>
        <v>0</v>
      </c>
      <c r="AH50" s="131">
        <f>'Restating Adj'!Y50</f>
        <v>0</v>
      </c>
      <c r="AI50" s="131">
        <f>'Restating Adj'!Z50</f>
        <v>0</v>
      </c>
      <c r="AJ50" s="131">
        <f>'Restating Adj'!AA50</f>
        <v>0</v>
      </c>
      <c r="AK50" s="133">
        <f>'Restating Adj'!AB50</f>
        <v>0</v>
      </c>
      <c r="AL50" s="40">
        <f>'Restating Adj'!AC50</f>
        <v>0</v>
      </c>
      <c r="AM50" s="129">
        <f>'Restating Adj'!AD50</f>
        <v>0</v>
      </c>
      <c r="AN50" s="129">
        <f>'Restating Adj'!AE50</f>
        <v>0</v>
      </c>
      <c r="AO50" s="129">
        <f>'Restating Adj'!AF50</f>
        <v>0</v>
      </c>
      <c r="AP50" s="129">
        <f>'Restating Adj'!AG50</f>
        <v>0</v>
      </c>
      <c r="AQ50" s="129">
        <f>'Restating Adj'!AH50</f>
        <v>-7435680.6054583685</v>
      </c>
      <c r="AR50" s="129">
        <f>'Restating Adj'!AI50</f>
        <v>0</v>
      </c>
      <c r="AS50" s="129">
        <f>'Restating Adj'!AJ50</f>
        <v>0</v>
      </c>
      <c r="AT50" s="131">
        <f>'Pro Forma Adj'!S50</f>
        <v>0</v>
      </c>
      <c r="AU50" s="129">
        <f>'Restating Adj'!AK50+'Pro Forma Adj'!T50</f>
        <v>0</v>
      </c>
      <c r="AV50" s="129">
        <f>'Restating Adj'!AL50</f>
        <v>0</v>
      </c>
      <c r="AW50" s="130">
        <f>'Pro Forma Adj'!U50</f>
        <v>0</v>
      </c>
      <c r="AX50" s="40">
        <f>'Pro Forma Adj'!V50</f>
        <v>0</v>
      </c>
      <c r="AY50" s="130">
        <f>'Pro Forma Adj'!W50</f>
        <v>0</v>
      </c>
      <c r="BB50" s="235">
        <f>B50-'Page 1.4'!C44</f>
        <v>0</v>
      </c>
    </row>
    <row r="51" spans="1:54">
      <c r="A51" s="18" t="s">
        <v>93</v>
      </c>
      <c r="B51" s="142">
        <f t="shared" si="35"/>
        <v>-3098080.8131170203</v>
      </c>
      <c r="C51" s="41">
        <f>'Restating Adj'!C51</f>
        <v>0</v>
      </c>
      <c r="D51" s="131">
        <f>'Restating Adj'!D51</f>
        <v>0</v>
      </c>
      <c r="E51" s="129">
        <f>'Pro Forma Adj'!C51</f>
        <v>0</v>
      </c>
      <c r="F51" s="129">
        <f>'Restating Adj'!E51</f>
        <v>0</v>
      </c>
      <c r="G51" s="129">
        <f>'Restating Adj'!F51+'Pro Forma Adj'!E51</f>
        <v>0</v>
      </c>
      <c r="H51" s="129">
        <f>'Restating Adj'!G51+'Pro Forma Adj'!F51</f>
        <v>0</v>
      </c>
      <c r="I51" s="130">
        <f>'Pro Forma Adj'!G51</f>
        <v>0</v>
      </c>
      <c r="J51" s="40">
        <f>'Restating Adj'!H51</f>
        <v>0</v>
      </c>
      <c r="K51" s="129">
        <f>'Restating Adj'!I51</f>
        <v>0</v>
      </c>
      <c r="L51" s="131">
        <f>'Pro Forma Adj'!H51</f>
        <v>0</v>
      </c>
      <c r="M51" s="129">
        <f>'Pro Forma Adj'!I51</f>
        <v>0</v>
      </c>
      <c r="N51" s="131">
        <f>'Restating Adj'!J51</f>
        <v>0</v>
      </c>
      <c r="O51" s="129">
        <f>'Restating Adj'!K51+'Pro Forma Adj'!J51</f>
        <v>0</v>
      </c>
      <c r="P51" s="129">
        <f>'Restating Adj'!L51</f>
        <v>0</v>
      </c>
      <c r="Q51" s="129">
        <f>'Restating Adj'!M51</f>
        <v>0</v>
      </c>
      <c r="R51" s="129">
        <f>'Restating Adj'!N51+'Pro Forma Adj'!K51</f>
        <v>0</v>
      </c>
      <c r="S51" s="129">
        <f>'Restating Adj'!O51</f>
        <v>0</v>
      </c>
      <c r="T51" s="129">
        <f>'Pro Forma Adj'!L51</f>
        <v>0</v>
      </c>
      <c r="U51" s="129">
        <f>'Restating Adj'!P51</f>
        <v>0</v>
      </c>
      <c r="V51" s="130">
        <f>'Restating Adj'!Q51</f>
        <v>0</v>
      </c>
      <c r="W51" s="40">
        <f>'Restating Adj'!R51</f>
        <v>0</v>
      </c>
      <c r="X51" s="131">
        <f>'Pro Forma Adj'!M51</f>
        <v>0</v>
      </c>
      <c r="Y51" s="129">
        <f>'Pro Forma Adj'!N51</f>
        <v>0</v>
      </c>
      <c r="Z51" s="129">
        <f>'Restating Adj'!S51</f>
        <v>0</v>
      </c>
      <c r="AA51" s="130">
        <f>'Restating Adj'!T51</f>
        <v>0</v>
      </c>
      <c r="AB51" s="132">
        <f>'Restating Adj'!U51+'Pro Forma Adj'!O51</f>
        <v>0</v>
      </c>
      <c r="AC51" s="41">
        <f>'Restating Adj'!V51+'Pro Forma Adj'!P51</f>
        <v>0</v>
      </c>
      <c r="AD51" s="131">
        <f>'Pro Forma Adj'!Q51</f>
        <v>0</v>
      </c>
      <c r="AE51" s="131">
        <f>'Restating Adj'!W51</f>
        <v>0</v>
      </c>
      <c r="AF51" s="131">
        <f>'Pro Forma Adj'!R51</f>
        <v>0</v>
      </c>
      <c r="AG51" s="131">
        <f>'Restating Adj'!X51</f>
        <v>0</v>
      </c>
      <c r="AH51" s="131">
        <f>'Restating Adj'!Y51</f>
        <v>0</v>
      </c>
      <c r="AI51" s="131">
        <f>'Restating Adj'!Z51</f>
        <v>0</v>
      </c>
      <c r="AJ51" s="131">
        <f>'Restating Adj'!AA51</f>
        <v>0</v>
      </c>
      <c r="AK51" s="133">
        <f>'Restating Adj'!AB51</f>
        <v>0</v>
      </c>
      <c r="AL51" s="40">
        <f>'Restating Adj'!AC51</f>
        <v>0</v>
      </c>
      <c r="AM51" s="129">
        <f>'Restating Adj'!AD51</f>
        <v>0</v>
      </c>
      <c r="AN51" s="129">
        <f>'Restating Adj'!AE51</f>
        <v>0</v>
      </c>
      <c r="AO51" s="129">
        <f>'Restating Adj'!AF51</f>
        <v>0</v>
      </c>
      <c r="AP51" s="129">
        <f>'Restating Adj'!AG51</f>
        <v>0</v>
      </c>
      <c r="AQ51" s="129">
        <f>'Restating Adj'!AH51</f>
        <v>-3098080.8131170203</v>
      </c>
      <c r="AR51" s="129">
        <f>'Restating Adj'!AI51</f>
        <v>0</v>
      </c>
      <c r="AS51" s="129">
        <f>'Restating Adj'!AJ51</f>
        <v>0</v>
      </c>
      <c r="AT51" s="131">
        <f>'Pro Forma Adj'!S51</f>
        <v>0</v>
      </c>
      <c r="AU51" s="129">
        <f>'Restating Adj'!AK51+'Pro Forma Adj'!T51</f>
        <v>0</v>
      </c>
      <c r="AV51" s="129">
        <f>'Restating Adj'!AL51</f>
        <v>0</v>
      </c>
      <c r="AW51" s="130">
        <f>'Pro Forma Adj'!U51</f>
        <v>0</v>
      </c>
      <c r="AX51" s="40">
        <f>'Pro Forma Adj'!V51</f>
        <v>0</v>
      </c>
      <c r="AY51" s="130">
        <f>'Pro Forma Adj'!W51</f>
        <v>0</v>
      </c>
      <c r="BB51" s="235">
        <f>B51-'Page 1.4'!C45</f>
        <v>0</v>
      </c>
    </row>
    <row r="52" spans="1:54">
      <c r="A52" s="18" t="s">
        <v>94</v>
      </c>
      <c r="B52" s="142">
        <f t="shared" si="35"/>
        <v>0</v>
      </c>
      <c r="C52" s="41">
        <f>'Restating Adj'!C52</f>
        <v>0</v>
      </c>
      <c r="D52" s="131">
        <f>'Restating Adj'!D52</f>
        <v>0</v>
      </c>
      <c r="E52" s="129">
        <f>'Pro Forma Adj'!C52</f>
        <v>0</v>
      </c>
      <c r="F52" s="129">
        <f>'Restating Adj'!E52</f>
        <v>0</v>
      </c>
      <c r="G52" s="129">
        <f>'Restating Adj'!F52+'Pro Forma Adj'!E52</f>
        <v>0</v>
      </c>
      <c r="H52" s="129">
        <f>'Restating Adj'!G52+'Pro Forma Adj'!F52</f>
        <v>0</v>
      </c>
      <c r="I52" s="130">
        <f>'Pro Forma Adj'!G52</f>
        <v>0</v>
      </c>
      <c r="J52" s="40">
        <f>'Restating Adj'!H52</f>
        <v>0</v>
      </c>
      <c r="K52" s="129">
        <f>'Restating Adj'!I52</f>
        <v>0</v>
      </c>
      <c r="L52" s="131">
        <f>'Pro Forma Adj'!H52</f>
        <v>0</v>
      </c>
      <c r="M52" s="129">
        <f>'Pro Forma Adj'!I52</f>
        <v>0</v>
      </c>
      <c r="N52" s="131">
        <f>'Restating Adj'!J52</f>
        <v>0</v>
      </c>
      <c r="O52" s="129">
        <f>'Restating Adj'!K52+'Pro Forma Adj'!J52</f>
        <v>0</v>
      </c>
      <c r="P52" s="129">
        <f>'Restating Adj'!L52</f>
        <v>0</v>
      </c>
      <c r="Q52" s="129">
        <f>'Restating Adj'!M52</f>
        <v>0</v>
      </c>
      <c r="R52" s="129">
        <f>'Restating Adj'!N52+'Pro Forma Adj'!K52</f>
        <v>0</v>
      </c>
      <c r="S52" s="129">
        <f>'Restating Adj'!O52</f>
        <v>0</v>
      </c>
      <c r="T52" s="129">
        <f>'Pro Forma Adj'!L52</f>
        <v>0</v>
      </c>
      <c r="U52" s="129">
        <f>'Restating Adj'!P52</f>
        <v>0</v>
      </c>
      <c r="V52" s="130">
        <f>'Restating Adj'!Q52</f>
        <v>0</v>
      </c>
      <c r="W52" s="40">
        <f>'Restating Adj'!R52</f>
        <v>0</v>
      </c>
      <c r="X52" s="131">
        <f>'Pro Forma Adj'!M52</f>
        <v>0</v>
      </c>
      <c r="Y52" s="129">
        <f>'Pro Forma Adj'!N52</f>
        <v>0</v>
      </c>
      <c r="Z52" s="129">
        <f>'Restating Adj'!S52</f>
        <v>0</v>
      </c>
      <c r="AA52" s="130">
        <f>'Restating Adj'!T52</f>
        <v>0</v>
      </c>
      <c r="AB52" s="132">
        <f>'Restating Adj'!U52+'Pro Forma Adj'!O52</f>
        <v>0</v>
      </c>
      <c r="AC52" s="41">
        <f>'Restating Adj'!V52+'Pro Forma Adj'!P52</f>
        <v>0</v>
      </c>
      <c r="AD52" s="131">
        <f>'Pro Forma Adj'!Q52</f>
        <v>0</v>
      </c>
      <c r="AE52" s="131">
        <f>'Restating Adj'!W52</f>
        <v>0</v>
      </c>
      <c r="AF52" s="131">
        <f>'Pro Forma Adj'!R52</f>
        <v>0</v>
      </c>
      <c r="AG52" s="131">
        <f>'Restating Adj'!X52</f>
        <v>0</v>
      </c>
      <c r="AH52" s="131">
        <f>'Restating Adj'!Y52</f>
        <v>0</v>
      </c>
      <c r="AI52" s="131">
        <f>'Restating Adj'!Z52</f>
        <v>0</v>
      </c>
      <c r="AJ52" s="131">
        <f>'Restating Adj'!AA52</f>
        <v>0</v>
      </c>
      <c r="AK52" s="133">
        <f>'Restating Adj'!AB52</f>
        <v>0</v>
      </c>
      <c r="AL52" s="40">
        <f>'Restating Adj'!AC52</f>
        <v>0</v>
      </c>
      <c r="AM52" s="129">
        <f>'Restating Adj'!AD52</f>
        <v>0</v>
      </c>
      <c r="AN52" s="129">
        <f>'Restating Adj'!AE52</f>
        <v>0</v>
      </c>
      <c r="AO52" s="129">
        <f>'Restating Adj'!AF52</f>
        <v>0</v>
      </c>
      <c r="AP52" s="129">
        <f>'Restating Adj'!AG52</f>
        <v>0</v>
      </c>
      <c r="AQ52" s="129">
        <f>'Restating Adj'!AH52</f>
        <v>0</v>
      </c>
      <c r="AR52" s="129">
        <f>'Restating Adj'!AI52</f>
        <v>0</v>
      </c>
      <c r="AS52" s="129">
        <f>'Restating Adj'!AJ52</f>
        <v>0</v>
      </c>
      <c r="AT52" s="131">
        <f>'Pro Forma Adj'!S52</f>
        <v>0</v>
      </c>
      <c r="AU52" s="129">
        <f>'Restating Adj'!AK52+'Pro Forma Adj'!T52</f>
        <v>0</v>
      </c>
      <c r="AV52" s="129">
        <f>'Restating Adj'!AL52</f>
        <v>0</v>
      </c>
      <c r="AW52" s="130">
        <f>'Pro Forma Adj'!U52</f>
        <v>0</v>
      </c>
      <c r="AX52" s="40">
        <f>'Pro Forma Adj'!V52</f>
        <v>0</v>
      </c>
      <c r="AY52" s="130">
        <f>'Pro Forma Adj'!W52</f>
        <v>0</v>
      </c>
      <c r="BB52" s="235">
        <f>B52-'Page 1.4'!C46</f>
        <v>0</v>
      </c>
    </row>
    <row r="53" spans="1:54">
      <c r="A53" s="18" t="s">
        <v>95</v>
      </c>
      <c r="B53" s="142">
        <f t="shared" si="35"/>
        <v>-102468.75195108727</v>
      </c>
      <c r="C53" s="41">
        <f>'Restating Adj'!C53</f>
        <v>0</v>
      </c>
      <c r="D53" s="131">
        <f>'Restating Adj'!D53</f>
        <v>0</v>
      </c>
      <c r="E53" s="129">
        <f>'Pro Forma Adj'!C53</f>
        <v>0</v>
      </c>
      <c r="F53" s="129">
        <f>'Restating Adj'!E53</f>
        <v>0</v>
      </c>
      <c r="G53" s="129">
        <f>'Restating Adj'!F53+'Pro Forma Adj'!E53</f>
        <v>0</v>
      </c>
      <c r="H53" s="129">
        <f>'Restating Adj'!G53+'Pro Forma Adj'!F53</f>
        <v>0</v>
      </c>
      <c r="I53" s="130">
        <f>'Pro Forma Adj'!G53</f>
        <v>0</v>
      </c>
      <c r="J53" s="40">
        <f>'Restating Adj'!H53</f>
        <v>0</v>
      </c>
      <c r="K53" s="129">
        <f>'Restating Adj'!I53</f>
        <v>0</v>
      </c>
      <c r="L53" s="131">
        <f>'Pro Forma Adj'!H53</f>
        <v>0</v>
      </c>
      <c r="M53" s="129">
        <f>'Pro Forma Adj'!I53</f>
        <v>0</v>
      </c>
      <c r="N53" s="131">
        <f>'Restating Adj'!J53</f>
        <v>0</v>
      </c>
      <c r="O53" s="129">
        <f>'Restating Adj'!K53+'Pro Forma Adj'!J53</f>
        <v>0</v>
      </c>
      <c r="P53" s="129">
        <f>'Restating Adj'!L53</f>
        <v>0</v>
      </c>
      <c r="Q53" s="129">
        <f>'Restating Adj'!M53</f>
        <v>0</v>
      </c>
      <c r="R53" s="129">
        <f>'Restating Adj'!N53+'Pro Forma Adj'!K53</f>
        <v>0</v>
      </c>
      <c r="S53" s="129">
        <f>'Restating Adj'!O53</f>
        <v>0</v>
      </c>
      <c r="T53" s="129">
        <f>'Pro Forma Adj'!L53</f>
        <v>0</v>
      </c>
      <c r="U53" s="129">
        <f>'Restating Adj'!P53</f>
        <v>0</v>
      </c>
      <c r="V53" s="130">
        <f>'Restating Adj'!Q53</f>
        <v>0</v>
      </c>
      <c r="W53" s="40">
        <f>'Restating Adj'!R53</f>
        <v>0</v>
      </c>
      <c r="X53" s="131">
        <f>'Pro Forma Adj'!M53</f>
        <v>0</v>
      </c>
      <c r="Y53" s="129">
        <f>'Pro Forma Adj'!N53</f>
        <v>0</v>
      </c>
      <c r="Z53" s="129">
        <f>'Restating Adj'!S53</f>
        <v>0</v>
      </c>
      <c r="AA53" s="130">
        <f>'Restating Adj'!T53</f>
        <v>0</v>
      </c>
      <c r="AB53" s="132">
        <f>'Restating Adj'!U53+'Pro Forma Adj'!O53</f>
        <v>0</v>
      </c>
      <c r="AC53" s="41">
        <f>'Restating Adj'!V53+'Pro Forma Adj'!P53</f>
        <v>0</v>
      </c>
      <c r="AD53" s="131">
        <f>'Pro Forma Adj'!Q53</f>
        <v>0</v>
      </c>
      <c r="AE53" s="131">
        <f>'Restating Adj'!W53</f>
        <v>0</v>
      </c>
      <c r="AF53" s="131">
        <f>'Pro Forma Adj'!R53</f>
        <v>0</v>
      </c>
      <c r="AG53" s="131">
        <f>'Restating Adj'!X53</f>
        <v>0</v>
      </c>
      <c r="AH53" s="131">
        <f>'Restating Adj'!Y53</f>
        <v>0</v>
      </c>
      <c r="AI53" s="131">
        <f>'Restating Adj'!Z53</f>
        <v>0</v>
      </c>
      <c r="AJ53" s="131">
        <f>'Restating Adj'!AA53</f>
        <v>0</v>
      </c>
      <c r="AK53" s="133">
        <f>'Restating Adj'!AB53</f>
        <v>0</v>
      </c>
      <c r="AL53" s="40">
        <f>'Restating Adj'!AC53</f>
        <v>0</v>
      </c>
      <c r="AM53" s="129">
        <f>'Restating Adj'!AD53</f>
        <v>0</v>
      </c>
      <c r="AN53" s="129">
        <f>'Restating Adj'!AE53</f>
        <v>0</v>
      </c>
      <c r="AO53" s="129">
        <f>'Restating Adj'!AF53</f>
        <v>0</v>
      </c>
      <c r="AP53" s="129">
        <f>'Restating Adj'!AG53</f>
        <v>0</v>
      </c>
      <c r="AQ53" s="129">
        <f>'Restating Adj'!AH53</f>
        <v>0</v>
      </c>
      <c r="AR53" s="129">
        <f>'Restating Adj'!AI53</f>
        <v>0</v>
      </c>
      <c r="AS53" s="129">
        <f>'Restating Adj'!AJ53</f>
        <v>0</v>
      </c>
      <c r="AT53" s="131">
        <f>'Pro Forma Adj'!S53</f>
        <v>0</v>
      </c>
      <c r="AU53" s="129">
        <f>'Restating Adj'!AK53+'Pro Forma Adj'!T53</f>
        <v>0</v>
      </c>
      <c r="AV53" s="129">
        <f>'Restating Adj'!AL53</f>
        <v>-102468.75195108727</v>
      </c>
      <c r="AW53" s="130">
        <f>'Pro Forma Adj'!U53</f>
        <v>0</v>
      </c>
      <c r="AX53" s="40">
        <f>'Pro Forma Adj'!V53</f>
        <v>0</v>
      </c>
      <c r="AY53" s="130">
        <f>'Pro Forma Adj'!W53</f>
        <v>0</v>
      </c>
      <c r="BB53" s="235">
        <f>B53-'Page 1.4'!C47</f>
        <v>0</v>
      </c>
    </row>
    <row r="54" spans="1:54">
      <c r="A54" s="18" t="s">
        <v>96</v>
      </c>
      <c r="B54" s="247">
        <f t="shared" si="35"/>
        <v>-7487259.4707378643</v>
      </c>
      <c r="C54" s="45">
        <f>SUM(C43:C53)</f>
        <v>0</v>
      </c>
      <c r="D54" s="145">
        <f t="shared" ref="D54:AU54" si="36">SUM(D43:D53)</f>
        <v>0</v>
      </c>
      <c r="E54" s="145">
        <f t="shared" ref="E54" si="37">SUM(E43:E53)</f>
        <v>0</v>
      </c>
      <c r="F54" s="145">
        <f t="shared" si="36"/>
        <v>0</v>
      </c>
      <c r="G54" s="145">
        <f t="shared" si="36"/>
        <v>0</v>
      </c>
      <c r="H54" s="145">
        <f t="shared" si="36"/>
        <v>0</v>
      </c>
      <c r="I54" s="146">
        <f t="shared" si="36"/>
        <v>0</v>
      </c>
      <c r="J54" s="45">
        <f t="shared" si="36"/>
        <v>0</v>
      </c>
      <c r="K54" s="145">
        <f t="shared" si="36"/>
        <v>0</v>
      </c>
      <c r="L54" s="145">
        <f t="shared" ref="L54:M54" si="38">SUM(L43:L53)</f>
        <v>0</v>
      </c>
      <c r="M54" s="145">
        <f t="shared" si="38"/>
        <v>-2012269.6840151576</v>
      </c>
      <c r="N54" s="145">
        <f t="shared" si="36"/>
        <v>0</v>
      </c>
      <c r="O54" s="145">
        <f t="shared" si="36"/>
        <v>0</v>
      </c>
      <c r="P54" s="145">
        <f t="shared" si="36"/>
        <v>0</v>
      </c>
      <c r="Q54" s="145">
        <f t="shared" ref="Q54:V54" si="39">SUM(Q43:Q53)</f>
        <v>0</v>
      </c>
      <c r="R54" s="145">
        <f t="shared" si="39"/>
        <v>-79630.904999999548</v>
      </c>
      <c r="S54" s="145">
        <f t="shared" si="39"/>
        <v>0</v>
      </c>
      <c r="T54" s="145">
        <f t="shared" si="39"/>
        <v>0</v>
      </c>
      <c r="U54" s="145">
        <f t="shared" si="39"/>
        <v>0</v>
      </c>
      <c r="V54" s="146">
        <f t="shared" si="39"/>
        <v>0</v>
      </c>
      <c r="W54" s="45">
        <f t="shared" si="36"/>
        <v>0</v>
      </c>
      <c r="X54" s="145">
        <f t="shared" ref="X54" si="40">SUM(X43:X53)</f>
        <v>0</v>
      </c>
      <c r="Y54" s="145">
        <f t="shared" si="36"/>
        <v>0</v>
      </c>
      <c r="Z54" s="145">
        <f t="shared" si="36"/>
        <v>0</v>
      </c>
      <c r="AA54" s="146">
        <f t="shared" si="36"/>
        <v>-26918433.364462718</v>
      </c>
      <c r="AB54" s="247">
        <f t="shared" si="36"/>
        <v>0</v>
      </c>
      <c r="AC54" s="45">
        <f t="shared" si="36"/>
        <v>0</v>
      </c>
      <c r="AD54" s="145">
        <f t="shared" ref="AD54" si="41">SUM(AD43:AD53)</f>
        <v>0</v>
      </c>
      <c r="AE54" s="145">
        <f t="shared" si="36"/>
        <v>0</v>
      </c>
      <c r="AF54" s="145">
        <f t="shared" si="36"/>
        <v>0</v>
      </c>
      <c r="AG54" s="145">
        <f t="shared" si="36"/>
        <v>0</v>
      </c>
      <c r="AH54" s="145">
        <f t="shared" ref="AH54" si="42">SUM(AH43:AH53)</f>
        <v>0</v>
      </c>
      <c r="AI54" s="145">
        <f t="shared" si="36"/>
        <v>0</v>
      </c>
      <c r="AJ54" s="145">
        <f t="shared" si="36"/>
        <v>0</v>
      </c>
      <c r="AK54" s="146">
        <f t="shared" si="36"/>
        <v>0</v>
      </c>
      <c r="AL54" s="45">
        <f t="shared" si="36"/>
        <v>0</v>
      </c>
      <c r="AM54" s="145">
        <f t="shared" si="36"/>
        <v>59374091.202314295</v>
      </c>
      <c r="AN54" s="145">
        <f t="shared" si="36"/>
        <v>164613.1918070376</v>
      </c>
      <c r="AO54" s="145">
        <f t="shared" si="36"/>
        <v>0</v>
      </c>
      <c r="AP54" s="145">
        <f t="shared" si="36"/>
        <v>-423015.57377275266</v>
      </c>
      <c r="AQ54" s="145">
        <f t="shared" si="36"/>
        <v>-17300210.276439257</v>
      </c>
      <c r="AR54" s="145">
        <f t="shared" si="36"/>
        <v>-3225575.8254245874</v>
      </c>
      <c r="AS54" s="145">
        <f>SUM(AS43:AS53)</f>
        <v>0</v>
      </c>
      <c r="AT54" s="145">
        <f t="shared" si="36"/>
        <v>-213316.93399499287</v>
      </c>
      <c r="AU54" s="145">
        <f t="shared" si="36"/>
        <v>-3041073.2716250001</v>
      </c>
      <c r="AV54" s="145">
        <f>SUM(AV43:AV53)</f>
        <v>-102468.75195108727</v>
      </c>
      <c r="AW54" s="146">
        <f>SUM(AW43:AW53)</f>
        <v>-1557660.9172082131</v>
      </c>
      <c r="AX54" s="45">
        <f>SUM(AX43:AX53)</f>
        <v>-11114449.246748975</v>
      </c>
      <c r="AY54" s="146">
        <f>SUM(AY43:AY53)</f>
        <v>-1037859.11421646</v>
      </c>
      <c r="BB54" s="235">
        <f>B54-'Page 1.4'!C48</f>
        <v>0</v>
      </c>
    </row>
    <row r="55" spans="1:54">
      <c r="A55" s="18"/>
      <c r="B55" s="127"/>
      <c r="C55" s="39"/>
      <c r="D55" s="16"/>
      <c r="E55" s="16"/>
      <c r="F55" s="16"/>
      <c r="G55" s="16"/>
      <c r="H55" s="16"/>
      <c r="I55" s="125"/>
      <c r="J55" s="39"/>
      <c r="K55" s="16"/>
      <c r="L55" s="16"/>
      <c r="M55" s="16"/>
      <c r="N55" s="16"/>
      <c r="O55" s="16"/>
      <c r="P55" s="16"/>
      <c r="Q55" s="16"/>
      <c r="R55" s="16"/>
      <c r="S55" s="16"/>
      <c r="T55" s="16"/>
      <c r="U55" s="16"/>
      <c r="V55" s="125"/>
      <c r="W55" s="39"/>
      <c r="X55" s="16"/>
      <c r="Y55" s="16"/>
      <c r="Z55" s="16"/>
      <c r="AA55" s="125"/>
      <c r="AB55" s="127"/>
      <c r="AC55" s="39"/>
      <c r="AD55" s="16"/>
      <c r="AE55" s="16"/>
      <c r="AF55" s="16"/>
      <c r="AG55" s="16"/>
      <c r="AH55" s="16"/>
      <c r="AI55" s="16"/>
      <c r="AJ55" s="16"/>
      <c r="AK55" s="125"/>
      <c r="AL55" s="39"/>
      <c r="AM55" s="16"/>
      <c r="AN55" s="16"/>
      <c r="AO55" s="16"/>
      <c r="AP55" s="16"/>
      <c r="AQ55" s="16"/>
      <c r="AR55" s="16"/>
      <c r="AS55" s="16"/>
      <c r="AT55" s="16"/>
      <c r="AU55" s="16"/>
      <c r="AV55" s="16"/>
      <c r="AW55" s="125"/>
      <c r="AX55" s="39"/>
      <c r="AY55" s="125"/>
      <c r="BB55" s="235">
        <f>B55-'Page 1.4'!C49</f>
        <v>0</v>
      </c>
    </row>
    <row r="56" spans="1:54">
      <c r="A56" s="18" t="s">
        <v>97</v>
      </c>
      <c r="B56" s="127"/>
      <c r="C56" s="39"/>
      <c r="D56" s="16"/>
      <c r="E56" s="16"/>
      <c r="F56" s="16"/>
      <c r="G56" s="16"/>
      <c r="H56" s="16"/>
      <c r="I56" s="125"/>
      <c r="J56" s="39"/>
      <c r="K56" s="16"/>
      <c r="L56" s="16"/>
      <c r="M56" s="16"/>
      <c r="N56" s="16"/>
      <c r="O56" s="16"/>
      <c r="P56" s="16"/>
      <c r="Q56" s="16"/>
      <c r="R56" s="16"/>
      <c r="S56" s="16"/>
      <c r="T56" s="16"/>
      <c r="U56" s="16"/>
      <c r="V56" s="125"/>
      <c r="W56" s="39"/>
      <c r="X56" s="16"/>
      <c r="Y56" s="16"/>
      <c r="Z56" s="16"/>
      <c r="AA56" s="125"/>
      <c r="AB56" s="127"/>
      <c r="AC56" s="39"/>
      <c r="AD56" s="16"/>
      <c r="AE56" s="16"/>
      <c r="AF56" s="16"/>
      <c r="AG56" s="16"/>
      <c r="AH56" s="16"/>
      <c r="AI56" s="16"/>
      <c r="AJ56" s="16"/>
      <c r="AK56" s="125"/>
      <c r="AL56" s="39"/>
      <c r="AM56" s="16"/>
      <c r="AN56" s="16"/>
      <c r="AO56" s="16"/>
      <c r="AP56" s="16"/>
      <c r="AQ56" s="16"/>
      <c r="AR56" s="16"/>
      <c r="AS56" s="16"/>
      <c r="AT56" s="16"/>
      <c r="AU56" s="16"/>
      <c r="AV56" s="16"/>
      <c r="AW56" s="125"/>
      <c r="AX56" s="39"/>
      <c r="AY56" s="125"/>
      <c r="BB56" s="235">
        <f>B56-'Page 1.4'!C50</f>
        <v>0</v>
      </c>
    </row>
    <row r="57" spans="1:54">
      <c r="A57" s="18" t="s">
        <v>98</v>
      </c>
      <c r="B57" s="142">
        <f t="shared" ref="B57:B65" si="43">SUM(C57:AY57)</f>
        <v>5586171.9746013787</v>
      </c>
      <c r="C57" s="41">
        <f>'Restating Adj'!C57</f>
        <v>0</v>
      </c>
      <c r="D57" s="131">
        <f>'Restating Adj'!D57</f>
        <v>0</v>
      </c>
      <c r="E57" s="129">
        <f>'Pro Forma Adj'!C57</f>
        <v>0</v>
      </c>
      <c r="F57" s="129">
        <f>'Restating Adj'!E57</f>
        <v>0</v>
      </c>
      <c r="G57" s="129">
        <f>'Restating Adj'!F57+'Pro Forma Adj'!E57</f>
        <v>0</v>
      </c>
      <c r="H57" s="129">
        <f>'Restating Adj'!G57+'Pro Forma Adj'!F57</f>
        <v>0</v>
      </c>
      <c r="I57" s="130">
        <f>'Pro Forma Adj'!G57</f>
        <v>0</v>
      </c>
      <c r="J57" s="40">
        <f>'Restating Adj'!H57</f>
        <v>0</v>
      </c>
      <c r="K57" s="129">
        <f>'Restating Adj'!I57</f>
        <v>0</v>
      </c>
      <c r="L57" s="131">
        <f>'Pro Forma Adj'!H57</f>
        <v>0</v>
      </c>
      <c r="M57" s="129">
        <f>'Pro Forma Adj'!I57</f>
        <v>9419911.8527651522</v>
      </c>
      <c r="N57" s="131">
        <f>'Restating Adj'!J57</f>
        <v>0</v>
      </c>
      <c r="O57" s="129">
        <f>'Restating Adj'!K57+'Pro Forma Adj'!J57</f>
        <v>0</v>
      </c>
      <c r="P57" s="129">
        <f>'Restating Adj'!L57</f>
        <v>0</v>
      </c>
      <c r="Q57" s="129">
        <f>'Restating Adj'!M57</f>
        <v>0</v>
      </c>
      <c r="R57" s="129">
        <f>'Restating Adj'!N57+'Pro Forma Adj'!K57</f>
        <v>0</v>
      </c>
      <c r="S57" s="129">
        <f>'Restating Adj'!O57</f>
        <v>0</v>
      </c>
      <c r="T57" s="129">
        <f>'Pro Forma Adj'!L57</f>
        <v>0</v>
      </c>
      <c r="U57" s="129">
        <f>'Restating Adj'!P57</f>
        <v>0</v>
      </c>
      <c r="V57" s="130">
        <f>'Restating Adj'!Q57</f>
        <v>0</v>
      </c>
      <c r="W57" s="40">
        <f>'Restating Adj'!R57</f>
        <v>0</v>
      </c>
      <c r="X57" s="131">
        <f>'Pro Forma Adj'!M57</f>
        <v>0</v>
      </c>
      <c r="Y57" s="129">
        <f>'Pro Forma Adj'!N57</f>
        <v>0</v>
      </c>
      <c r="Z57" s="129">
        <f>'Restating Adj'!S57</f>
        <v>0</v>
      </c>
      <c r="AA57" s="130">
        <f>'Restating Adj'!T57</f>
        <v>16700424.00742016</v>
      </c>
      <c r="AB57" s="132">
        <f>'Restating Adj'!U57+'Pro Forma Adj'!O57</f>
        <v>664248.66961093317</v>
      </c>
      <c r="AC57" s="41">
        <f>'Restating Adj'!V57+'Pro Forma Adj'!P57</f>
        <v>0</v>
      </c>
      <c r="AD57" s="131">
        <f>'Pro Forma Adj'!Q57</f>
        <v>0</v>
      </c>
      <c r="AE57" s="131">
        <f>'Restating Adj'!W57</f>
        <v>0</v>
      </c>
      <c r="AF57" s="131">
        <f>'Pro Forma Adj'!R57</f>
        <v>0</v>
      </c>
      <c r="AG57" s="131">
        <f>'Restating Adj'!X57</f>
        <v>0</v>
      </c>
      <c r="AH57" s="131">
        <f>'Restating Adj'!Y57</f>
        <v>0</v>
      </c>
      <c r="AI57" s="131">
        <f>'Restating Adj'!Z57</f>
        <v>0</v>
      </c>
      <c r="AJ57" s="131">
        <f>'Restating Adj'!AA57</f>
        <v>0</v>
      </c>
      <c r="AK57" s="133">
        <f>'Restating Adj'!AB57</f>
        <v>0</v>
      </c>
      <c r="AL57" s="40">
        <f>'Restating Adj'!AC57</f>
        <v>0</v>
      </c>
      <c r="AM57" s="129">
        <f>'Restating Adj'!AD57</f>
        <v>-26791408.568740711</v>
      </c>
      <c r="AN57" s="129">
        <f>'Restating Adj'!AE57</f>
        <v>0</v>
      </c>
      <c r="AO57" s="129">
        <f>'Restating Adj'!AF57</f>
        <v>0</v>
      </c>
      <c r="AP57" s="129">
        <f>'Restating Adj'!AG57</f>
        <v>0</v>
      </c>
      <c r="AQ57" s="129">
        <f>'Restating Adj'!AH57</f>
        <v>0</v>
      </c>
      <c r="AR57" s="129">
        <f>'Restating Adj'!AI57</f>
        <v>0</v>
      </c>
      <c r="AS57" s="131">
        <f>'Pro Forma Adj'!S57</f>
        <v>0</v>
      </c>
      <c r="AT57" s="131">
        <f>'Pro Forma Adj'!S57</f>
        <v>0</v>
      </c>
      <c r="AU57" s="129">
        <f>'Restating Adj'!AK57+'Pro Forma Adj'!T57</f>
        <v>0</v>
      </c>
      <c r="AV57" s="129">
        <f>'Restating Adj'!AL57</f>
        <v>0</v>
      </c>
      <c r="AW57" s="130">
        <f>'Pro Forma Adj'!U57</f>
        <v>1521445.4948156718</v>
      </c>
      <c r="AX57" s="40">
        <f>'Pro Forma Adj'!V57</f>
        <v>3603236.6969485842</v>
      </c>
      <c r="AY57" s="130">
        <f>'Pro Forma Adj'!W57</f>
        <v>468313.82178159058</v>
      </c>
      <c r="BB57" s="235">
        <f>B57-'Page 1.4'!C51</f>
        <v>0</v>
      </c>
    </row>
    <row r="58" spans="1:54">
      <c r="A58" s="18" t="s">
        <v>99</v>
      </c>
      <c r="B58" s="142">
        <f t="shared" si="43"/>
        <v>0</v>
      </c>
      <c r="C58" s="41">
        <f>'Restating Adj'!C58</f>
        <v>0</v>
      </c>
      <c r="D58" s="131">
        <f>'Restating Adj'!D58</f>
        <v>0</v>
      </c>
      <c r="E58" s="129">
        <f>'Pro Forma Adj'!C58</f>
        <v>0</v>
      </c>
      <c r="F58" s="129">
        <f>'Restating Adj'!E58</f>
        <v>0</v>
      </c>
      <c r="G58" s="129">
        <f>'Restating Adj'!F58+'Pro Forma Adj'!E58</f>
        <v>0</v>
      </c>
      <c r="H58" s="129">
        <f>'Restating Adj'!G58+'Pro Forma Adj'!F58</f>
        <v>0</v>
      </c>
      <c r="I58" s="130">
        <f>'Pro Forma Adj'!G58</f>
        <v>0</v>
      </c>
      <c r="J58" s="40">
        <f>'Restating Adj'!H58</f>
        <v>0</v>
      </c>
      <c r="K58" s="129">
        <f>'Restating Adj'!I58</f>
        <v>0</v>
      </c>
      <c r="L58" s="131">
        <f>'Pro Forma Adj'!H58</f>
        <v>0</v>
      </c>
      <c r="M58" s="129">
        <f>'Pro Forma Adj'!I58</f>
        <v>0</v>
      </c>
      <c r="N58" s="131">
        <f>'Restating Adj'!J58</f>
        <v>0</v>
      </c>
      <c r="O58" s="129">
        <f>'Restating Adj'!K58+'Pro Forma Adj'!J58</f>
        <v>0</v>
      </c>
      <c r="P58" s="129">
        <f>'Restating Adj'!L58</f>
        <v>0</v>
      </c>
      <c r="Q58" s="129">
        <f>'Restating Adj'!M58</f>
        <v>0</v>
      </c>
      <c r="R58" s="129">
        <f>'Restating Adj'!N58+'Pro Forma Adj'!K58</f>
        <v>0</v>
      </c>
      <c r="S58" s="129">
        <f>'Restating Adj'!O58</f>
        <v>0</v>
      </c>
      <c r="T58" s="129">
        <f>'Pro Forma Adj'!L58</f>
        <v>0</v>
      </c>
      <c r="U58" s="129">
        <f>'Restating Adj'!P58</f>
        <v>0</v>
      </c>
      <c r="V58" s="130">
        <f>'Restating Adj'!Q58</f>
        <v>0</v>
      </c>
      <c r="W58" s="40">
        <f>'Restating Adj'!R58</f>
        <v>0</v>
      </c>
      <c r="X58" s="131">
        <f>'Pro Forma Adj'!M58</f>
        <v>0</v>
      </c>
      <c r="Y58" s="129">
        <f>'Pro Forma Adj'!N58</f>
        <v>0</v>
      </c>
      <c r="Z58" s="129">
        <f>'Restating Adj'!S58</f>
        <v>0</v>
      </c>
      <c r="AA58" s="130">
        <f>'Restating Adj'!T58</f>
        <v>0</v>
      </c>
      <c r="AB58" s="132">
        <f>'Restating Adj'!U58+'Pro Forma Adj'!O58</f>
        <v>0</v>
      </c>
      <c r="AC58" s="41">
        <f>'Restating Adj'!V58+'Pro Forma Adj'!P58</f>
        <v>0</v>
      </c>
      <c r="AD58" s="131">
        <f>'Pro Forma Adj'!Q58</f>
        <v>0</v>
      </c>
      <c r="AE58" s="131">
        <f>'Restating Adj'!W58</f>
        <v>0</v>
      </c>
      <c r="AF58" s="131">
        <f>'Pro Forma Adj'!R58</f>
        <v>0</v>
      </c>
      <c r="AG58" s="131">
        <f>'Restating Adj'!X58</f>
        <v>0</v>
      </c>
      <c r="AH58" s="131">
        <f>'Restating Adj'!Y58</f>
        <v>0</v>
      </c>
      <c r="AI58" s="131">
        <f>'Restating Adj'!Z58</f>
        <v>0</v>
      </c>
      <c r="AJ58" s="131">
        <f>'Restating Adj'!AA58</f>
        <v>0</v>
      </c>
      <c r="AK58" s="133">
        <f>'Restating Adj'!AB58</f>
        <v>0</v>
      </c>
      <c r="AL58" s="40">
        <f>'Restating Adj'!AC58</f>
        <v>0</v>
      </c>
      <c r="AM58" s="129">
        <f>'Restating Adj'!AD58</f>
        <v>0</v>
      </c>
      <c r="AN58" s="129">
        <f>'Restating Adj'!AE58</f>
        <v>0</v>
      </c>
      <c r="AO58" s="129">
        <f>'Restating Adj'!AF58</f>
        <v>0</v>
      </c>
      <c r="AP58" s="129">
        <f>'Restating Adj'!AG58</f>
        <v>0</v>
      </c>
      <c r="AQ58" s="129">
        <f>'Restating Adj'!AH58</f>
        <v>0</v>
      </c>
      <c r="AR58" s="129">
        <f>'Restating Adj'!AI58</f>
        <v>0</v>
      </c>
      <c r="AS58" s="129">
        <f>'Restating Adj'!AJ58</f>
        <v>0</v>
      </c>
      <c r="AT58" s="131">
        <f>'Pro Forma Adj'!S58</f>
        <v>0</v>
      </c>
      <c r="AU58" s="129">
        <f>'Restating Adj'!AK58+'Pro Forma Adj'!T58</f>
        <v>0</v>
      </c>
      <c r="AV58" s="129">
        <f>'Restating Adj'!AL58</f>
        <v>0</v>
      </c>
      <c r="AW58" s="130">
        <f>'Pro Forma Adj'!U58</f>
        <v>0</v>
      </c>
      <c r="AX58" s="40">
        <f>'Pro Forma Adj'!V58</f>
        <v>0</v>
      </c>
      <c r="AY58" s="130">
        <f>'Pro Forma Adj'!W58</f>
        <v>0</v>
      </c>
      <c r="BB58" s="235">
        <f>B58-'Page 1.4'!C52</f>
        <v>0</v>
      </c>
    </row>
    <row r="59" spans="1:54">
      <c r="A59" s="18" t="s">
        <v>100</v>
      </c>
      <c r="B59" s="142">
        <f t="shared" si="43"/>
        <v>289481.270362254</v>
      </c>
      <c r="C59" s="41">
        <f>'Restating Adj'!C59</f>
        <v>0</v>
      </c>
      <c r="D59" s="131">
        <f>'Restating Adj'!D59</f>
        <v>0</v>
      </c>
      <c r="E59" s="129">
        <f>'Pro Forma Adj'!C59</f>
        <v>0</v>
      </c>
      <c r="F59" s="129">
        <f>'Restating Adj'!E59</f>
        <v>1220290.3429160728</v>
      </c>
      <c r="G59" s="129">
        <f>'Restating Adj'!F59+'Pro Forma Adj'!E59</f>
        <v>0</v>
      </c>
      <c r="H59" s="129">
        <f>'Restating Adj'!G59+'Pro Forma Adj'!F59</f>
        <v>0</v>
      </c>
      <c r="I59" s="130">
        <f>'Pro Forma Adj'!G59</f>
        <v>0</v>
      </c>
      <c r="J59" s="40">
        <f>'Restating Adj'!H59</f>
        <v>0</v>
      </c>
      <c r="K59" s="129">
        <f>'Restating Adj'!I59</f>
        <v>0</v>
      </c>
      <c r="L59" s="131">
        <f>'Pro Forma Adj'!H59</f>
        <v>0</v>
      </c>
      <c r="M59" s="129">
        <f>'Pro Forma Adj'!I59</f>
        <v>-125046.04166666669</v>
      </c>
      <c r="N59" s="131">
        <f>'Restating Adj'!J59</f>
        <v>0</v>
      </c>
      <c r="O59" s="129">
        <f>'Restating Adj'!K59+'Pro Forma Adj'!J59</f>
        <v>-1087279.6666666667</v>
      </c>
      <c r="P59" s="129">
        <f>'Restating Adj'!L59</f>
        <v>0</v>
      </c>
      <c r="Q59" s="129">
        <f>'Restating Adj'!M59</f>
        <v>0</v>
      </c>
      <c r="R59" s="129">
        <f>'Restating Adj'!N59+'Pro Forma Adj'!K59</f>
        <v>0</v>
      </c>
      <c r="S59" s="129">
        <f>'Restating Adj'!O59</f>
        <v>0</v>
      </c>
      <c r="T59" s="129">
        <f>'Pro Forma Adj'!L59</f>
        <v>0</v>
      </c>
      <c r="U59" s="129">
        <f>'Restating Adj'!P59</f>
        <v>0</v>
      </c>
      <c r="V59" s="130">
        <f>'Restating Adj'!Q59</f>
        <v>0</v>
      </c>
      <c r="W59" s="40">
        <f>'Restating Adj'!R59</f>
        <v>0</v>
      </c>
      <c r="X59" s="131">
        <f>'Pro Forma Adj'!M59</f>
        <v>0</v>
      </c>
      <c r="Y59" s="129">
        <f>'Pro Forma Adj'!N59</f>
        <v>0</v>
      </c>
      <c r="Z59" s="129">
        <f>'Restating Adj'!S59</f>
        <v>0</v>
      </c>
      <c r="AA59" s="130">
        <f>'Restating Adj'!T59</f>
        <v>1484568.406393917</v>
      </c>
      <c r="AB59" s="132">
        <f>'Restating Adj'!U59+'Pro Forma Adj'!O59</f>
        <v>-391038.76591474324</v>
      </c>
      <c r="AC59" s="41">
        <f>'Restating Adj'!V59+'Pro Forma Adj'!P59</f>
        <v>0</v>
      </c>
      <c r="AD59" s="131">
        <f>'Pro Forma Adj'!Q59</f>
        <v>0</v>
      </c>
      <c r="AE59" s="131">
        <f>'Restating Adj'!W59</f>
        <v>-222584.42473664155</v>
      </c>
      <c r="AF59" s="131">
        <f>'Pro Forma Adj'!R59</f>
        <v>0</v>
      </c>
      <c r="AG59" s="131">
        <f>'Restating Adj'!X59</f>
        <v>0</v>
      </c>
      <c r="AH59" s="131">
        <f>'Restating Adj'!Y59</f>
        <v>-2089738.2646262255</v>
      </c>
      <c r="AI59" s="131">
        <f>'Restating Adj'!Z59</f>
        <v>0</v>
      </c>
      <c r="AJ59" s="131">
        <f>'Restating Adj'!AA59</f>
        <v>953690</v>
      </c>
      <c r="AK59" s="133">
        <f>'Restating Adj'!AB59</f>
        <v>-773349.3887389946</v>
      </c>
      <c r="AL59" s="40">
        <f>'Restating Adj'!AC59</f>
        <v>0</v>
      </c>
      <c r="AM59" s="129">
        <f>'Restating Adj'!AD59</f>
        <v>0</v>
      </c>
      <c r="AN59" s="129">
        <f>'Restating Adj'!AE59</f>
        <v>-261733.89601158394</v>
      </c>
      <c r="AO59" s="129">
        <f>'Restating Adj'!AF59</f>
        <v>0</v>
      </c>
      <c r="AP59" s="129">
        <f>'Restating Adj'!AG59</f>
        <v>0</v>
      </c>
      <c r="AQ59" s="129">
        <f>'Restating Adj'!AH59</f>
        <v>0</v>
      </c>
      <c r="AR59" s="129">
        <f>'Restating Adj'!AI59</f>
        <v>0</v>
      </c>
      <c r="AS59" s="129">
        <f>'Restating Adj'!AJ59</f>
        <v>0</v>
      </c>
      <c r="AT59" s="131">
        <f>'Pro Forma Adj'!S59</f>
        <v>-102416.90558588051</v>
      </c>
      <c r="AU59" s="129">
        <f>'Restating Adj'!AK59+'Pro Forma Adj'!T59</f>
        <v>1684119.8749996668</v>
      </c>
      <c r="AV59" s="129">
        <f>'Restating Adj'!AL59</f>
        <v>0</v>
      </c>
      <c r="AW59" s="130">
        <f>'Pro Forma Adj'!U59</f>
        <v>0</v>
      </c>
      <c r="AX59" s="40">
        <f>'Pro Forma Adj'!V59</f>
        <v>0</v>
      </c>
      <c r="AY59" s="130">
        <f>'Pro Forma Adj'!W59</f>
        <v>0</v>
      </c>
      <c r="BB59" s="235">
        <f>B59-'Page 1.4'!C53</f>
        <v>0</v>
      </c>
    </row>
    <row r="60" spans="1:54">
      <c r="A60" s="18" t="s">
        <v>101</v>
      </c>
      <c r="B60" s="142">
        <f t="shared" si="43"/>
        <v>103982.22360000001</v>
      </c>
      <c r="C60" s="41">
        <f>'Restating Adj'!C60</f>
        <v>0</v>
      </c>
      <c r="D60" s="131">
        <f>'Restating Adj'!D60</f>
        <v>0</v>
      </c>
      <c r="E60" s="129">
        <f>'Pro Forma Adj'!C60</f>
        <v>0</v>
      </c>
      <c r="F60" s="129">
        <f>'Restating Adj'!E60</f>
        <v>0</v>
      </c>
      <c r="G60" s="129">
        <f>'Restating Adj'!F60+'Pro Forma Adj'!E60</f>
        <v>0</v>
      </c>
      <c r="H60" s="129">
        <f>'Restating Adj'!G60+'Pro Forma Adj'!F60</f>
        <v>0</v>
      </c>
      <c r="I60" s="130">
        <f>'Pro Forma Adj'!G60</f>
        <v>0</v>
      </c>
      <c r="J60" s="40">
        <f>'Restating Adj'!H60</f>
        <v>0</v>
      </c>
      <c r="K60" s="129">
        <f>'Restating Adj'!I60</f>
        <v>0</v>
      </c>
      <c r="L60" s="131">
        <f>'Pro Forma Adj'!H60</f>
        <v>0</v>
      </c>
      <c r="M60" s="129">
        <f>'Pro Forma Adj'!I60</f>
        <v>0</v>
      </c>
      <c r="N60" s="131">
        <f>'Restating Adj'!J60</f>
        <v>0</v>
      </c>
      <c r="O60" s="129">
        <f>'Restating Adj'!K60+'Pro Forma Adj'!J60</f>
        <v>0</v>
      </c>
      <c r="P60" s="129">
        <f>'Restating Adj'!L60</f>
        <v>0</v>
      </c>
      <c r="Q60" s="129">
        <f>'Restating Adj'!M60</f>
        <v>0</v>
      </c>
      <c r="R60" s="129">
        <f>'Restating Adj'!N60+'Pro Forma Adj'!K60</f>
        <v>0</v>
      </c>
      <c r="S60" s="129">
        <f>'Restating Adj'!O60</f>
        <v>0</v>
      </c>
      <c r="T60" s="129">
        <f>'Pro Forma Adj'!L60</f>
        <v>0</v>
      </c>
      <c r="U60" s="129">
        <f>'Restating Adj'!P60</f>
        <v>0</v>
      </c>
      <c r="V60" s="130">
        <f>'Restating Adj'!Q60</f>
        <v>0</v>
      </c>
      <c r="W60" s="40">
        <f>'Restating Adj'!R60</f>
        <v>0</v>
      </c>
      <c r="X60" s="131">
        <f>'Pro Forma Adj'!M60</f>
        <v>0</v>
      </c>
      <c r="Y60" s="129">
        <f>'Pro Forma Adj'!N60</f>
        <v>0</v>
      </c>
      <c r="Z60" s="129">
        <f>'Restating Adj'!S60</f>
        <v>0</v>
      </c>
      <c r="AA60" s="130">
        <f>'Restating Adj'!T60</f>
        <v>103982.22360000001</v>
      </c>
      <c r="AB60" s="132">
        <f>'Restating Adj'!U60+'Pro Forma Adj'!O60</f>
        <v>0</v>
      </c>
      <c r="AC60" s="41">
        <f>'Restating Adj'!V60+'Pro Forma Adj'!P60</f>
        <v>0</v>
      </c>
      <c r="AD60" s="131">
        <f>'Pro Forma Adj'!Q60</f>
        <v>0</v>
      </c>
      <c r="AE60" s="131">
        <f>'Restating Adj'!W60</f>
        <v>0</v>
      </c>
      <c r="AF60" s="131">
        <f>'Pro Forma Adj'!R60</f>
        <v>0</v>
      </c>
      <c r="AG60" s="131">
        <f>'Restating Adj'!X60</f>
        <v>0</v>
      </c>
      <c r="AH60" s="131">
        <f>'Restating Adj'!Y60</f>
        <v>0</v>
      </c>
      <c r="AI60" s="131">
        <f>'Restating Adj'!Z60</f>
        <v>0</v>
      </c>
      <c r="AJ60" s="131">
        <f>'Restating Adj'!AA60</f>
        <v>0</v>
      </c>
      <c r="AK60" s="133">
        <f>'Restating Adj'!AB60</f>
        <v>0</v>
      </c>
      <c r="AL60" s="40">
        <f>'Restating Adj'!AC60</f>
        <v>0</v>
      </c>
      <c r="AM60" s="129">
        <f>'Restating Adj'!AD60</f>
        <v>0</v>
      </c>
      <c r="AN60" s="129">
        <f>'Restating Adj'!AE60</f>
        <v>0</v>
      </c>
      <c r="AO60" s="129">
        <f>'Restating Adj'!AF60</f>
        <v>0</v>
      </c>
      <c r="AP60" s="129">
        <f>'Restating Adj'!AG60</f>
        <v>0</v>
      </c>
      <c r="AQ60" s="129">
        <f>'Restating Adj'!AH60</f>
        <v>0</v>
      </c>
      <c r="AR60" s="129">
        <f>'Restating Adj'!AI60</f>
        <v>0</v>
      </c>
      <c r="AS60" s="129">
        <f>'Restating Adj'!AJ60</f>
        <v>0</v>
      </c>
      <c r="AT60" s="131">
        <f>'Pro Forma Adj'!S60</f>
        <v>0</v>
      </c>
      <c r="AU60" s="129">
        <f>'Restating Adj'!AK60+'Pro Forma Adj'!T60</f>
        <v>0</v>
      </c>
      <c r="AV60" s="129">
        <f>'Restating Adj'!AL60</f>
        <v>0</v>
      </c>
      <c r="AW60" s="130">
        <f>'Pro Forma Adj'!U60</f>
        <v>0</v>
      </c>
      <c r="AX60" s="40">
        <f>'Pro Forma Adj'!V60</f>
        <v>0</v>
      </c>
      <c r="AY60" s="130">
        <f>'Pro Forma Adj'!W60</f>
        <v>0</v>
      </c>
      <c r="BB60" s="235">
        <f>B60-'Page 1.4'!C54</f>
        <v>0</v>
      </c>
    </row>
    <row r="61" spans="1:54">
      <c r="A61" s="18" t="s">
        <v>102</v>
      </c>
      <c r="B61" s="142">
        <f t="shared" si="43"/>
        <v>-293988.17735592474</v>
      </c>
      <c r="C61" s="41">
        <f>'Restating Adj'!C61</f>
        <v>0</v>
      </c>
      <c r="D61" s="131">
        <f>'Restating Adj'!D61</f>
        <v>0</v>
      </c>
      <c r="E61" s="129">
        <f>'Pro Forma Adj'!C61</f>
        <v>0</v>
      </c>
      <c r="F61" s="129">
        <f>'Restating Adj'!E61</f>
        <v>0</v>
      </c>
      <c r="G61" s="129">
        <f>'Restating Adj'!F61+'Pro Forma Adj'!E61</f>
        <v>0</v>
      </c>
      <c r="H61" s="129">
        <f>'Restating Adj'!G61+'Pro Forma Adj'!F61</f>
        <v>0</v>
      </c>
      <c r="I61" s="130">
        <f>'Pro Forma Adj'!G61</f>
        <v>0</v>
      </c>
      <c r="J61" s="40">
        <f>'Restating Adj'!H61</f>
        <v>0</v>
      </c>
      <c r="K61" s="129">
        <f>'Restating Adj'!I61</f>
        <v>0</v>
      </c>
      <c r="L61" s="131">
        <f>'Pro Forma Adj'!H61</f>
        <v>0</v>
      </c>
      <c r="M61" s="129">
        <f>'Pro Forma Adj'!I61</f>
        <v>0</v>
      </c>
      <c r="N61" s="131">
        <f>'Restating Adj'!J61</f>
        <v>0</v>
      </c>
      <c r="O61" s="129">
        <f>'Restating Adj'!K61+'Pro Forma Adj'!J61</f>
        <v>0</v>
      </c>
      <c r="P61" s="129">
        <f>'Restating Adj'!L61</f>
        <v>0</v>
      </c>
      <c r="Q61" s="129">
        <f>'Restating Adj'!M61</f>
        <v>0</v>
      </c>
      <c r="R61" s="129">
        <f>'Restating Adj'!N61+'Pro Forma Adj'!K61</f>
        <v>0</v>
      </c>
      <c r="S61" s="129">
        <f>'Restating Adj'!O61</f>
        <v>0</v>
      </c>
      <c r="T61" s="129">
        <f>'Pro Forma Adj'!L61</f>
        <v>0</v>
      </c>
      <c r="U61" s="129">
        <f>'Restating Adj'!P61</f>
        <v>0</v>
      </c>
      <c r="V61" s="130">
        <f>'Restating Adj'!Q61</f>
        <v>0</v>
      </c>
      <c r="W61" s="40">
        <f>'Restating Adj'!R61</f>
        <v>0</v>
      </c>
      <c r="X61" s="131">
        <f>'Pro Forma Adj'!M61</f>
        <v>0</v>
      </c>
      <c r="Y61" s="129">
        <f>'Pro Forma Adj'!N61</f>
        <v>0</v>
      </c>
      <c r="Z61" s="129">
        <f>'Restating Adj'!S61</f>
        <v>0</v>
      </c>
      <c r="AA61" s="130">
        <f>'Restating Adj'!T61</f>
        <v>0</v>
      </c>
      <c r="AB61" s="132">
        <f>'Restating Adj'!U61+'Pro Forma Adj'!O61</f>
        <v>0</v>
      </c>
      <c r="AC61" s="41">
        <f>'Restating Adj'!V61+'Pro Forma Adj'!P61</f>
        <v>0</v>
      </c>
      <c r="AD61" s="131">
        <f>'Pro Forma Adj'!Q61</f>
        <v>0</v>
      </c>
      <c r="AE61" s="131">
        <f>'Restating Adj'!W61</f>
        <v>0</v>
      </c>
      <c r="AF61" s="131">
        <f>'Pro Forma Adj'!R61</f>
        <v>0</v>
      </c>
      <c r="AG61" s="131">
        <f>'Restating Adj'!X61</f>
        <v>0</v>
      </c>
      <c r="AH61" s="131">
        <f>'Restating Adj'!Y61</f>
        <v>0</v>
      </c>
      <c r="AI61" s="131">
        <f>'Restating Adj'!Z61</f>
        <v>0</v>
      </c>
      <c r="AJ61" s="131">
        <f>'Restating Adj'!AA61</f>
        <v>0</v>
      </c>
      <c r="AK61" s="133">
        <f>'Restating Adj'!AB61</f>
        <v>0</v>
      </c>
      <c r="AL61" s="40">
        <f>'Restating Adj'!AC61</f>
        <v>0</v>
      </c>
      <c r="AM61" s="129">
        <f>'Restating Adj'!AD61</f>
        <v>0</v>
      </c>
      <c r="AN61" s="129">
        <f>'Restating Adj'!AE61</f>
        <v>0</v>
      </c>
      <c r="AO61" s="129">
        <f>'Restating Adj'!AF61</f>
        <v>-293988.17735592474</v>
      </c>
      <c r="AP61" s="129">
        <f>'Restating Adj'!AG61</f>
        <v>0</v>
      </c>
      <c r="AQ61" s="129">
        <f>'Restating Adj'!AH61</f>
        <v>0</v>
      </c>
      <c r="AR61" s="129">
        <f>'Restating Adj'!AI61</f>
        <v>0</v>
      </c>
      <c r="AS61" s="129">
        <f>'Restating Adj'!AJ61</f>
        <v>0</v>
      </c>
      <c r="AT61" s="131">
        <f>'Pro Forma Adj'!S61</f>
        <v>0</v>
      </c>
      <c r="AU61" s="129">
        <f>'Restating Adj'!AK61+'Pro Forma Adj'!T61</f>
        <v>0</v>
      </c>
      <c r="AV61" s="129">
        <f>'Restating Adj'!AL61</f>
        <v>0</v>
      </c>
      <c r="AW61" s="130">
        <f>'Pro Forma Adj'!U61</f>
        <v>0</v>
      </c>
      <c r="AX61" s="40">
        <f>'Pro Forma Adj'!V61</f>
        <v>0</v>
      </c>
      <c r="AY61" s="130">
        <f>'Pro Forma Adj'!W61</f>
        <v>0</v>
      </c>
      <c r="BB61" s="235">
        <f>B61-'Page 1.4'!C55</f>
        <v>0</v>
      </c>
    </row>
    <row r="62" spans="1:54">
      <c r="A62" s="18" t="s">
        <v>103</v>
      </c>
      <c r="B62" s="142">
        <f t="shared" si="43"/>
        <v>-3291205.6015833332</v>
      </c>
      <c r="C62" s="41">
        <f>'Restating Adj'!C62</f>
        <v>0</v>
      </c>
      <c r="D62" s="131">
        <f>'Restating Adj'!D62</f>
        <v>0</v>
      </c>
      <c r="E62" s="129">
        <f>'Pro Forma Adj'!C62</f>
        <v>0</v>
      </c>
      <c r="F62" s="129">
        <f>'Restating Adj'!E62</f>
        <v>0</v>
      </c>
      <c r="G62" s="129">
        <f>'Restating Adj'!F62+'Pro Forma Adj'!E62</f>
        <v>0</v>
      </c>
      <c r="H62" s="129">
        <f>'Restating Adj'!G62+'Pro Forma Adj'!F62</f>
        <v>0</v>
      </c>
      <c r="I62" s="130">
        <f>'Pro Forma Adj'!G62</f>
        <v>0</v>
      </c>
      <c r="J62" s="40">
        <f>'Restating Adj'!H62</f>
        <v>0</v>
      </c>
      <c r="K62" s="129">
        <f>'Restating Adj'!I62</f>
        <v>0</v>
      </c>
      <c r="L62" s="131">
        <f>'Pro Forma Adj'!H62</f>
        <v>0</v>
      </c>
      <c r="M62" s="129">
        <f>'Pro Forma Adj'!I62</f>
        <v>0</v>
      </c>
      <c r="N62" s="131">
        <f>'Restating Adj'!J62</f>
        <v>0</v>
      </c>
      <c r="O62" s="129">
        <f>'Restating Adj'!K62+'Pro Forma Adj'!J62</f>
        <v>0</v>
      </c>
      <c r="P62" s="129">
        <f>'Restating Adj'!L62</f>
        <v>0</v>
      </c>
      <c r="Q62" s="129">
        <f>'Restating Adj'!M62</f>
        <v>0</v>
      </c>
      <c r="R62" s="129">
        <f>'Restating Adj'!N62+'Pro Forma Adj'!K62</f>
        <v>0</v>
      </c>
      <c r="S62" s="129">
        <f>'Restating Adj'!O62</f>
        <v>0</v>
      </c>
      <c r="T62" s="129">
        <f>'Pro Forma Adj'!L62</f>
        <v>0</v>
      </c>
      <c r="U62" s="129">
        <f>'Restating Adj'!P62</f>
        <v>0</v>
      </c>
      <c r="V62" s="130">
        <f>'Restating Adj'!Q62</f>
        <v>0</v>
      </c>
      <c r="W62" s="40">
        <f>'Restating Adj'!R62</f>
        <v>0</v>
      </c>
      <c r="X62" s="131">
        <f>'Pro Forma Adj'!M62</f>
        <v>0</v>
      </c>
      <c r="Y62" s="129">
        <f>'Pro Forma Adj'!N62</f>
        <v>0</v>
      </c>
      <c r="Z62" s="129">
        <f>'Restating Adj'!S62</f>
        <v>0</v>
      </c>
      <c r="AA62" s="130">
        <f>'Restating Adj'!T62</f>
        <v>0</v>
      </c>
      <c r="AB62" s="132">
        <f>'Restating Adj'!U62+'Pro Forma Adj'!O62</f>
        <v>0</v>
      </c>
      <c r="AC62" s="41">
        <f>'Restating Adj'!V62+'Pro Forma Adj'!P62</f>
        <v>0</v>
      </c>
      <c r="AD62" s="131">
        <f>'Pro Forma Adj'!Q62</f>
        <v>0</v>
      </c>
      <c r="AE62" s="131">
        <f>'Restating Adj'!W62</f>
        <v>0</v>
      </c>
      <c r="AF62" s="131">
        <f>'Pro Forma Adj'!R62</f>
        <v>0</v>
      </c>
      <c r="AG62" s="131">
        <f>'Restating Adj'!X62</f>
        <v>0</v>
      </c>
      <c r="AH62" s="131">
        <f>'Restating Adj'!Y62</f>
        <v>0</v>
      </c>
      <c r="AI62" s="131">
        <f>'Restating Adj'!Z62</f>
        <v>0</v>
      </c>
      <c r="AJ62" s="131">
        <f>'Restating Adj'!AA62</f>
        <v>0</v>
      </c>
      <c r="AK62" s="133">
        <f>'Restating Adj'!AB62</f>
        <v>0</v>
      </c>
      <c r="AL62" s="40">
        <f>'Restating Adj'!AC62</f>
        <v>-3291205.6015833332</v>
      </c>
      <c r="AM62" s="129">
        <f>'Restating Adj'!AD62</f>
        <v>0</v>
      </c>
      <c r="AN62" s="129">
        <f>'Restating Adj'!AE62</f>
        <v>0</v>
      </c>
      <c r="AO62" s="129">
        <f>'Restating Adj'!AF62</f>
        <v>0</v>
      </c>
      <c r="AP62" s="129">
        <f>'Restating Adj'!AG62</f>
        <v>0</v>
      </c>
      <c r="AQ62" s="129">
        <f>'Restating Adj'!AH62</f>
        <v>0</v>
      </c>
      <c r="AR62" s="129">
        <f>'Restating Adj'!AI62</f>
        <v>0</v>
      </c>
      <c r="AS62" s="129">
        <f>'Restating Adj'!AJ62</f>
        <v>0</v>
      </c>
      <c r="AT62" s="131">
        <f>'Pro Forma Adj'!S62</f>
        <v>0</v>
      </c>
      <c r="AU62" s="129">
        <f>'Restating Adj'!AK62+'Pro Forma Adj'!T62</f>
        <v>0</v>
      </c>
      <c r="AV62" s="129">
        <f>'Restating Adj'!AL62</f>
        <v>0</v>
      </c>
      <c r="AW62" s="130">
        <f>'Pro Forma Adj'!U62</f>
        <v>0</v>
      </c>
      <c r="AX62" s="40">
        <f>'Pro Forma Adj'!V62</f>
        <v>0</v>
      </c>
      <c r="AY62" s="130">
        <f>'Pro Forma Adj'!W62</f>
        <v>0</v>
      </c>
      <c r="BB62" s="235">
        <f>B62-'Page 1.4'!C56</f>
        <v>0</v>
      </c>
    </row>
    <row r="63" spans="1:54">
      <c r="A63" s="18" t="s">
        <v>104</v>
      </c>
      <c r="B63" s="142">
        <f t="shared" si="43"/>
        <v>-1922118.2237488804</v>
      </c>
      <c r="C63" s="41">
        <f>'Restating Adj'!C63</f>
        <v>0</v>
      </c>
      <c r="D63" s="131">
        <f>'Restating Adj'!D63</f>
        <v>0</v>
      </c>
      <c r="E63" s="129">
        <f>'Pro Forma Adj'!C63</f>
        <v>0</v>
      </c>
      <c r="F63" s="129">
        <f>'Restating Adj'!E63</f>
        <v>-3215514.4191855043</v>
      </c>
      <c r="G63" s="129">
        <f>'Restating Adj'!F63+'Pro Forma Adj'!E63</f>
        <v>0</v>
      </c>
      <c r="H63" s="129">
        <f>'Restating Adj'!G63+'Pro Forma Adj'!F63</f>
        <v>0</v>
      </c>
      <c r="I63" s="130">
        <f>'Pro Forma Adj'!G63</f>
        <v>0</v>
      </c>
      <c r="J63" s="40">
        <f>'Restating Adj'!H63</f>
        <v>0</v>
      </c>
      <c r="K63" s="129">
        <f>'Restating Adj'!I63</f>
        <v>0</v>
      </c>
      <c r="L63" s="131">
        <f>'Pro Forma Adj'!H63</f>
        <v>0</v>
      </c>
      <c r="M63" s="129">
        <f>'Pro Forma Adj'!I63</f>
        <v>0</v>
      </c>
      <c r="N63" s="131">
        <f>'Restating Adj'!J63</f>
        <v>56244.919679730992</v>
      </c>
      <c r="O63" s="129">
        <f>'Restating Adj'!K63+'Pro Forma Adj'!J63</f>
        <v>0</v>
      </c>
      <c r="P63" s="129">
        <f>'Restating Adj'!L63</f>
        <v>0</v>
      </c>
      <c r="Q63" s="129">
        <f>'Restating Adj'!M63</f>
        <v>0</v>
      </c>
      <c r="R63" s="129">
        <f>'Restating Adj'!N63+'Pro Forma Adj'!K63</f>
        <v>0</v>
      </c>
      <c r="S63" s="129">
        <f>'Restating Adj'!O63</f>
        <v>0</v>
      </c>
      <c r="T63" s="129">
        <f>'Pro Forma Adj'!L63</f>
        <v>0</v>
      </c>
      <c r="U63" s="129">
        <f>'Restating Adj'!P63</f>
        <v>0</v>
      </c>
      <c r="V63" s="130">
        <f>'Restating Adj'!Q63</f>
        <v>0</v>
      </c>
      <c r="W63" s="40">
        <f>'Restating Adj'!R63</f>
        <v>0</v>
      </c>
      <c r="X63" s="131">
        <f>'Pro Forma Adj'!M63</f>
        <v>0</v>
      </c>
      <c r="Y63" s="129">
        <f>'Pro Forma Adj'!N63</f>
        <v>0</v>
      </c>
      <c r="Z63" s="129">
        <f>'Restating Adj'!S63</f>
        <v>0</v>
      </c>
      <c r="AA63" s="130">
        <f>'Restating Adj'!T63</f>
        <v>0</v>
      </c>
      <c r="AB63" s="132">
        <f>'Restating Adj'!U63+'Pro Forma Adj'!O63</f>
        <v>0</v>
      </c>
      <c r="AC63" s="41">
        <f>'Restating Adj'!V63+'Pro Forma Adj'!P63</f>
        <v>0</v>
      </c>
      <c r="AD63" s="131">
        <f>'Pro Forma Adj'!Q63</f>
        <v>0</v>
      </c>
      <c r="AE63" s="131">
        <f>'Restating Adj'!W63</f>
        <v>0</v>
      </c>
      <c r="AF63" s="131">
        <f>'Pro Forma Adj'!R63</f>
        <v>0</v>
      </c>
      <c r="AG63" s="131">
        <f>'Restating Adj'!X63</f>
        <v>0</v>
      </c>
      <c r="AH63" s="131">
        <f>'Restating Adj'!Y63</f>
        <v>0</v>
      </c>
      <c r="AI63" s="131">
        <f>'Restating Adj'!Z63</f>
        <v>0</v>
      </c>
      <c r="AJ63" s="131">
        <f>'Restating Adj'!AA63</f>
        <v>0</v>
      </c>
      <c r="AK63" s="133">
        <f>'Restating Adj'!AB63</f>
        <v>0</v>
      </c>
      <c r="AL63" s="40">
        <f>'Restating Adj'!AC63</f>
        <v>0</v>
      </c>
      <c r="AM63" s="129">
        <f>'Restating Adj'!AD63</f>
        <v>0</v>
      </c>
      <c r="AN63" s="129">
        <f>'Restating Adj'!AE63</f>
        <v>0</v>
      </c>
      <c r="AO63" s="129">
        <f>'Restating Adj'!AF63</f>
        <v>0</v>
      </c>
      <c r="AP63" s="129">
        <f>'Restating Adj'!AG63</f>
        <v>0</v>
      </c>
      <c r="AQ63" s="129">
        <f>'Restating Adj'!AH63</f>
        <v>0</v>
      </c>
      <c r="AR63" s="129">
        <f>'Restating Adj'!AI63</f>
        <v>0</v>
      </c>
      <c r="AS63" s="129">
        <f>'Restating Adj'!AJ63</f>
        <v>0</v>
      </c>
      <c r="AT63" s="131">
        <f>'Pro Forma Adj'!S63</f>
        <v>0</v>
      </c>
      <c r="AU63" s="129">
        <f>'Restating Adj'!AK63+'Pro Forma Adj'!T63</f>
        <v>0</v>
      </c>
      <c r="AV63" s="129">
        <f>'Restating Adj'!AL63</f>
        <v>1180944.0837095301</v>
      </c>
      <c r="AW63" s="130">
        <f>'Pro Forma Adj'!U63</f>
        <v>0</v>
      </c>
      <c r="AX63" s="40">
        <f>'Pro Forma Adj'!V63</f>
        <v>0</v>
      </c>
      <c r="AY63" s="130">
        <f>'Pro Forma Adj'!W63</f>
        <v>56207.192047362681</v>
      </c>
      <c r="BB63" s="235">
        <f>B63-'Page 1.4'!C57</f>
        <v>0</v>
      </c>
    </row>
    <row r="64" spans="1:54">
      <c r="A64" s="18"/>
      <c r="B64" s="127">
        <f t="shared" si="43"/>
        <v>0</v>
      </c>
      <c r="C64" s="41">
        <f>'Restating Adj'!C64</f>
        <v>0</v>
      </c>
      <c r="D64" s="131">
        <f>'Restating Adj'!D64</f>
        <v>0</v>
      </c>
      <c r="E64" s="129">
        <f>'Pro Forma Adj'!C64</f>
        <v>0</v>
      </c>
      <c r="F64" s="129">
        <f>'Restating Adj'!E64</f>
        <v>0</v>
      </c>
      <c r="G64" s="129">
        <f>'Restating Adj'!F64+'Pro Forma Adj'!E64</f>
        <v>0</v>
      </c>
      <c r="H64" s="129">
        <f>'Restating Adj'!G64+'Pro Forma Adj'!F64</f>
        <v>0</v>
      </c>
      <c r="I64" s="130">
        <f>'Pro Forma Adj'!G64</f>
        <v>0</v>
      </c>
      <c r="J64" s="40">
        <f>'Restating Adj'!H64</f>
        <v>0</v>
      </c>
      <c r="K64" s="129">
        <f>'Restating Adj'!I64</f>
        <v>0</v>
      </c>
      <c r="L64" s="131">
        <f>'Pro Forma Adj'!H64</f>
        <v>0</v>
      </c>
      <c r="M64" s="129">
        <f>'Pro Forma Adj'!I64</f>
        <v>0</v>
      </c>
      <c r="N64" s="131">
        <f>'Restating Adj'!J64</f>
        <v>0</v>
      </c>
      <c r="O64" s="129">
        <f>'Restating Adj'!K64+'Pro Forma Adj'!J64</f>
        <v>0</v>
      </c>
      <c r="P64" s="129">
        <f>'Restating Adj'!L64</f>
        <v>0</v>
      </c>
      <c r="Q64" s="129">
        <f>'Restating Adj'!M64</f>
        <v>0</v>
      </c>
      <c r="R64" s="129">
        <f>'Restating Adj'!N64+'Pro Forma Adj'!K64</f>
        <v>0</v>
      </c>
      <c r="S64" s="129">
        <f>'Restating Adj'!O64</f>
        <v>0</v>
      </c>
      <c r="T64" s="129">
        <f>'Pro Forma Adj'!L64</f>
        <v>0</v>
      </c>
      <c r="U64" s="129">
        <f>'Restating Adj'!P64</f>
        <v>0</v>
      </c>
      <c r="V64" s="130">
        <f>'Restating Adj'!Q64</f>
        <v>0</v>
      </c>
      <c r="W64" s="40">
        <f>'Restating Adj'!R64</f>
        <v>0</v>
      </c>
      <c r="X64" s="131">
        <f>'Pro Forma Adj'!M64</f>
        <v>0</v>
      </c>
      <c r="Y64" s="129">
        <f>'Pro Forma Adj'!N64</f>
        <v>0</v>
      </c>
      <c r="Z64" s="129">
        <f>'Restating Adj'!S64</f>
        <v>0</v>
      </c>
      <c r="AA64" s="130">
        <f>'Restating Adj'!T64</f>
        <v>0</v>
      </c>
      <c r="AB64" s="132">
        <f>'Restating Adj'!U64+'Pro Forma Adj'!O64</f>
        <v>0</v>
      </c>
      <c r="AC64" s="41">
        <f>'Restating Adj'!V64+'Pro Forma Adj'!P64</f>
        <v>0</v>
      </c>
      <c r="AD64" s="131">
        <f>'Pro Forma Adj'!Q64</f>
        <v>0</v>
      </c>
      <c r="AE64" s="131">
        <f>'Restating Adj'!W64</f>
        <v>0</v>
      </c>
      <c r="AF64" s="131">
        <f>'Pro Forma Adj'!R64</f>
        <v>0</v>
      </c>
      <c r="AG64" s="131">
        <f>'Restating Adj'!X64</f>
        <v>0</v>
      </c>
      <c r="AH64" s="131">
        <f>'Restating Adj'!Y64</f>
        <v>0</v>
      </c>
      <c r="AI64" s="131">
        <f>'Restating Adj'!Z64</f>
        <v>0</v>
      </c>
      <c r="AJ64" s="131">
        <f>'Restating Adj'!AA64</f>
        <v>0</v>
      </c>
      <c r="AK64" s="133">
        <f>'Restating Adj'!AB64</f>
        <v>0</v>
      </c>
      <c r="AL64" s="40">
        <f>'Restating Adj'!AC64</f>
        <v>0</v>
      </c>
      <c r="AM64" s="129">
        <f>'Restating Adj'!AD64</f>
        <v>0</v>
      </c>
      <c r="AN64" s="129">
        <f>'Restating Adj'!AE64</f>
        <v>0</v>
      </c>
      <c r="AO64" s="129">
        <f>'Restating Adj'!AF64</f>
        <v>0</v>
      </c>
      <c r="AP64" s="129">
        <f>'Restating Adj'!AG64</f>
        <v>0</v>
      </c>
      <c r="AQ64" s="129">
        <f>'Restating Adj'!AH64</f>
        <v>0</v>
      </c>
      <c r="AR64" s="129">
        <f>'Restating Adj'!AI64</f>
        <v>0</v>
      </c>
      <c r="AS64" s="129">
        <f>'Restating Adj'!AJ64</f>
        <v>0</v>
      </c>
      <c r="AT64" s="131">
        <f>'Pro Forma Adj'!S64</f>
        <v>0</v>
      </c>
      <c r="AU64" s="129">
        <f>'Restating Adj'!AK64+'Pro Forma Adj'!T64</f>
        <v>0</v>
      </c>
      <c r="AV64" s="129">
        <f>'Restating Adj'!AL64</f>
        <v>0</v>
      </c>
      <c r="AW64" s="130">
        <f>'Pro Forma Adj'!U64</f>
        <v>0</v>
      </c>
      <c r="AX64" s="40">
        <f>'Pro Forma Adj'!V64</f>
        <v>0</v>
      </c>
      <c r="AY64" s="130">
        <f>'Pro Forma Adj'!W64</f>
        <v>0</v>
      </c>
      <c r="BB64" s="235">
        <f>B64-'Page 1.4'!C58</f>
        <v>0</v>
      </c>
    </row>
    <row r="65" spans="1:54">
      <c r="A65" s="18" t="s">
        <v>105</v>
      </c>
      <c r="B65" s="244">
        <f t="shared" si="43"/>
        <v>472323.46587550221</v>
      </c>
      <c r="C65" s="42">
        <f t="shared" ref="C65:AU65" si="44">SUM(C57:C64)</f>
        <v>0</v>
      </c>
      <c r="D65" s="134">
        <f t="shared" si="44"/>
        <v>0</v>
      </c>
      <c r="E65" s="134">
        <f t="shared" ref="E65" si="45">SUM(E57:E64)</f>
        <v>0</v>
      </c>
      <c r="F65" s="134">
        <f t="shared" si="44"/>
        <v>-1995224.0762694315</v>
      </c>
      <c r="G65" s="134">
        <f t="shared" si="44"/>
        <v>0</v>
      </c>
      <c r="H65" s="134">
        <f t="shared" si="44"/>
        <v>0</v>
      </c>
      <c r="I65" s="135">
        <f t="shared" si="44"/>
        <v>0</v>
      </c>
      <c r="J65" s="42">
        <f t="shared" si="44"/>
        <v>0</v>
      </c>
      <c r="K65" s="134">
        <f t="shared" si="44"/>
        <v>0</v>
      </c>
      <c r="L65" s="134">
        <f t="shared" ref="L65:M65" si="46">SUM(L57:L64)</f>
        <v>0</v>
      </c>
      <c r="M65" s="134">
        <f t="shared" si="46"/>
        <v>9294865.8110984862</v>
      </c>
      <c r="N65" s="134">
        <f t="shared" si="44"/>
        <v>56244.919679730992</v>
      </c>
      <c r="O65" s="134">
        <f t="shared" si="44"/>
        <v>-1087279.6666666667</v>
      </c>
      <c r="P65" s="134">
        <f t="shared" ref="P65:Z65" si="47">SUM(P57:P64)</f>
        <v>0</v>
      </c>
      <c r="Q65" s="134">
        <f t="shared" ref="Q65:V65" si="48">SUM(Q57:Q64)</f>
        <v>0</v>
      </c>
      <c r="R65" s="134">
        <f t="shared" si="48"/>
        <v>0</v>
      </c>
      <c r="S65" s="134">
        <f t="shared" si="48"/>
        <v>0</v>
      </c>
      <c r="T65" s="134">
        <f t="shared" si="48"/>
        <v>0</v>
      </c>
      <c r="U65" s="134">
        <f t="shared" si="48"/>
        <v>0</v>
      </c>
      <c r="V65" s="135">
        <f t="shared" si="48"/>
        <v>0</v>
      </c>
      <c r="W65" s="42">
        <f t="shared" si="47"/>
        <v>0</v>
      </c>
      <c r="X65" s="134">
        <f t="shared" ref="X65" si="49">SUM(X57:X64)</f>
        <v>0</v>
      </c>
      <c r="Y65" s="134">
        <f t="shared" si="47"/>
        <v>0</v>
      </c>
      <c r="Z65" s="134">
        <f t="shared" si="47"/>
        <v>0</v>
      </c>
      <c r="AA65" s="135">
        <f t="shared" si="44"/>
        <v>18288974.637414075</v>
      </c>
      <c r="AB65" s="244">
        <f t="shared" si="44"/>
        <v>273209.90369618993</v>
      </c>
      <c r="AC65" s="42">
        <f t="shared" si="44"/>
        <v>0</v>
      </c>
      <c r="AD65" s="134">
        <f t="shared" si="44"/>
        <v>0</v>
      </c>
      <c r="AE65" s="134">
        <f t="shared" si="44"/>
        <v>-222584.42473664155</v>
      </c>
      <c r="AF65" s="134">
        <f t="shared" si="44"/>
        <v>0</v>
      </c>
      <c r="AG65" s="134">
        <f t="shared" si="44"/>
        <v>0</v>
      </c>
      <c r="AH65" s="134">
        <f t="shared" si="44"/>
        <v>-2089738.2646262255</v>
      </c>
      <c r="AI65" s="134">
        <f t="shared" si="44"/>
        <v>0</v>
      </c>
      <c r="AJ65" s="134">
        <f t="shared" ref="AJ65" si="50">SUM(AJ57:AJ64)</f>
        <v>953690</v>
      </c>
      <c r="AK65" s="135">
        <f t="shared" si="44"/>
        <v>-773349.3887389946</v>
      </c>
      <c r="AL65" s="42">
        <f t="shared" si="44"/>
        <v>-3291205.6015833332</v>
      </c>
      <c r="AM65" s="134">
        <f t="shared" si="44"/>
        <v>-26791408.568740711</v>
      </c>
      <c r="AN65" s="134">
        <f t="shared" si="44"/>
        <v>-261733.89601158394</v>
      </c>
      <c r="AO65" s="134">
        <f t="shared" si="44"/>
        <v>-293988.17735592474</v>
      </c>
      <c r="AP65" s="134">
        <f t="shared" si="44"/>
        <v>0</v>
      </c>
      <c r="AQ65" s="134">
        <f t="shared" si="44"/>
        <v>0</v>
      </c>
      <c r="AR65" s="134">
        <f t="shared" si="44"/>
        <v>0</v>
      </c>
      <c r="AS65" s="134">
        <f t="shared" si="44"/>
        <v>0</v>
      </c>
      <c r="AT65" s="134">
        <f t="shared" si="44"/>
        <v>-102416.90558588051</v>
      </c>
      <c r="AU65" s="134">
        <f t="shared" si="44"/>
        <v>1684119.8749996668</v>
      </c>
      <c r="AV65" s="134">
        <f t="shared" ref="AV65:AW65" si="51">SUM(AV57:AV64)</f>
        <v>1180944.0837095301</v>
      </c>
      <c r="AW65" s="135">
        <f t="shared" si="51"/>
        <v>1521445.4948156718</v>
      </c>
      <c r="AX65" s="42">
        <f t="shared" ref="AX65:AY65" si="52">SUM(AX57:AX64)</f>
        <v>3603236.6969485842</v>
      </c>
      <c r="AY65" s="135">
        <f t="shared" si="52"/>
        <v>524521.01382895326</v>
      </c>
      <c r="BB65" s="235">
        <f>B65-'Page 1.4'!C59</f>
        <v>9.3132257461547852E-9</v>
      </c>
    </row>
    <row r="66" spans="1:54">
      <c r="A66" s="18"/>
      <c r="B66" s="127"/>
      <c r="C66" s="39"/>
      <c r="D66" s="16"/>
      <c r="E66" s="16"/>
      <c r="F66" s="16"/>
      <c r="G66" s="16"/>
      <c r="H66" s="16"/>
      <c r="I66" s="125"/>
      <c r="J66" s="39"/>
      <c r="K66" s="16"/>
      <c r="L66" s="16"/>
      <c r="M66" s="16"/>
      <c r="N66" s="16"/>
      <c r="O66" s="16"/>
      <c r="P66" s="16"/>
      <c r="Q66" s="16"/>
      <c r="R66" s="16"/>
      <c r="S66" s="16"/>
      <c r="T66" s="16"/>
      <c r="U66" s="16"/>
      <c r="V66" s="125"/>
      <c r="W66" s="39"/>
      <c r="X66" s="16"/>
      <c r="Y66" s="16"/>
      <c r="Z66" s="16"/>
      <c r="AA66" s="125"/>
      <c r="AB66" s="127"/>
      <c r="AC66" s="39"/>
      <c r="AD66" s="16"/>
      <c r="AE66" s="16"/>
      <c r="AF66" s="16"/>
      <c r="AG66" s="16"/>
      <c r="AH66" s="16"/>
      <c r="AI66" s="16"/>
      <c r="AJ66" s="16"/>
      <c r="AK66" s="125"/>
      <c r="AL66" s="39"/>
      <c r="AM66" s="16"/>
      <c r="AN66" s="16"/>
      <c r="AO66" s="16"/>
      <c r="AP66" s="16"/>
      <c r="AQ66" s="16"/>
      <c r="AR66" s="16"/>
      <c r="AS66" s="16"/>
      <c r="AT66" s="16"/>
      <c r="AU66" s="16"/>
      <c r="AV66" s="16"/>
      <c r="AW66" s="125"/>
      <c r="AX66" s="39"/>
      <c r="AY66" s="125"/>
      <c r="BB66" s="235">
        <f>B66-'Page 1.4'!C60</f>
        <v>0</v>
      </c>
    </row>
    <row r="67" spans="1:54" ht="13.5" thickBot="1">
      <c r="A67" s="18" t="s">
        <v>106</v>
      </c>
      <c r="B67" s="248">
        <f>SUM(C67:AY67)</f>
        <v>-7014936.0048623784</v>
      </c>
      <c r="C67" s="46">
        <f t="shared" ref="C67:AY67" si="53">C54+C65</f>
        <v>0</v>
      </c>
      <c r="D67" s="147">
        <f t="shared" si="53"/>
        <v>0</v>
      </c>
      <c r="E67" s="164">
        <f>E54+E65</f>
        <v>0</v>
      </c>
      <c r="F67" s="147">
        <f t="shared" si="53"/>
        <v>-1995224.0762694315</v>
      </c>
      <c r="G67" s="147">
        <f t="shared" si="53"/>
        <v>0</v>
      </c>
      <c r="H67" s="147">
        <f t="shared" si="53"/>
        <v>0</v>
      </c>
      <c r="I67" s="249">
        <f t="shared" si="53"/>
        <v>0</v>
      </c>
      <c r="J67" s="46">
        <f t="shared" si="53"/>
        <v>0</v>
      </c>
      <c r="K67" s="147">
        <f t="shared" si="53"/>
        <v>0</v>
      </c>
      <c r="L67" s="164">
        <f t="shared" si="53"/>
        <v>0</v>
      </c>
      <c r="M67" s="164">
        <f t="shared" si="53"/>
        <v>7282596.1270833286</v>
      </c>
      <c r="N67" s="147">
        <f t="shared" si="53"/>
        <v>56244.919679730992</v>
      </c>
      <c r="O67" s="147">
        <f t="shared" si="53"/>
        <v>-1087279.6666666667</v>
      </c>
      <c r="P67" s="147">
        <f t="shared" si="53"/>
        <v>0</v>
      </c>
      <c r="Q67" s="164">
        <f t="shared" si="53"/>
        <v>0</v>
      </c>
      <c r="R67" s="164">
        <f t="shared" si="53"/>
        <v>-79630.904999999548</v>
      </c>
      <c r="S67" s="164">
        <f t="shared" si="53"/>
        <v>0</v>
      </c>
      <c r="T67" s="164">
        <f t="shared" si="53"/>
        <v>0</v>
      </c>
      <c r="U67" s="164">
        <f t="shared" si="53"/>
        <v>0</v>
      </c>
      <c r="V67" s="162">
        <f t="shared" si="53"/>
        <v>0</v>
      </c>
      <c r="W67" s="46">
        <f t="shared" si="53"/>
        <v>0</v>
      </c>
      <c r="X67" s="164">
        <f t="shared" si="53"/>
        <v>0</v>
      </c>
      <c r="Y67" s="147">
        <f t="shared" si="53"/>
        <v>0</v>
      </c>
      <c r="Z67" s="147">
        <f t="shared" si="53"/>
        <v>0</v>
      </c>
      <c r="AA67" s="249">
        <f t="shared" si="53"/>
        <v>-8629458.7270486429</v>
      </c>
      <c r="AB67" s="248">
        <f t="shared" si="53"/>
        <v>273209.90369618993</v>
      </c>
      <c r="AC67" s="46">
        <f t="shared" si="53"/>
        <v>0</v>
      </c>
      <c r="AD67" s="164">
        <f t="shared" si="53"/>
        <v>0</v>
      </c>
      <c r="AE67" s="147">
        <f t="shared" si="53"/>
        <v>-222584.42473664155</v>
      </c>
      <c r="AF67" s="147">
        <f t="shared" si="53"/>
        <v>0</v>
      </c>
      <c r="AG67" s="147">
        <f t="shared" si="53"/>
        <v>0</v>
      </c>
      <c r="AH67" s="164">
        <f t="shared" si="53"/>
        <v>-2089738.2646262255</v>
      </c>
      <c r="AI67" s="147">
        <f t="shared" si="53"/>
        <v>0</v>
      </c>
      <c r="AJ67" s="147">
        <f t="shared" si="53"/>
        <v>953690</v>
      </c>
      <c r="AK67" s="249">
        <f t="shared" si="53"/>
        <v>-773349.3887389946</v>
      </c>
      <c r="AL67" s="46">
        <f t="shared" si="53"/>
        <v>-3291205.6015833332</v>
      </c>
      <c r="AM67" s="147">
        <f t="shared" si="53"/>
        <v>32582682.633573584</v>
      </c>
      <c r="AN67" s="147">
        <f t="shared" si="53"/>
        <v>-97120.704204546346</v>
      </c>
      <c r="AO67" s="147">
        <f t="shared" si="53"/>
        <v>-293988.17735592474</v>
      </c>
      <c r="AP67" s="147">
        <f t="shared" si="53"/>
        <v>-423015.57377275266</v>
      </c>
      <c r="AQ67" s="147">
        <f t="shared" si="53"/>
        <v>-17300210.276439257</v>
      </c>
      <c r="AR67" s="147">
        <f t="shared" si="53"/>
        <v>-3225575.8254245874</v>
      </c>
      <c r="AS67" s="164">
        <f t="shared" si="53"/>
        <v>0</v>
      </c>
      <c r="AT67" s="147">
        <f t="shared" si="53"/>
        <v>-315733.83958087338</v>
      </c>
      <c r="AU67" s="147">
        <f t="shared" si="53"/>
        <v>-1356953.3966253332</v>
      </c>
      <c r="AV67" s="164">
        <f t="shared" si="53"/>
        <v>1078475.3317584428</v>
      </c>
      <c r="AW67" s="162">
        <f t="shared" si="53"/>
        <v>-36215.42239254131</v>
      </c>
      <c r="AX67" s="157">
        <f t="shared" si="53"/>
        <v>-7511212.5498003904</v>
      </c>
      <c r="AY67" s="162">
        <f t="shared" si="53"/>
        <v>-513338.10038750677</v>
      </c>
      <c r="BB67" s="235">
        <f>B67-'Page 1.4'!C61</f>
        <v>-1.0244548320770264E-8</v>
      </c>
    </row>
    <row r="68" spans="1:54" ht="13.5" thickTop="1">
      <c r="A68" s="18"/>
      <c r="B68" s="127"/>
      <c r="C68" s="39"/>
      <c r="D68" s="16"/>
      <c r="E68" s="16"/>
      <c r="F68" s="16"/>
      <c r="G68" s="16"/>
      <c r="H68" s="16"/>
      <c r="I68" s="125"/>
      <c r="J68" s="39"/>
      <c r="K68" s="16"/>
      <c r="L68" s="16"/>
      <c r="M68" s="16"/>
      <c r="N68" s="16"/>
      <c r="O68" s="16"/>
      <c r="P68" s="16"/>
      <c r="Q68" s="16"/>
      <c r="R68" s="16"/>
      <c r="S68" s="16"/>
      <c r="T68" s="16"/>
      <c r="U68" s="16"/>
      <c r="V68" s="125"/>
      <c r="W68" s="39"/>
      <c r="X68" s="16"/>
      <c r="Y68" s="16"/>
      <c r="Z68" s="16"/>
      <c r="AA68" s="125"/>
      <c r="AB68" s="127"/>
      <c r="AC68" s="39"/>
      <c r="AD68" s="16"/>
      <c r="AE68" s="16"/>
      <c r="AF68" s="16"/>
      <c r="AG68" s="16"/>
      <c r="AH68" s="16"/>
      <c r="AI68" s="16"/>
      <c r="AJ68" s="16"/>
      <c r="AK68" s="125"/>
      <c r="AL68" s="39"/>
      <c r="AM68" s="16"/>
      <c r="AN68" s="16"/>
      <c r="AO68" s="16"/>
      <c r="AP68" s="16"/>
      <c r="AQ68" s="16"/>
      <c r="AR68" s="16"/>
      <c r="AS68" s="16"/>
      <c r="AT68" s="16"/>
      <c r="AU68" s="16"/>
      <c r="AV68" s="16"/>
      <c r="AW68" s="125"/>
      <c r="AX68" s="39"/>
      <c r="AY68" s="125"/>
      <c r="BB68" s="235">
        <f>B68-'Page 1.4'!C62</f>
        <v>0</v>
      </c>
    </row>
    <row r="69" spans="1:54">
      <c r="A69" s="18"/>
      <c r="B69" s="127"/>
      <c r="C69" s="39"/>
      <c r="D69" s="16"/>
      <c r="E69" s="16"/>
      <c r="F69" s="16"/>
      <c r="G69" s="16"/>
      <c r="H69" s="16"/>
      <c r="I69" s="125"/>
      <c r="J69" s="39"/>
      <c r="K69" s="16"/>
      <c r="L69" s="16"/>
      <c r="M69" s="16"/>
      <c r="N69" s="16"/>
      <c r="O69" s="16"/>
      <c r="P69" s="16"/>
      <c r="Q69" s="16"/>
      <c r="R69" s="16"/>
      <c r="S69" s="16"/>
      <c r="T69" s="16"/>
      <c r="U69" s="16"/>
      <c r="V69" s="125"/>
      <c r="W69" s="39"/>
      <c r="X69" s="16"/>
      <c r="Y69" s="16"/>
      <c r="Z69" s="16"/>
      <c r="AA69" s="125"/>
      <c r="AB69" s="127"/>
      <c r="AC69" s="39"/>
      <c r="AD69" s="16"/>
      <c r="AE69" s="16"/>
      <c r="AF69" s="16"/>
      <c r="AG69" s="16"/>
      <c r="AH69" s="16"/>
      <c r="AI69" s="16"/>
      <c r="AJ69" s="16"/>
      <c r="AK69" s="125"/>
      <c r="AL69" s="39"/>
      <c r="AM69" s="16"/>
      <c r="AN69" s="16"/>
      <c r="AO69" s="16"/>
      <c r="AP69" s="16"/>
      <c r="AQ69" s="16"/>
      <c r="AR69" s="16"/>
      <c r="AS69" s="16"/>
      <c r="AT69" s="16"/>
      <c r="AU69" s="16"/>
      <c r="AV69" s="16"/>
      <c r="AW69" s="125"/>
      <c r="AX69" s="39"/>
      <c r="AY69" s="125"/>
      <c r="BB69" s="235">
        <f>B69-'Page 1.4'!C63</f>
        <v>-5.318180526668595E-2</v>
      </c>
    </row>
    <row r="70" spans="1:54">
      <c r="A70" s="18" t="s">
        <v>186</v>
      </c>
      <c r="B70" s="33">
        <f t="shared" ref="B70:AU70" si="54">(((B40+Unadj_Op_revenue)/(B67+Unadj_rate_base))-Weighted_cost_debt-Weighted_cost_pref)/Percent_common-Unadj_ROE</f>
        <v>5.318180526668595E-2</v>
      </c>
      <c r="C70" s="31">
        <f t="shared" si="54"/>
        <v>5.5529882361064001E-3</v>
      </c>
      <c r="D70" s="30">
        <f t="shared" si="54"/>
        <v>2.4637661498840252E-2</v>
      </c>
      <c r="E70" s="30">
        <f t="shared" ref="E70" si="55">(((E40+Unadj_Op_revenue)/(E67+Unadj_rate_base))-Weighted_cost_debt-Weighted_cost_pref)/Percent_common-Unadj_ROE</f>
        <v>5.7991583431738367E-2</v>
      </c>
      <c r="F70" s="30">
        <f t="shared" si="54"/>
        <v>1.4271321521119387E-3</v>
      </c>
      <c r="G70" s="30">
        <f t="shared" si="54"/>
        <v>-1.4389530461519903E-2</v>
      </c>
      <c r="H70" s="30">
        <f t="shared" si="54"/>
        <v>1.619497604273705E-3</v>
      </c>
      <c r="I70" s="32">
        <f t="shared" ref="I70" si="56">(((I40+Unadj_Op_revenue)/(I67+Unadj_rate_base))-Weighted_cost_debt-Weighted_cost_pref)/Percent_common-Unadj_ROE</f>
        <v>1.7608396745021002E-3</v>
      </c>
      <c r="J70" s="31">
        <f t="shared" si="54"/>
        <v>2.3128896510361818E-4</v>
      </c>
      <c r="K70" s="30">
        <f t="shared" si="54"/>
        <v>1.9061784097014478E-4</v>
      </c>
      <c r="L70" s="30">
        <f t="shared" ref="L70" si="57">(((L40+Restated_Op_revenue)/(L67+Restated_rate_base))-Weighted_cost_debt-Weighted_cost_pref)/Percent_common-Restated_ROE</f>
        <v>0</v>
      </c>
      <c r="M70" s="30">
        <f t="shared" ref="M70" si="58">(((M40+Unadj_Op_revenue)/(M67+Unadj_rate_base))-Weighted_cost_debt-Weighted_cost_pref)/Percent_common-Unadj_ROE</f>
        <v>9.175137124495733E-4</v>
      </c>
      <c r="N70" s="30">
        <f t="shared" si="54"/>
        <v>-1.7243238945983258E-4</v>
      </c>
      <c r="O70" s="30">
        <f t="shared" si="54"/>
        <v>2.4040795720490366E-4</v>
      </c>
      <c r="P70" s="30">
        <f t="shared" si="54"/>
        <v>1.9198500176358657E-3</v>
      </c>
      <c r="Q70" s="30">
        <f t="shared" ref="Q70:V70" si="59">(((Q40+Unadj_Op_revenue)/(Q67+Unadj_rate_base))-Weighted_cost_debt-Weighted_cost_pref)/Percent_common-Unadj_ROE</f>
        <v>-6.4118706364843514E-6</v>
      </c>
      <c r="R70" s="30">
        <f t="shared" si="59"/>
        <v>2.5970169753312261E-4</v>
      </c>
      <c r="S70" s="30">
        <f t="shared" si="59"/>
        <v>2.5188593731600983E-5</v>
      </c>
      <c r="T70" s="30">
        <f t="shared" si="59"/>
        <v>-4.4710444122997295E-4</v>
      </c>
      <c r="U70" s="30">
        <f t="shared" si="59"/>
        <v>-7.6100119194746907E-5</v>
      </c>
      <c r="V70" s="32">
        <f t="shared" si="59"/>
        <v>-2.3812493132602253E-6</v>
      </c>
      <c r="W70" s="31">
        <f t="shared" si="54"/>
        <v>2.8482389519990381E-3</v>
      </c>
      <c r="X70" s="30">
        <f t="shared" si="54"/>
        <v>-2.384299152133736E-2</v>
      </c>
      <c r="Y70" s="30">
        <f t="shared" si="54"/>
        <v>1.9233020380759747E-3</v>
      </c>
      <c r="Z70" s="30">
        <f t="shared" si="54"/>
        <v>-1.5333872718301902E-2</v>
      </c>
      <c r="AA70" s="32">
        <f t="shared" si="54"/>
        <v>2.0496133009041961E-3</v>
      </c>
      <c r="AB70" s="33">
        <f t="shared" si="54"/>
        <v>-2.4935316958354242E-4</v>
      </c>
      <c r="AC70" s="31">
        <f t="shared" si="54"/>
        <v>-1.0235377510901394E-3</v>
      </c>
      <c r="AD70" s="30">
        <f t="shared" ref="AD70" si="60">(((AD40+Unadj_Op_revenue)/(AD67+Unadj_rate_base))-Weighted_cost_debt-Weighted_cost_pref)/Percent_common-Unadj_ROE</f>
        <v>2.1153171756113642E-3</v>
      </c>
      <c r="AE70" s="30">
        <f t="shared" si="54"/>
        <v>8.2926199253838956E-4</v>
      </c>
      <c r="AF70" s="30">
        <f t="shared" si="54"/>
        <v>-3.0438376001709483E-3</v>
      </c>
      <c r="AG70" s="30">
        <f t="shared" si="54"/>
        <v>2.2511589876451216E-4</v>
      </c>
      <c r="AH70" s="30">
        <f t="shared" ref="AH70" si="61">(((AH40+Unadj_Op_revenue)/(AH67+Unadj_rate_base))-Weighted_cost_debt-Weighted_cost_pref)/Percent_common-Unadj_ROE</f>
        <v>2.9271894722239511E-4</v>
      </c>
      <c r="AI70" s="30">
        <f t="shared" si="54"/>
        <v>-1.0656188904534514E-3</v>
      </c>
      <c r="AJ70" s="30">
        <f t="shared" si="54"/>
        <v>4.9080560715934543E-3</v>
      </c>
      <c r="AK70" s="32">
        <f t="shared" si="54"/>
        <v>5.1853447301353217E-5</v>
      </c>
      <c r="AL70" s="31">
        <f t="shared" si="54"/>
        <v>4.4406586049357266E-4</v>
      </c>
      <c r="AM70" s="30">
        <f t="shared" si="54"/>
        <v>-4.3637150845090775E-3</v>
      </c>
      <c r="AN70" s="30">
        <f t="shared" si="54"/>
        <v>-5.7823561270786694E-4</v>
      </c>
      <c r="AO70" s="30">
        <f t="shared" si="54"/>
        <v>4.1082574044976061E-5</v>
      </c>
      <c r="AP70" s="30">
        <f t="shared" si="54"/>
        <v>1.0752004519981595E-4</v>
      </c>
      <c r="AQ70" s="30">
        <f t="shared" si="54"/>
        <v>2.473113890608454E-3</v>
      </c>
      <c r="AR70" s="30">
        <f t="shared" si="54"/>
        <v>4.5250114644963813E-4</v>
      </c>
      <c r="AS70" s="30">
        <f t="shared" ref="AS70" si="62">(((AS40+Unadj_Op_revenue)/(AS67+Unadj_rate_base))-Weighted_cost_debt-Weighted_cost_pref)/Percent_common-Unadj_ROE</f>
        <v>-1.9300203160451529E-4</v>
      </c>
      <c r="AT70" s="30">
        <f t="shared" si="54"/>
        <v>8.4971682487615385E-4</v>
      </c>
      <c r="AU70" s="30">
        <f t="shared" si="54"/>
        <v>-5.0231207069384234E-3</v>
      </c>
      <c r="AV70" s="30">
        <f t="shared" ref="AV70:AY70" si="63">(((AV40+Unadj_Op_revenue)/(AV67+Unadj_rate_base))-Weighted_cost_debt-Weighted_cost_pref)/Percent_common-Unadj_ROE</f>
        <v>2.9651313264470597E-4</v>
      </c>
      <c r="AW70" s="32">
        <f t="shared" ref="AW70" si="64">(((AW40+Unadj_Op_revenue)/(AW67+Unadj_rate_base))-Weighted_cost_debt-Weighted_cost_pref)/Percent_common-Unadj_ROE</f>
        <v>1.6627718148602699E-4</v>
      </c>
      <c r="AX70" s="31">
        <f t="shared" si="63"/>
        <v>2.4817913091900665E-3</v>
      </c>
      <c r="AY70" s="32">
        <f t="shared" si="63"/>
        <v>3.4498398146250511E-3</v>
      </c>
      <c r="BB70" s="235">
        <f>B70-'Page 1.4'!C63</f>
        <v>0</v>
      </c>
    </row>
    <row r="71" spans="1:54">
      <c r="A71" s="18" t="s">
        <v>53</v>
      </c>
      <c r="B71" s="250">
        <f>SUM(C71:AY71)</f>
        <v>-31884366.355559736</v>
      </c>
      <c r="C71" s="47">
        <f t="shared" ref="C71:AU71" si="65">-(C40-(C67*Overall_ROR))/gross_up_factor</f>
        <v>-3330000.45063928</v>
      </c>
      <c r="D71" s="148">
        <f t="shared" si="65"/>
        <v>-14774643.922415871</v>
      </c>
      <c r="E71" s="148">
        <f t="shared" ref="E71" si="66">-(E40-(E67*Overall_ROR))/gross_up_factor</f>
        <v>-34776230.51771117</v>
      </c>
      <c r="F71" s="148">
        <f t="shared" si="65"/>
        <v>-935417.90116079303</v>
      </c>
      <c r="G71" s="148">
        <f t="shared" si="65"/>
        <v>8629073.3716639653</v>
      </c>
      <c r="H71" s="148">
        <f t="shared" si="65"/>
        <v>-971175.79269752069</v>
      </c>
      <c r="I71" s="251">
        <f t="shared" ref="I71" si="67">-(I40-(I67*Overall_ROR))/gross_up_factor</f>
        <v>-1055935.4099598951</v>
      </c>
      <c r="J71" s="47">
        <f>-(J40-(J67*Overall_ROR))/gross_up_factor</f>
        <v>-138698.71954977981</v>
      </c>
      <c r="K71" s="148">
        <f t="shared" si="65"/>
        <v>-114309.17360911609</v>
      </c>
      <c r="L71" s="16">
        <f t="shared" si="65"/>
        <v>0</v>
      </c>
      <c r="M71" s="148">
        <f t="shared" ref="M71" si="68">-(M40-(M67*Overall_ROR))/gross_up_factor</f>
        <v>-256735.48419641086</v>
      </c>
      <c r="N71" s="148">
        <f t="shared" si="65"/>
        <v>105718.88086153039</v>
      </c>
      <c r="O71" s="148">
        <f t="shared" si="65"/>
        <v>-188565.5517991177</v>
      </c>
      <c r="P71" s="148">
        <f t="shared" si="65"/>
        <v>-1151290.2876902022</v>
      </c>
      <c r="Q71" s="148">
        <f t="shared" ref="Q71:V71" si="69">-(Q40-(Q67*Overall_ROR))/gross_up_factor</f>
        <v>3845.0526457230208</v>
      </c>
      <c r="R71" s="148">
        <f t="shared" si="69"/>
        <v>-158987.6490515141</v>
      </c>
      <c r="S71" s="148">
        <f t="shared" si="69"/>
        <v>-15105.025422494502</v>
      </c>
      <c r="T71" s="148">
        <f t="shared" si="69"/>
        <v>268118.34051760333</v>
      </c>
      <c r="U71" s="148">
        <f t="shared" si="69"/>
        <v>45635.506584453542</v>
      </c>
      <c r="V71" s="251">
        <f t="shared" si="69"/>
        <v>1427.9809265025481</v>
      </c>
      <c r="W71" s="47">
        <f t="shared" si="65"/>
        <v>-1708023.966630179</v>
      </c>
      <c r="X71" s="148">
        <f t="shared" si="65"/>
        <v>14298098.453439755</v>
      </c>
      <c r="Y71" s="148">
        <f t="shared" si="65"/>
        <v>-1153360.3856505116</v>
      </c>
      <c r="Z71" s="148">
        <f t="shared" si="65"/>
        <v>9195373.8943617698</v>
      </c>
      <c r="AA71" s="251">
        <f t="shared" si="65"/>
        <v>-1569125.4055676637</v>
      </c>
      <c r="AB71" s="127">
        <f t="shared" si="65"/>
        <v>160793.69322908088</v>
      </c>
      <c r="AC71" s="47">
        <f t="shared" si="65"/>
        <v>613792.25517077465</v>
      </c>
      <c r="AD71" s="148">
        <f t="shared" ref="AD71" si="70">-(AD40-(AD67*Overall_ROR))/gross_up_factor</f>
        <v>-1268507.4861548657</v>
      </c>
      <c r="AE71" s="148">
        <f t="shared" si="65"/>
        <v>-506274.84632854431</v>
      </c>
      <c r="AF71" s="148">
        <f t="shared" si="65"/>
        <v>1825320.0167679728</v>
      </c>
      <c r="AG71" s="148">
        <f t="shared" si="65"/>
        <v>-134996.87239702835</v>
      </c>
      <c r="AH71" s="148">
        <f t="shared" ref="AH71" si="71">-(AH40-(AH67*Overall_ROR))/gross_up_factor</f>
        <v>-260783.48625843614</v>
      </c>
      <c r="AI71" s="148">
        <f t="shared" si="65"/>
        <v>639027.35509986349</v>
      </c>
      <c r="AJ71" s="148">
        <f t="shared" si="65"/>
        <v>-2907829.9888750953</v>
      </c>
      <c r="AK71" s="251">
        <f t="shared" si="65"/>
        <v>-62790.001593599445</v>
      </c>
      <c r="AL71" s="47">
        <f t="shared" si="65"/>
        <v>-400159.85963975976</v>
      </c>
      <c r="AM71" s="148">
        <f t="shared" si="65"/>
        <v>4066071.6763758534</v>
      </c>
      <c r="AN71" s="148">
        <f t="shared" si="65"/>
        <v>342725.91052380059</v>
      </c>
      <c r="AO71" s="148">
        <f t="shared" si="65"/>
        <v>-36687.494844410263</v>
      </c>
      <c r="AP71" s="148">
        <f t="shared" si="65"/>
        <v>-81795.395593875903</v>
      </c>
      <c r="AQ71" s="148">
        <f t="shared" si="65"/>
        <v>-2158935.0328046023</v>
      </c>
      <c r="AR71" s="148">
        <f t="shared" si="65"/>
        <v>-402527.39933228493</v>
      </c>
      <c r="AS71" s="148">
        <f t="shared" ref="AS71" si="72">-(AS40-(AS67*Overall_ROR))/gross_up_factor</f>
        <v>115738.91837883776</v>
      </c>
      <c r="AT71" s="148">
        <f t="shared" si="65"/>
        <v>-522296.30534926796</v>
      </c>
      <c r="AU71" s="148">
        <f t="shared" si="65"/>
        <v>2951186.4422894721</v>
      </c>
      <c r="AV71" s="148">
        <f t="shared" ref="AV71:AY71" si="73">-(AV40-(AV67*Overall_ROR))/gross_up_factor</f>
        <v>-133821.20546840716</v>
      </c>
      <c r="AW71" s="251">
        <f t="shared" ref="AW71" si="74">-(AW40-(AW67*Overall_ROR))/gross_up_factor</f>
        <v>-101193.59429702058</v>
      </c>
      <c r="AX71" s="47">
        <f t="shared" si="73"/>
        <v>-1781661.6132935451</v>
      </c>
      <c r="AY71" s="251">
        <f t="shared" si="73"/>
        <v>-2088447.8784144386</v>
      </c>
      <c r="BB71" s="235">
        <f>B71-'Page 1.4'!C64</f>
        <v>0</v>
      </c>
    </row>
    <row r="72" spans="1:54">
      <c r="A72" s="18"/>
      <c r="B72" s="24"/>
      <c r="C72" s="22"/>
      <c r="D72" s="21"/>
      <c r="E72" s="21"/>
      <c r="F72" s="21"/>
      <c r="G72" s="21"/>
      <c r="H72" s="21"/>
      <c r="I72" s="23"/>
      <c r="J72" s="22"/>
      <c r="K72" s="21"/>
      <c r="L72" s="21"/>
      <c r="M72" s="21"/>
      <c r="N72" s="21"/>
      <c r="O72" s="21"/>
      <c r="P72" s="21"/>
      <c r="Q72" s="21"/>
      <c r="R72" s="21"/>
      <c r="S72" s="21"/>
      <c r="T72" s="21"/>
      <c r="U72" s="21"/>
      <c r="V72" s="23"/>
      <c r="W72" s="22"/>
      <c r="X72" s="21"/>
      <c r="Y72" s="21"/>
      <c r="Z72" s="21"/>
      <c r="AA72" s="23"/>
      <c r="AB72" s="24"/>
      <c r="AC72" s="22"/>
      <c r="AD72" s="21"/>
      <c r="AE72" s="21"/>
      <c r="AF72" s="21"/>
      <c r="AG72" s="21"/>
      <c r="AH72" s="21"/>
      <c r="AI72" s="21"/>
      <c r="AJ72" s="21"/>
      <c r="AK72" s="23"/>
      <c r="AL72" s="22"/>
      <c r="AM72" s="21"/>
      <c r="AN72" s="21"/>
      <c r="AO72" s="21"/>
      <c r="AP72" s="21"/>
      <c r="AQ72" s="21"/>
      <c r="AR72" s="21"/>
      <c r="AS72" s="21"/>
      <c r="AT72" s="21"/>
      <c r="AU72" s="21"/>
      <c r="AV72" s="21"/>
      <c r="AW72" s="23"/>
      <c r="AX72" s="22"/>
      <c r="AY72" s="23"/>
      <c r="BB72" s="235">
        <f>B72-'Page 1.4'!C65</f>
        <v>0</v>
      </c>
    </row>
    <row r="73" spans="1:54">
      <c r="A73" s="18" t="s">
        <v>108</v>
      </c>
      <c r="B73" s="127"/>
      <c r="C73" s="39"/>
      <c r="D73" s="16"/>
      <c r="E73" s="16"/>
      <c r="F73" s="16"/>
      <c r="G73" s="16"/>
      <c r="H73" s="16"/>
      <c r="I73" s="125"/>
      <c r="J73" s="39"/>
      <c r="K73" s="16"/>
      <c r="L73" s="16"/>
      <c r="M73" s="16"/>
      <c r="N73" s="16"/>
      <c r="O73" s="16"/>
      <c r="P73" s="16"/>
      <c r="Q73" s="16"/>
      <c r="R73" s="16"/>
      <c r="S73" s="16"/>
      <c r="T73" s="16"/>
      <c r="U73" s="16"/>
      <c r="V73" s="125"/>
      <c r="W73" s="39"/>
      <c r="X73" s="16"/>
      <c r="Y73" s="16"/>
      <c r="Z73" s="16"/>
      <c r="AA73" s="125"/>
      <c r="AB73" s="127"/>
      <c r="AC73" s="39"/>
      <c r="AD73" s="16"/>
      <c r="AE73" s="16"/>
      <c r="AF73" s="16"/>
      <c r="AG73" s="16"/>
      <c r="AH73" s="16"/>
      <c r="AI73" s="16"/>
      <c r="AJ73" s="16"/>
      <c r="AK73" s="125"/>
      <c r="AL73" s="39"/>
      <c r="AM73" s="16"/>
      <c r="AN73" s="16"/>
      <c r="AO73" s="16"/>
      <c r="AP73" s="16"/>
      <c r="AQ73" s="16"/>
      <c r="AR73" s="16"/>
      <c r="AS73" s="16"/>
      <c r="AT73" s="16"/>
      <c r="AU73" s="16"/>
      <c r="AV73" s="16"/>
      <c r="AW73" s="125"/>
      <c r="AX73" s="39"/>
      <c r="AY73" s="125"/>
      <c r="BB73" s="235">
        <f>B73-'Page 1.4'!C66</f>
        <v>0</v>
      </c>
    </row>
    <row r="74" spans="1:54">
      <c r="A74" s="18" t="s">
        <v>109</v>
      </c>
      <c r="B74" s="250">
        <f t="shared" ref="B74:B80" si="75">SUM(C74:AY74)</f>
        <v>24762302.835524995</v>
      </c>
      <c r="C74" s="47">
        <f t="shared" ref="C74:AY74" si="76">C16-C29-C30-C31-C32-C37</f>
        <v>3177486.4300000006</v>
      </c>
      <c r="D74" s="148">
        <f t="shared" si="76"/>
        <v>13055703.999999991</v>
      </c>
      <c r="E74" s="16">
        <f t="shared" si="76"/>
        <v>33183479.159999996</v>
      </c>
      <c r="F74" s="148">
        <f t="shared" si="76"/>
        <v>695990.1299664448</v>
      </c>
      <c r="G74" s="148">
        <f t="shared" si="76"/>
        <v>-8233861.8112417553</v>
      </c>
      <c r="H74" s="148">
        <f t="shared" si="76"/>
        <v>926695.94139197399</v>
      </c>
      <c r="I74" s="251">
        <f t="shared" ref="I74" si="77">I16-I29-I30-I31-I32-I37</f>
        <v>1007573.5681837318</v>
      </c>
      <c r="J74" s="47">
        <f>J16-J29-J30-J31-J32-J37</f>
        <v>132346.31819439988</v>
      </c>
      <c r="K74" s="148">
        <f t="shared" si="76"/>
        <v>109073.81345781857</v>
      </c>
      <c r="L74" s="16">
        <f t="shared" si="76"/>
        <v>0</v>
      </c>
      <c r="M74" s="16">
        <f t="shared" si="76"/>
        <v>1146121.1485585673</v>
      </c>
      <c r="N74" s="148">
        <f t="shared" si="76"/>
        <v>-94179.484143901253</v>
      </c>
      <c r="O74" s="148">
        <f t="shared" si="76"/>
        <v>4243.9566412224667</v>
      </c>
      <c r="P74" s="148">
        <f>P16-P29-P30-P31-P32-P37</f>
        <v>0</v>
      </c>
      <c r="Q74" s="16">
        <f>Q16-Q29-Q30-Q31-Q32-Q37</f>
        <v>-3668.9492345489057</v>
      </c>
      <c r="R74" s="16">
        <f t="shared" ref="R74:V74" si="78">R16-R29-R30-R31-R32-R37</f>
        <v>-29289.111501199019</v>
      </c>
      <c r="S74" s="16">
        <f t="shared" si="78"/>
        <v>14413.215258144253</v>
      </c>
      <c r="T74" s="16">
        <f t="shared" si="78"/>
        <v>158128.65403550165</v>
      </c>
      <c r="U74" s="16">
        <f t="shared" si="78"/>
        <v>-43545.400382885564</v>
      </c>
      <c r="V74" s="125">
        <f t="shared" si="78"/>
        <v>-1362.579400068731</v>
      </c>
      <c r="W74" s="47">
        <f t="shared" si="76"/>
        <v>1629796.4689585164</v>
      </c>
      <c r="X74" s="16">
        <f t="shared" si="76"/>
        <v>-13643245.544272214</v>
      </c>
      <c r="Y74" s="148">
        <f t="shared" si="76"/>
        <v>1100536.4799877179</v>
      </c>
      <c r="Z74" s="148">
        <f t="shared" si="76"/>
        <v>-8774225.7699999996</v>
      </c>
      <c r="AA74" s="251">
        <f t="shared" si="76"/>
        <v>455171.77855457249</v>
      </c>
      <c r="AB74" s="127">
        <f t="shared" si="76"/>
        <v>0</v>
      </c>
      <c r="AC74" s="47">
        <f t="shared" si="76"/>
        <v>0</v>
      </c>
      <c r="AD74" s="148">
        <f t="shared" si="76"/>
        <v>0</v>
      </c>
      <c r="AE74" s="148">
        <f t="shared" si="76"/>
        <v>0</v>
      </c>
      <c r="AF74" s="148">
        <f t="shared" si="76"/>
        <v>-1741720.3599999994</v>
      </c>
      <c r="AG74" s="148">
        <f t="shared" si="76"/>
        <v>0</v>
      </c>
      <c r="AH74" s="148">
        <f t="shared" si="76"/>
        <v>0</v>
      </c>
      <c r="AI74" s="148">
        <f t="shared" si="76"/>
        <v>0</v>
      </c>
      <c r="AJ74" s="148">
        <f t="shared" si="76"/>
        <v>0</v>
      </c>
      <c r="AK74" s="251">
        <f t="shared" si="76"/>
        <v>0</v>
      </c>
      <c r="AL74" s="47">
        <f t="shared" si="76"/>
        <v>-10074.098181818181</v>
      </c>
      <c r="AM74" s="148">
        <f t="shared" si="76"/>
        <v>0</v>
      </c>
      <c r="AN74" s="148">
        <f t="shared" si="76"/>
        <v>-76772.861659234259</v>
      </c>
      <c r="AO74" s="148">
        <f t="shared" si="76"/>
        <v>0</v>
      </c>
      <c r="AP74" s="148">
        <f t="shared" si="76"/>
        <v>17990.552799178593</v>
      </c>
      <c r="AQ74" s="148">
        <f t="shared" si="76"/>
        <v>0</v>
      </c>
      <c r="AR74" s="148">
        <f t="shared" si="76"/>
        <v>0</v>
      </c>
      <c r="AS74" s="16">
        <f t="shared" si="76"/>
        <v>0</v>
      </c>
      <c r="AT74" s="148">
        <f t="shared" si="76"/>
        <v>417461.63265081216</v>
      </c>
      <c r="AU74" s="148">
        <f t="shared" si="76"/>
        <v>-2976529.56</v>
      </c>
      <c r="AV74" s="16">
        <f t="shared" si="76"/>
        <v>174728.87755490927</v>
      </c>
      <c r="AW74" s="125">
        <f t="shared" ref="AW74" si="79">AW16-AW29-AW30-AW31-AW32-AW37</f>
        <v>92246.506611782112</v>
      </c>
      <c r="AX74" s="39">
        <f t="shared" si="76"/>
        <v>805649.43239770015</v>
      </c>
      <c r="AY74" s="125">
        <f t="shared" si="76"/>
        <v>2085940.3003396289</v>
      </c>
      <c r="BB74" s="235">
        <f>B74-'Page 1.4'!C67</f>
        <v>0</v>
      </c>
    </row>
    <row r="75" spans="1:54">
      <c r="A75" s="18" t="s">
        <v>110</v>
      </c>
      <c r="B75" s="127">
        <f t="shared" si="75"/>
        <v>0</v>
      </c>
      <c r="C75" s="39"/>
      <c r="D75" s="16"/>
      <c r="E75" s="16"/>
      <c r="F75" s="16"/>
      <c r="G75" s="16"/>
      <c r="H75" s="16"/>
      <c r="I75" s="125"/>
      <c r="J75" s="39"/>
      <c r="K75" s="16"/>
      <c r="L75" s="16"/>
      <c r="M75" s="16"/>
      <c r="N75" s="16"/>
      <c r="O75" s="16"/>
      <c r="P75" s="16"/>
      <c r="Q75" s="16"/>
      <c r="R75" s="16"/>
      <c r="S75" s="16"/>
      <c r="T75" s="16"/>
      <c r="U75" s="16"/>
      <c r="V75" s="125"/>
      <c r="W75" s="39"/>
      <c r="X75" s="16"/>
      <c r="Y75" s="16"/>
      <c r="Z75" s="16"/>
      <c r="AA75" s="125"/>
      <c r="AB75" s="127"/>
      <c r="AC75" s="39"/>
      <c r="AD75" s="16"/>
      <c r="AE75" s="16"/>
      <c r="AF75" s="16"/>
      <c r="AG75" s="16"/>
      <c r="AH75" s="16"/>
      <c r="AI75" s="16"/>
      <c r="AJ75" s="16"/>
      <c r="AK75" s="125"/>
      <c r="AL75" s="39"/>
      <c r="AM75" s="16"/>
      <c r="AN75" s="16"/>
      <c r="AO75" s="16"/>
      <c r="AP75" s="16"/>
      <c r="AQ75" s="16"/>
      <c r="AR75" s="16"/>
      <c r="AS75" s="16"/>
      <c r="AT75" s="16"/>
      <c r="AU75" s="16"/>
      <c r="AV75" s="16"/>
      <c r="AW75" s="125"/>
      <c r="AX75" s="39"/>
      <c r="AY75" s="125"/>
      <c r="BB75" s="235">
        <f>B75-'Page 1.4'!C68</f>
        <v>0</v>
      </c>
    </row>
    <row r="76" spans="1:54">
      <c r="A76" s="18" t="s">
        <v>111</v>
      </c>
      <c r="B76" s="142">
        <f t="shared" si="75"/>
        <v>239226.0290480254</v>
      </c>
      <c r="C76" s="40">
        <f>'Restating Adj'!C76</f>
        <v>0</v>
      </c>
      <c r="D76" s="129">
        <f>'Restating Adj'!D76</f>
        <v>0</v>
      </c>
      <c r="E76" s="129">
        <f>'Pro Forma Adj'!C76</f>
        <v>0</v>
      </c>
      <c r="F76" s="129">
        <f>'Restating Adj'!E76</f>
        <v>0</v>
      </c>
      <c r="G76" s="129">
        <f>'Restating Adj'!F76+'Pro Forma Adj'!E76</f>
        <v>0</v>
      </c>
      <c r="H76" s="129">
        <f>'Restating Adj'!G76+'Pro Forma Adj'!F76</f>
        <v>0</v>
      </c>
      <c r="I76" s="130">
        <f>'Pro Forma Adj'!G76</f>
        <v>0</v>
      </c>
      <c r="J76" s="40">
        <f>'Restating Adj'!H76</f>
        <v>0</v>
      </c>
      <c r="K76" s="129">
        <f>'Restating Adj'!I76</f>
        <v>0</v>
      </c>
      <c r="L76" s="131">
        <f>'Pro Forma Adj'!H76</f>
        <v>0</v>
      </c>
      <c r="M76" s="129">
        <f>'Pro Forma Adj'!I76</f>
        <v>0</v>
      </c>
      <c r="N76" s="131">
        <f>'Restating Adj'!J76</f>
        <v>0</v>
      </c>
      <c r="O76" s="129">
        <f>'Restating Adj'!K76+'Pro Forma Adj'!J76</f>
        <v>0</v>
      </c>
      <c r="P76" s="129">
        <f>'Restating Adj'!L76</f>
        <v>0</v>
      </c>
      <c r="Q76" s="129">
        <f>'Restating Adj'!M76</f>
        <v>0</v>
      </c>
      <c r="R76" s="129">
        <f>'Restating Adj'!N76+'Pro Forma Adj'!K76</f>
        <v>0</v>
      </c>
      <c r="S76" s="129">
        <f>'Restating Adj'!O76</f>
        <v>0</v>
      </c>
      <c r="T76" s="129">
        <f>'Pro Forma Adj'!L76</f>
        <v>0</v>
      </c>
      <c r="U76" s="129">
        <f>'Restating Adj'!P76</f>
        <v>0</v>
      </c>
      <c r="V76" s="130">
        <f>'Restating Adj'!Q76</f>
        <v>0</v>
      </c>
      <c r="W76" s="40">
        <f>'Restating Adj'!R76</f>
        <v>0</v>
      </c>
      <c r="X76" s="131">
        <f>'Pro Forma Adj'!M76</f>
        <v>0</v>
      </c>
      <c r="Y76" s="129">
        <f>'Pro Forma Adj'!N76</f>
        <v>0</v>
      </c>
      <c r="Z76" s="129">
        <f>'Restating Adj'!S76</f>
        <v>0</v>
      </c>
      <c r="AA76" s="130">
        <f>'Restating Adj'!T76</f>
        <v>0</v>
      </c>
      <c r="AB76" s="132">
        <f>'Restating Adj'!U76+'Pro Forma Adj'!O76</f>
        <v>0</v>
      </c>
      <c r="AC76" s="41">
        <f>'Restating Adj'!V76+'Pro Forma Adj'!P76</f>
        <v>0</v>
      </c>
      <c r="AD76" s="131">
        <f>'Pro Forma Adj'!Q76</f>
        <v>0</v>
      </c>
      <c r="AE76" s="131">
        <f>'Restating Adj'!W76</f>
        <v>0</v>
      </c>
      <c r="AF76" s="131">
        <f>'Pro Forma Adj'!R76</f>
        <v>0</v>
      </c>
      <c r="AG76" s="131">
        <f>'Restating Adj'!X76</f>
        <v>239226.0290480254</v>
      </c>
      <c r="AH76" s="131">
        <f>'Restating Adj'!Y76</f>
        <v>0</v>
      </c>
      <c r="AI76" s="131">
        <f>'Restating Adj'!Z76</f>
        <v>0</v>
      </c>
      <c r="AJ76" s="131">
        <f>'Restating Adj'!AA76</f>
        <v>0</v>
      </c>
      <c r="AK76" s="133">
        <f>'Restating Adj'!AB76</f>
        <v>0</v>
      </c>
      <c r="AL76" s="40">
        <f>'Restating Adj'!AC76</f>
        <v>0</v>
      </c>
      <c r="AM76" s="129">
        <f>'Restating Adj'!AD76</f>
        <v>0</v>
      </c>
      <c r="AN76" s="129">
        <f>'Restating Adj'!AE76</f>
        <v>0</v>
      </c>
      <c r="AO76" s="129">
        <f>'Restating Adj'!AF76</f>
        <v>0</v>
      </c>
      <c r="AP76" s="129">
        <f>'Restating Adj'!AG76</f>
        <v>0</v>
      </c>
      <c r="AQ76" s="129">
        <f>'Restating Adj'!AH76</f>
        <v>0</v>
      </c>
      <c r="AR76" s="129">
        <f>'Restating Adj'!AI76</f>
        <v>0</v>
      </c>
      <c r="AS76" s="129">
        <f>'Restating Adj'!AJ76</f>
        <v>0</v>
      </c>
      <c r="AT76" s="131">
        <f>'Pro Forma Adj'!S76</f>
        <v>0</v>
      </c>
      <c r="AU76" s="129">
        <f>'Restating Adj'!AK76+'Pro Forma Adj'!T76</f>
        <v>0</v>
      </c>
      <c r="AV76" s="129">
        <f>'Restating Adj'!AL76</f>
        <v>0</v>
      </c>
      <c r="AW76" s="130">
        <f>'Pro Forma Adj'!U76</f>
        <v>0</v>
      </c>
      <c r="AX76" s="40">
        <f>'Pro Forma Adj'!V76</f>
        <v>0</v>
      </c>
      <c r="AY76" s="130">
        <f>'Pro Forma Adj'!W76</f>
        <v>0</v>
      </c>
      <c r="BB76" s="235">
        <f>B76-'Page 1.4'!C69</f>
        <v>0</v>
      </c>
    </row>
    <row r="77" spans="1:54">
      <c r="A77" s="18" t="s">
        <v>112</v>
      </c>
      <c r="B77" s="142">
        <f t="shared" si="75"/>
        <v>-1087692.4869273417</v>
      </c>
      <c r="C77" s="40">
        <f>'Restating Adj'!C77</f>
        <v>0</v>
      </c>
      <c r="D77" s="129">
        <f>'Restating Adj'!D77</f>
        <v>0</v>
      </c>
      <c r="E77" s="129">
        <f>'Pro Forma Adj'!C77</f>
        <v>0</v>
      </c>
      <c r="F77" s="129">
        <f>'Restating Adj'!E77</f>
        <v>0</v>
      </c>
      <c r="G77" s="129">
        <f>'Restating Adj'!F77+'Pro Forma Adj'!E77</f>
        <v>0</v>
      </c>
      <c r="H77" s="129">
        <f>'Restating Adj'!G77+'Pro Forma Adj'!F77</f>
        <v>0</v>
      </c>
      <c r="I77" s="130">
        <f>'Pro Forma Adj'!G77</f>
        <v>0</v>
      </c>
      <c r="J77" s="40">
        <f>'Restating Adj'!H77</f>
        <v>0</v>
      </c>
      <c r="K77" s="129">
        <f>'Restating Adj'!I77</f>
        <v>0</v>
      </c>
      <c r="L77" s="131">
        <f>'Pro Forma Adj'!H77</f>
        <v>0</v>
      </c>
      <c r="M77" s="129">
        <f>'Pro Forma Adj'!I77</f>
        <v>0</v>
      </c>
      <c r="N77" s="131">
        <f>'Restating Adj'!J77</f>
        <v>0</v>
      </c>
      <c r="O77" s="129">
        <f>'Restating Adj'!K77+'Pro Forma Adj'!J77</f>
        <v>0</v>
      </c>
      <c r="P77" s="129">
        <f>'Restating Adj'!L77</f>
        <v>0</v>
      </c>
      <c r="Q77" s="129">
        <f>'Restating Adj'!M77</f>
        <v>0</v>
      </c>
      <c r="R77" s="129">
        <f>'Restating Adj'!N77+'Pro Forma Adj'!K77</f>
        <v>0</v>
      </c>
      <c r="S77" s="129">
        <f>'Restating Adj'!O77</f>
        <v>0</v>
      </c>
      <c r="T77" s="129">
        <f>'Pro Forma Adj'!L77</f>
        <v>0</v>
      </c>
      <c r="U77" s="129">
        <f>'Restating Adj'!P77</f>
        <v>0</v>
      </c>
      <c r="V77" s="130">
        <f>'Restating Adj'!Q77</f>
        <v>0</v>
      </c>
      <c r="W77" s="40">
        <f>'Restating Adj'!R77</f>
        <v>0</v>
      </c>
      <c r="X77" s="131">
        <f>'Pro Forma Adj'!M77</f>
        <v>0</v>
      </c>
      <c r="Y77" s="129">
        <f>'Pro Forma Adj'!N77</f>
        <v>0</v>
      </c>
      <c r="Z77" s="129">
        <f>'Restating Adj'!S77</f>
        <v>0</v>
      </c>
      <c r="AA77" s="130">
        <f>'Restating Adj'!T77</f>
        <v>0</v>
      </c>
      <c r="AB77" s="132">
        <f>'Restating Adj'!U77+'Pro Forma Adj'!O77</f>
        <v>0</v>
      </c>
      <c r="AC77" s="41">
        <f>'Restating Adj'!V77+'Pro Forma Adj'!P77</f>
        <v>-1087692.4869273417</v>
      </c>
      <c r="AD77" s="131">
        <f>'Pro Forma Adj'!Q77</f>
        <v>0</v>
      </c>
      <c r="AE77" s="131">
        <f>'Restating Adj'!W77</f>
        <v>0</v>
      </c>
      <c r="AF77" s="131">
        <f>'Pro Forma Adj'!R77</f>
        <v>0</v>
      </c>
      <c r="AG77" s="131">
        <f>'Restating Adj'!X77</f>
        <v>0</v>
      </c>
      <c r="AH77" s="131">
        <f>'Restating Adj'!Y77</f>
        <v>0</v>
      </c>
      <c r="AI77" s="131">
        <f>'Restating Adj'!Z77</f>
        <v>0</v>
      </c>
      <c r="AJ77" s="131">
        <f>'Restating Adj'!AA77</f>
        <v>0</v>
      </c>
      <c r="AK77" s="133">
        <f>'Restating Adj'!AB77</f>
        <v>0</v>
      </c>
      <c r="AL77" s="40">
        <f>'Restating Adj'!AC77</f>
        <v>0</v>
      </c>
      <c r="AM77" s="129">
        <f>'Restating Adj'!AD77</f>
        <v>0</v>
      </c>
      <c r="AN77" s="129">
        <f>'Restating Adj'!AE77</f>
        <v>0</v>
      </c>
      <c r="AO77" s="129">
        <f>'Restating Adj'!AF77</f>
        <v>0</v>
      </c>
      <c r="AP77" s="129">
        <f>'Restating Adj'!AG77</f>
        <v>0</v>
      </c>
      <c r="AQ77" s="129">
        <f>'Restating Adj'!AH77</f>
        <v>0</v>
      </c>
      <c r="AR77" s="129">
        <f>'Restating Adj'!AI77</f>
        <v>0</v>
      </c>
      <c r="AS77" s="129">
        <f>'Restating Adj'!AJ77</f>
        <v>0</v>
      </c>
      <c r="AT77" s="131">
        <f>'Pro Forma Adj'!S77</f>
        <v>0</v>
      </c>
      <c r="AU77" s="129">
        <f>'Restating Adj'!AK77+'Pro Forma Adj'!T77</f>
        <v>0</v>
      </c>
      <c r="AV77" s="129">
        <f>'Restating Adj'!AL77</f>
        <v>0</v>
      </c>
      <c r="AW77" s="130">
        <f>'Pro Forma Adj'!U77</f>
        <v>0</v>
      </c>
      <c r="AX77" s="40">
        <f>'Pro Forma Adj'!V77</f>
        <v>0</v>
      </c>
      <c r="AY77" s="130">
        <f>'Pro Forma Adj'!W77</f>
        <v>0</v>
      </c>
      <c r="BB77" s="235">
        <f>B77-'Page 1.4'!C70</f>
        <v>0</v>
      </c>
    </row>
    <row r="78" spans="1:54">
      <c r="A78" s="18" t="s">
        <v>113</v>
      </c>
      <c r="B78" s="142">
        <f t="shared" si="75"/>
        <v>-4263380.9672934692</v>
      </c>
      <c r="C78" s="40">
        <f>'Restating Adj'!C78</f>
        <v>0</v>
      </c>
      <c r="D78" s="129">
        <f>'Restating Adj'!D78</f>
        <v>-1935628</v>
      </c>
      <c r="E78" s="129">
        <f>'Pro Forma Adj'!C78</f>
        <v>0</v>
      </c>
      <c r="F78" s="129">
        <f>'Restating Adj'!E78</f>
        <v>9486.9878802918884</v>
      </c>
      <c r="G78" s="129">
        <f>'Restating Adj'!F78+'Pro Forma Adj'!E78</f>
        <v>0</v>
      </c>
      <c r="H78" s="129">
        <f>'Restating Adj'!G78+'Pro Forma Adj'!F78</f>
        <v>0</v>
      </c>
      <c r="I78" s="130">
        <f>'Pro Forma Adj'!G78</f>
        <v>0</v>
      </c>
      <c r="J78" s="40">
        <f>'Restating Adj'!H78</f>
        <v>0</v>
      </c>
      <c r="K78" s="129">
        <f>'Restating Adj'!I78</f>
        <v>0</v>
      </c>
      <c r="L78" s="131">
        <f>'Pro Forma Adj'!H78</f>
        <v>0</v>
      </c>
      <c r="M78" s="129">
        <f>'Pro Forma Adj'!I78</f>
        <v>0</v>
      </c>
      <c r="N78" s="131">
        <f>'Restating Adj'!J78</f>
        <v>0</v>
      </c>
      <c r="O78" s="129">
        <f>'Restating Adj'!K78+'Pro Forma Adj'!J78</f>
        <v>1017960.0166412225</v>
      </c>
      <c r="P78" s="129">
        <f>'Restating Adj'!L78</f>
        <v>-2040185.0718116981</v>
      </c>
      <c r="Q78" s="129">
        <f>'Restating Adj'!M78</f>
        <v>0</v>
      </c>
      <c r="R78" s="129">
        <f>'Restating Adj'!N78+'Pro Forma Adj'!K78</f>
        <v>-318524</v>
      </c>
      <c r="S78" s="129">
        <f>'Restating Adj'!O78</f>
        <v>0</v>
      </c>
      <c r="T78" s="129">
        <f>'Pro Forma Adj'!L78</f>
        <v>-414270.30233260454</v>
      </c>
      <c r="U78" s="129">
        <f>'Restating Adj'!P78</f>
        <v>0</v>
      </c>
      <c r="V78" s="130">
        <f>'Restating Adj'!Q78</f>
        <v>0</v>
      </c>
      <c r="W78" s="40">
        <f>'Restating Adj'!R78</f>
        <v>0</v>
      </c>
      <c r="X78" s="131">
        <f>'Pro Forma Adj'!M78</f>
        <v>0</v>
      </c>
      <c r="Y78" s="129">
        <f>'Pro Forma Adj'!N78</f>
        <v>0</v>
      </c>
      <c r="Z78" s="129">
        <f>'Restating Adj'!S78</f>
        <v>0</v>
      </c>
      <c r="AA78" s="130">
        <f>'Restating Adj'!T78</f>
        <v>-52188</v>
      </c>
      <c r="AB78" s="132">
        <f>'Restating Adj'!U78+'Pro Forma Adj'!O78</f>
        <v>0</v>
      </c>
      <c r="AC78" s="41">
        <f>'Restating Adj'!V78+'Pro Forma Adj'!P78</f>
        <v>0</v>
      </c>
      <c r="AD78" s="131">
        <f>'Pro Forma Adj'!Q78</f>
        <v>0</v>
      </c>
      <c r="AE78" s="131">
        <f>'Restating Adj'!W78</f>
        <v>0</v>
      </c>
      <c r="AF78" s="131">
        <f>'Pro Forma Adj'!R78</f>
        <v>0</v>
      </c>
      <c r="AG78" s="131">
        <f>'Restating Adj'!X78</f>
        <v>0</v>
      </c>
      <c r="AH78" s="131">
        <f>'Restating Adj'!Y78</f>
        <v>0</v>
      </c>
      <c r="AI78" s="131">
        <f>'Restating Adj'!Z78</f>
        <v>0</v>
      </c>
      <c r="AJ78" s="131">
        <f>'Restating Adj'!AA78</f>
        <v>0</v>
      </c>
      <c r="AK78" s="133">
        <f>'Restating Adj'!AB78</f>
        <v>0</v>
      </c>
      <c r="AL78" s="40">
        <f>'Restating Adj'!AC78</f>
        <v>0</v>
      </c>
      <c r="AM78" s="129">
        <f>'Restating Adj'!AD78</f>
        <v>0</v>
      </c>
      <c r="AN78" s="129">
        <f>'Restating Adj'!AE78</f>
        <v>-33515.653435835949</v>
      </c>
      <c r="AO78" s="129">
        <f>'Restating Adj'!AF78</f>
        <v>0</v>
      </c>
      <c r="AP78" s="129">
        <f>'Restating Adj'!AG78</f>
        <v>0</v>
      </c>
      <c r="AQ78" s="129">
        <f>'Restating Adj'!AH78</f>
        <v>0</v>
      </c>
      <c r="AR78" s="129">
        <f>'Restating Adj'!AI78</f>
        <v>0</v>
      </c>
      <c r="AS78" s="129">
        <f>'Restating Adj'!AJ78</f>
        <v>-148467.21915515378</v>
      </c>
      <c r="AT78" s="131">
        <f>'Pro Forma Adj'!S78</f>
        <v>102328.99073483082</v>
      </c>
      <c r="AU78" s="129">
        <f>'Restating Adj'!AK78+'Pro Forma Adj'!T78</f>
        <v>-23470.439999999988</v>
      </c>
      <c r="AV78" s="129">
        <f>'Restating Adj'!AL78</f>
        <v>-426908.27581452177</v>
      </c>
      <c r="AW78" s="130">
        <f>'Pro Forma Adj'!U78</f>
        <v>0</v>
      </c>
      <c r="AX78" s="40">
        <f>'Pro Forma Adj'!V78</f>
        <v>0</v>
      </c>
      <c r="AY78" s="130">
        <f>'Pro Forma Adj'!W78</f>
        <v>0</v>
      </c>
      <c r="BB78" s="235">
        <f>B78-'Page 1.4'!C71</f>
        <v>0</v>
      </c>
    </row>
    <row r="79" spans="1:54">
      <c r="A79" s="18" t="s">
        <v>114</v>
      </c>
      <c r="B79" s="127">
        <f t="shared" si="75"/>
        <v>1492951.0480062156</v>
      </c>
      <c r="C79" s="40">
        <f>'Restating Adj'!C79</f>
        <v>0</v>
      </c>
      <c r="D79" s="129">
        <f>'Restating Adj'!D79</f>
        <v>0</v>
      </c>
      <c r="E79" s="129">
        <f>'Pro Forma Adj'!C79</f>
        <v>0</v>
      </c>
      <c r="F79" s="129">
        <f>'Restating Adj'!E79</f>
        <v>912561.86790620477</v>
      </c>
      <c r="G79" s="129">
        <f>'Restating Adj'!F79+'Pro Forma Adj'!E79</f>
        <v>0</v>
      </c>
      <c r="H79" s="129">
        <f>'Restating Adj'!G79+'Pro Forma Adj'!F79</f>
        <v>0</v>
      </c>
      <c r="I79" s="130">
        <f>'Pro Forma Adj'!G79</f>
        <v>0</v>
      </c>
      <c r="J79" s="40">
        <f>'Restating Adj'!H79</f>
        <v>0</v>
      </c>
      <c r="K79" s="129">
        <f>'Restating Adj'!I79</f>
        <v>0</v>
      </c>
      <c r="L79" s="131">
        <f>'Pro Forma Adj'!H79</f>
        <v>0</v>
      </c>
      <c r="M79" s="129">
        <f>'Pro Forma Adj'!I79</f>
        <v>747897.83724663057</v>
      </c>
      <c r="N79" s="131">
        <f>'Restating Adj'!J79</f>
        <v>0</v>
      </c>
      <c r="O79" s="129">
        <f>'Restating Adj'!K79+'Pro Forma Adj'!J79</f>
        <v>0</v>
      </c>
      <c r="P79" s="129">
        <f>'Restating Adj'!L79</f>
        <v>0</v>
      </c>
      <c r="Q79" s="129">
        <f>'Restating Adj'!M79</f>
        <v>0</v>
      </c>
      <c r="R79" s="129">
        <f>'Restating Adj'!N79+'Pro Forma Adj'!K79</f>
        <v>0</v>
      </c>
      <c r="S79" s="129">
        <f>'Restating Adj'!O79</f>
        <v>0</v>
      </c>
      <c r="T79" s="129">
        <f>'Pro Forma Adj'!L79</f>
        <v>-1183066.4836534879</v>
      </c>
      <c r="U79" s="129">
        <f>'Restating Adj'!P79</f>
        <v>0</v>
      </c>
      <c r="V79" s="130">
        <f>'Restating Adj'!Q79</f>
        <v>0</v>
      </c>
      <c r="W79" s="40">
        <f>'Restating Adj'!R79</f>
        <v>0</v>
      </c>
      <c r="X79" s="131">
        <f>'Pro Forma Adj'!M79</f>
        <v>0</v>
      </c>
      <c r="Y79" s="129">
        <f>'Pro Forma Adj'!N79</f>
        <v>0</v>
      </c>
      <c r="Z79" s="129">
        <f>'Restating Adj'!S79</f>
        <v>0</v>
      </c>
      <c r="AA79" s="130">
        <f>'Restating Adj'!T79</f>
        <v>299183.70853287209</v>
      </c>
      <c r="AB79" s="132">
        <f>'Restating Adj'!U79+'Pro Forma Adj'!O79</f>
        <v>2662914.971880889</v>
      </c>
      <c r="AC79" s="41">
        <f>'Restating Adj'!V79+'Pro Forma Adj'!P79</f>
        <v>0</v>
      </c>
      <c r="AD79" s="131">
        <f>'Pro Forma Adj'!Q79</f>
        <v>0</v>
      </c>
      <c r="AE79" s="131">
        <f>'Restating Adj'!W79</f>
        <v>0</v>
      </c>
      <c r="AF79" s="131">
        <f>'Pro Forma Adj'!R79</f>
        <v>0</v>
      </c>
      <c r="AG79" s="131">
        <f>'Restating Adj'!X79</f>
        <v>0</v>
      </c>
      <c r="AH79" s="131">
        <f>'Restating Adj'!Y79</f>
        <v>0</v>
      </c>
      <c r="AI79" s="131">
        <f>'Restating Adj'!Z79</f>
        <v>0</v>
      </c>
      <c r="AJ79" s="131">
        <f>'Restating Adj'!AA79</f>
        <v>0</v>
      </c>
      <c r="AK79" s="133">
        <f>'Restating Adj'!AB79</f>
        <v>0</v>
      </c>
      <c r="AL79" s="40">
        <f>'Restating Adj'!AC79</f>
        <v>0</v>
      </c>
      <c r="AM79" s="129">
        <f>'Restating Adj'!AD79</f>
        <v>0</v>
      </c>
      <c r="AN79" s="129">
        <f>'Restating Adj'!AE79</f>
        <v>-483411.90370489907</v>
      </c>
      <c r="AO79" s="129">
        <f>'Restating Adj'!AF79</f>
        <v>0</v>
      </c>
      <c r="AP79" s="129">
        <f>'Restating Adj'!AG79</f>
        <v>17990.552799178593</v>
      </c>
      <c r="AQ79" s="129">
        <f>'Restating Adj'!AH79</f>
        <v>0</v>
      </c>
      <c r="AR79" s="129">
        <f>'Restating Adj'!AI79</f>
        <v>0</v>
      </c>
      <c r="AS79" s="129">
        <f>'Restating Adj'!AJ79</f>
        <v>-353566.50300117244</v>
      </c>
      <c r="AT79" s="131">
        <f>'Pro Forma Adj'!S79</f>
        <v>-851788</v>
      </c>
      <c r="AU79" s="129">
        <f>'Restating Adj'!AK79+'Pro Forma Adj'!T79</f>
        <v>0</v>
      </c>
      <c r="AV79" s="129">
        <f>'Restating Adj'!AL79</f>
        <v>-275765</v>
      </c>
      <c r="AW79" s="130">
        <f>'Pro Forma Adj'!U79</f>
        <v>0</v>
      </c>
      <c r="AX79" s="40">
        <f>'Pro Forma Adj'!V79</f>
        <v>0</v>
      </c>
      <c r="AY79" s="130">
        <f>'Pro Forma Adj'!W79</f>
        <v>0</v>
      </c>
      <c r="BB79" s="235">
        <f>B79-'Page 1.4'!C72</f>
        <v>0</v>
      </c>
    </row>
    <row r="80" spans="1:54">
      <c r="A80" s="18" t="s">
        <v>115</v>
      </c>
      <c r="B80" s="252">
        <f t="shared" si="75"/>
        <v>19854437.278104618</v>
      </c>
      <c r="C80" s="167">
        <f t="shared" ref="C80:AY80" si="80">C74-C76-C77+C78-C79</f>
        <v>3177486.4300000006</v>
      </c>
      <c r="D80" s="166">
        <f t="shared" si="80"/>
        <v>11120075.999999991</v>
      </c>
      <c r="E80" s="165">
        <f t="shared" si="80"/>
        <v>33183479.159999996</v>
      </c>
      <c r="F80" s="166">
        <f t="shared" si="80"/>
        <v>-207084.75005946809</v>
      </c>
      <c r="G80" s="166">
        <f t="shared" si="80"/>
        <v>-8233861.8112417553</v>
      </c>
      <c r="H80" s="166">
        <f t="shared" si="80"/>
        <v>926695.94139197399</v>
      </c>
      <c r="I80" s="253">
        <f t="shared" si="80"/>
        <v>1007573.5681837318</v>
      </c>
      <c r="J80" s="167">
        <f t="shared" si="80"/>
        <v>132346.31819439988</v>
      </c>
      <c r="K80" s="166">
        <f t="shared" si="80"/>
        <v>109073.81345781857</v>
      </c>
      <c r="L80" s="165">
        <f t="shared" si="80"/>
        <v>0</v>
      </c>
      <c r="M80" s="165">
        <f t="shared" si="80"/>
        <v>398223.3113119367</v>
      </c>
      <c r="N80" s="166">
        <f t="shared" si="80"/>
        <v>-94179.484143901253</v>
      </c>
      <c r="O80" s="166">
        <f t="shared" si="80"/>
        <v>1022203.973282445</v>
      </c>
      <c r="P80" s="166">
        <f t="shared" si="80"/>
        <v>-2040185.0718116981</v>
      </c>
      <c r="Q80" s="165">
        <f t="shared" si="80"/>
        <v>-3668.9492345489057</v>
      </c>
      <c r="R80" s="165">
        <f t="shared" si="80"/>
        <v>-347813.11150119902</v>
      </c>
      <c r="S80" s="165">
        <f t="shared" si="80"/>
        <v>14413.215258144253</v>
      </c>
      <c r="T80" s="165">
        <f t="shared" si="80"/>
        <v>926924.83535638498</v>
      </c>
      <c r="U80" s="165">
        <f t="shared" si="80"/>
        <v>-43545.400382885564</v>
      </c>
      <c r="V80" s="163">
        <f t="shared" si="80"/>
        <v>-1362.579400068731</v>
      </c>
      <c r="W80" s="167">
        <f t="shared" si="80"/>
        <v>1629796.4689585164</v>
      </c>
      <c r="X80" s="165">
        <f t="shared" si="80"/>
        <v>-13643245.544272214</v>
      </c>
      <c r="Y80" s="166">
        <f t="shared" si="80"/>
        <v>1100536.4799877179</v>
      </c>
      <c r="Z80" s="166">
        <f t="shared" si="80"/>
        <v>-8774225.7699999996</v>
      </c>
      <c r="AA80" s="253">
        <f t="shared" si="80"/>
        <v>103800.07002170041</v>
      </c>
      <c r="AB80" s="252">
        <f t="shared" si="80"/>
        <v>-2662914.971880889</v>
      </c>
      <c r="AC80" s="167">
        <f t="shared" si="80"/>
        <v>1087692.4869273417</v>
      </c>
      <c r="AD80" s="166">
        <f t="shared" si="80"/>
        <v>0</v>
      </c>
      <c r="AE80" s="166">
        <f t="shared" si="80"/>
        <v>0</v>
      </c>
      <c r="AF80" s="166">
        <f t="shared" si="80"/>
        <v>-1741720.3599999994</v>
      </c>
      <c r="AG80" s="166">
        <f t="shared" si="80"/>
        <v>-239226.0290480254</v>
      </c>
      <c r="AH80" s="165">
        <f t="shared" si="80"/>
        <v>0</v>
      </c>
      <c r="AI80" s="166">
        <f t="shared" si="80"/>
        <v>0</v>
      </c>
      <c r="AJ80" s="166">
        <f t="shared" si="80"/>
        <v>0</v>
      </c>
      <c r="AK80" s="253">
        <f t="shared" si="80"/>
        <v>0</v>
      </c>
      <c r="AL80" s="167">
        <f t="shared" si="80"/>
        <v>-10074.098181818181</v>
      </c>
      <c r="AM80" s="166">
        <f t="shared" si="80"/>
        <v>0</v>
      </c>
      <c r="AN80" s="166">
        <f t="shared" si="80"/>
        <v>373123.38860982889</v>
      </c>
      <c r="AO80" s="166">
        <f t="shared" si="80"/>
        <v>0</v>
      </c>
      <c r="AP80" s="166">
        <f t="shared" si="80"/>
        <v>0</v>
      </c>
      <c r="AQ80" s="166">
        <f t="shared" si="80"/>
        <v>0</v>
      </c>
      <c r="AR80" s="166">
        <f t="shared" si="80"/>
        <v>0</v>
      </c>
      <c r="AS80" s="165">
        <f t="shared" si="80"/>
        <v>205099.28384601866</v>
      </c>
      <c r="AT80" s="166">
        <f t="shared" si="80"/>
        <v>1371578.6233856431</v>
      </c>
      <c r="AU80" s="166">
        <f t="shared" si="80"/>
        <v>-3000000</v>
      </c>
      <c r="AV80" s="165">
        <f t="shared" si="80"/>
        <v>23585.601740387501</v>
      </c>
      <c r="AW80" s="163">
        <f t="shared" si="80"/>
        <v>92246.506611782112</v>
      </c>
      <c r="AX80" s="158">
        <f t="shared" si="80"/>
        <v>805649.43239770015</v>
      </c>
      <c r="AY80" s="163">
        <f t="shared" si="80"/>
        <v>2085940.3003396289</v>
      </c>
      <c r="BB80" s="235">
        <f>B80-'Page 1.4'!C73</f>
        <v>0</v>
      </c>
    </row>
    <row r="81" spans="1:54">
      <c r="A81" s="18"/>
      <c r="B81" s="127"/>
      <c r="C81" s="39"/>
      <c r="D81" s="16"/>
      <c r="E81" s="16"/>
      <c r="F81" s="16"/>
      <c r="G81" s="16"/>
      <c r="H81" s="16"/>
      <c r="I81" s="125"/>
      <c r="J81" s="39"/>
      <c r="K81" s="16"/>
      <c r="L81" s="16"/>
      <c r="M81" s="16"/>
      <c r="N81" s="16"/>
      <c r="O81" s="16"/>
      <c r="P81" s="16"/>
      <c r="Q81" s="16"/>
      <c r="R81" s="16"/>
      <c r="S81" s="16"/>
      <c r="T81" s="16"/>
      <c r="U81" s="16"/>
      <c r="V81" s="125"/>
      <c r="W81" s="39"/>
      <c r="X81" s="16"/>
      <c r="Y81" s="16"/>
      <c r="Z81" s="16"/>
      <c r="AA81" s="125"/>
      <c r="AB81" s="127"/>
      <c r="AC81" s="39"/>
      <c r="AD81" s="16"/>
      <c r="AE81" s="16"/>
      <c r="AF81" s="16"/>
      <c r="AG81" s="16"/>
      <c r="AH81" s="16"/>
      <c r="AI81" s="16"/>
      <c r="AJ81" s="16"/>
      <c r="AK81" s="125"/>
      <c r="AL81" s="39"/>
      <c r="AM81" s="16"/>
      <c r="AN81" s="16"/>
      <c r="AO81" s="16"/>
      <c r="AP81" s="16"/>
      <c r="AQ81" s="16"/>
      <c r="AR81" s="16"/>
      <c r="AS81" s="16"/>
      <c r="AT81" s="16"/>
      <c r="AU81" s="16"/>
      <c r="AV81" s="16"/>
      <c r="AW81" s="125"/>
      <c r="AX81" s="39"/>
      <c r="AY81" s="125"/>
      <c r="BB81" s="235">
        <f>B81-'Page 1.4'!C74</f>
        <v>0</v>
      </c>
    </row>
    <row r="82" spans="1:54">
      <c r="A82" s="18" t="s">
        <v>116</v>
      </c>
      <c r="B82" s="254"/>
      <c r="C82" s="39"/>
      <c r="D82" s="16"/>
      <c r="E82" s="16">
        <v>0</v>
      </c>
      <c r="F82" s="16"/>
      <c r="G82" s="16"/>
      <c r="H82" s="16"/>
      <c r="I82" s="125"/>
      <c r="J82" s="39"/>
      <c r="K82" s="16"/>
      <c r="L82" s="16">
        <v>0</v>
      </c>
      <c r="M82" s="16">
        <v>0</v>
      </c>
      <c r="N82" s="16"/>
      <c r="O82" s="16"/>
      <c r="P82" s="16"/>
      <c r="Q82" s="16"/>
      <c r="R82" s="16"/>
      <c r="S82" s="16"/>
      <c r="T82" s="16"/>
      <c r="U82" s="16"/>
      <c r="V82" s="125"/>
      <c r="W82" s="39"/>
      <c r="X82" s="16">
        <v>0</v>
      </c>
      <c r="Y82" s="16"/>
      <c r="Z82" s="16"/>
      <c r="AA82" s="125"/>
      <c r="AB82" s="127"/>
      <c r="AC82" s="49"/>
      <c r="AD82" s="16">
        <v>0</v>
      </c>
      <c r="AE82" s="2"/>
      <c r="AF82" s="2"/>
      <c r="AG82" s="2"/>
      <c r="AH82" s="16">
        <v>0</v>
      </c>
      <c r="AI82" s="2"/>
      <c r="AJ82" s="2"/>
      <c r="AK82" s="136"/>
      <c r="AL82" s="49"/>
      <c r="AM82" s="2"/>
      <c r="AN82" s="2"/>
      <c r="AO82" s="2"/>
      <c r="AP82" s="2"/>
      <c r="AQ82" s="2"/>
      <c r="AR82" s="2"/>
      <c r="AS82" s="16">
        <v>0</v>
      </c>
      <c r="AT82" s="2"/>
      <c r="AU82" s="2"/>
      <c r="AV82" s="16">
        <v>0</v>
      </c>
      <c r="AW82" s="125">
        <v>0</v>
      </c>
      <c r="AX82" s="39">
        <v>0</v>
      </c>
      <c r="AY82" s="125">
        <v>0</v>
      </c>
      <c r="BB82" s="235">
        <f>B82-'Page 1.4'!C75</f>
        <v>0</v>
      </c>
    </row>
    <row r="83" spans="1:54">
      <c r="A83" s="18" t="s">
        <v>117</v>
      </c>
      <c r="B83" s="254">
        <f>SUM(C83:AY83)</f>
        <v>19854437.278104618</v>
      </c>
      <c r="C83" s="39">
        <f>C80-C82</f>
        <v>3177486.4300000006</v>
      </c>
      <c r="D83" s="16">
        <f t="shared" ref="D83:AY83" si="81">D80-D82</f>
        <v>11120075.999999991</v>
      </c>
      <c r="E83" s="16">
        <f>E80-E82</f>
        <v>33183479.159999996</v>
      </c>
      <c r="F83" s="16">
        <f t="shared" si="81"/>
        <v>-207084.75005946809</v>
      </c>
      <c r="G83" s="16">
        <f t="shared" si="81"/>
        <v>-8233861.8112417553</v>
      </c>
      <c r="H83" s="16">
        <f t="shared" si="81"/>
        <v>926695.94139197399</v>
      </c>
      <c r="I83" s="125">
        <f t="shared" ref="I83" si="82">I80-I82</f>
        <v>1007573.5681837318</v>
      </c>
      <c r="J83" s="39">
        <f t="shared" si="81"/>
        <v>132346.31819439988</v>
      </c>
      <c r="K83" s="16">
        <f t="shared" si="81"/>
        <v>109073.81345781857</v>
      </c>
      <c r="L83" s="16">
        <f t="shared" si="81"/>
        <v>0</v>
      </c>
      <c r="M83" s="16">
        <f t="shared" si="81"/>
        <v>398223.3113119367</v>
      </c>
      <c r="N83" s="16">
        <f t="shared" si="81"/>
        <v>-94179.484143901253</v>
      </c>
      <c r="O83" s="16">
        <f t="shared" si="81"/>
        <v>1022203.973282445</v>
      </c>
      <c r="P83" s="16">
        <f t="shared" si="81"/>
        <v>-2040185.0718116981</v>
      </c>
      <c r="Q83" s="16">
        <f t="shared" si="81"/>
        <v>-3668.9492345489057</v>
      </c>
      <c r="R83" s="16">
        <f t="shared" ref="R83:V83" si="83">R80-R82</f>
        <v>-347813.11150119902</v>
      </c>
      <c r="S83" s="16">
        <f t="shared" si="83"/>
        <v>14413.215258144253</v>
      </c>
      <c r="T83" s="16">
        <f t="shared" si="83"/>
        <v>926924.83535638498</v>
      </c>
      <c r="U83" s="16">
        <f t="shared" si="83"/>
        <v>-43545.400382885564</v>
      </c>
      <c r="V83" s="125">
        <f t="shared" si="83"/>
        <v>-1362.579400068731</v>
      </c>
      <c r="W83" s="39">
        <f t="shared" si="81"/>
        <v>1629796.4689585164</v>
      </c>
      <c r="X83" s="16">
        <f t="shared" si="81"/>
        <v>-13643245.544272214</v>
      </c>
      <c r="Y83" s="16">
        <f t="shared" si="81"/>
        <v>1100536.4799877179</v>
      </c>
      <c r="Z83" s="16">
        <f t="shared" si="81"/>
        <v>-8774225.7699999996</v>
      </c>
      <c r="AA83" s="125">
        <f t="shared" si="81"/>
        <v>103800.07002170041</v>
      </c>
      <c r="AB83" s="127">
        <f t="shared" si="81"/>
        <v>-2662914.971880889</v>
      </c>
      <c r="AC83" s="49">
        <f t="shared" si="81"/>
        <v>1087692.4869273417</v>
      </c>
      <c r="AD83" s="16">
        <f t="shared" si="81"/>
        <v>0</v>
      </c>
      <c r="AE83" s="2">
        <f t="shared" si="81"/>
        <v>0</v>
      </c>
      <c r="AF83" s="2">
        <f t="shared" si="81"/>
        <v>-1741720.3599999994</v>
      </c>
      <c r="AG83" s="2">
        <f t="shared" si="81"/>
        <v>-239226.0290480254</v>
      </c>
      <c r="AH83" s="16">
        <f t="shared" si="81"/>
        <v>0</v>
      </c>
      <c r="AI83" s="2">
        <f t="shared" si="81"/>
        <v>0</v>
      </c>
      <c r="AJ83" s="2">
        <f t="shared" si="81"/>
        <v>0</v>
      </c>
      <c r="AK83" s="136">
        <f t="shared" si="81"/>
        <v>0</v>
      </c>
      <c r="AL83" s="49">
        <f t="shared" si="81"/>
        <v>-10074.098181818181</v>
      </c>
      <c r="AM83" s="2">
        <f t="shared" si="81"/>
        <v>0</v>
      </c>
      <c r="AN83" s="2">
        <f t="shared" si="81"/>
        <v>373123.38860982889</v>
      </c>
      <c r="AO83" s="2">
        <f t="shared" si="81"/>
        <v>0</v>
      </c>
      <c r="AP83" s="2">
        <f t="shared" si="81"/>
        <v>0</v>
      </c>
      <c r="AQ83" s="2">
        <f t="shared" si="81"/>
        <v>0</v>
      </c>
      <c r="AR83" s="2">
        <f t="shared" si="81"/>
        <v>0</v>
      </c>
      <c r="AS83" s="16">
        <f t="shared" si="81"/>
        <v>205099.28384601866</v>
      </c>
      <c r="AT83" s="2">
        <f t="shared" si="81"/>
        <v>1371578.6233856431</v>
      </c>
      <c r="AU83" s="2">
        <f t="shared" si="81"/>
        <v>-3000000</v>
      </c>
      <c r="AV83" s="16">
        <f t="shared" si="81"/>
        <v>23585.601740387501</v>
      </c>
      <c r="AW83" s="125">
        <f t="shared" ref="AW83" si="84">AW80-AW82</f>
        <v>92246.506611782112</v>
      </c>
      <c r="AX83" s="39">
        <f t="shared" si="81"/>
        <v>805649.43239770015</v>
      </c>
      <c r="AY83" s="125">
        <f t="shared" si="81"/>
        <v>2085940.3003396289</v>
      </c>
      <c r="BB83" s="235">
        <f>B83-'Page 1.4'!C76</f>
        <v>0</v>
      </c>
    </row>
    <row r="84" spans="1:54">
      <c r="A84" s="18"/>
      <c r="B84" s="254"/>
      <c r="C84" s="39"/>
      <c r="D84" s="16"/>
      <c r="E84" s="16"/>
      <c r="F84" s="16"/>
      <c r="G84" s="16"/>
      <c r="H84" s="16"/>
      <c r="I84" s="125"/>
      <c r="J84" s="39"/>
      <c r="K84" s="16"/>
      <c r="L84" s="16"/>
      <c r="M84" s="16"/>
      <c r="N84" s="16"/>
      <c r="O84" s="16"/>
      <c r="P84" s="16"/>
      <c r="Q84" s="16"/>
      <c r="R84" s="16"/>
      <c r="S84" s="16"/>
      <c r="T84" s="16"/>
      <c r="U84" s="16"/>
      <c r="V84" s="125"/>
      <c r="W84" s="39"/>
      <c r="X84" s="16"/>
      <c r="Y84" s="16"/>
      <c r="Z84" s="16"/>
      <c r="AA84" s="125"/>
      <c r="AB84" s="127"/>
      <c r="AC84" s="49"/>
      <c r="AD84" s="16"/>
      <c r="AE84" s="2"/>
      <c r="AF84" s="2"/>
      <c r="AG84" s="2"/>
      <c r="AH84" s="16"/>
      <c r="AI84" s="2"/>
      <c r="AJ84" s="2"/>
      <c r="AK84" s="136"/>
      <c r="AL84" s="49"/>
      <c r="AM84" s="2"/>
      <c r="AN84" s="2"/>
      <c r="AO84" s="2"/>
      <c r="AP84" s="2"/>
      <c r="AQ84" s="2"/>
      <c r="AR84" s="2"/>
      <c r="AS84" s="16"/>
      <c r="AT84" s="2"/>
      <c r="AU84" s="2"/>
      <c r="AV84" s="16"/>
      <c r="AW84" s="125"/>
      <c r="AX84" s="39"/>
      <c r="AY84" s="125"/>
      <c r="BB84" s="235">
        <f>B84-'Page 1.4'!C77</f>
        <v>0</v>
      </c>
    </row>
    <row r="85" spans="1:54">
      <c r="A85" s="18" t="s">
        <v>166</v>
      </c>
      <c r="B85" s="254">
        <f>SUM(C85:AY85)</f>
        <v>6949053.0473366138</v>
      </c>
      <c r="C85" s="39">
        <f>C83*0.35</f>
        <v>1112120.2505000001</v>
      </c>
      <c r="D85" s="16">
        <f t="shared" ref="D85:AY85" si="85">D83*0.35</f>
        <v>3892026.5999999964</v>
      </c>
      <c r="E85" s="16">
        <f>E83*0.35</f>
        <v>11614217.705999998</v>
      </c>
      <c r="F85" s="16">
        <f t="shared" si="85"/>
        <v>-72479.662520813828</v>
      </c>
      <c r="G85" s="16">
        <f t="shared" si="85"/>
        <v>-2881851.6339346142</v>
      </c>
      <c r="H85" s="16">
        <f t="shared" si="85"/>
        <v>324343.57948719087</v>
      </c>
      <c r="I85" s="125">
        <f t="shared" ref="I85" si="86">I83*0.35</f>
        <v>352650.74886430608</v>
      </c>
      <c r="J85" s="39">
        <f t="shared" si="85"/>
        <v>46321.211368039956</v>
      </c>
      <c r="K85" s="16">
        <f t="shared" si="85"/>
        <v>38175.834710236501</v>
      </c>
      <c r="L85" s="16">
        <f t="shared" si="85"/>
        <v>0</v>
      </c>
      <c r="M85" s="16">
        <f t="shared" si="85"/>
        <v>139378.15895917785</v>
      </c>
      <c r="N85" s="16">
        <f t="shared" si="85"/>
        <v>-32962.819450365438</v>
      </c>
      <c r="O85" s="16">
        <f t="shared" si="85"/>
        <v>357771.39064885571</v>
      </c>
      <c r="P85" s="16">
        <f t="shared" si="85"/>
        <v>-714064.77513409429</v>
      </c>
      <c r="Q85" s="16">
        <f t="shared" si="85"/>
        <v>-1284.132232092117</v>
      </c>
      <c r="R85" s="16">
        <f t="shared" ref="R85:V85" si="87">R83*0.35</f>
        <v>-121734.58902541964</v>
      </c>
      <c r="S85" s="16">
        <f t="shared" si="87"/>
        <v>5044.6253403504879</v>
      </c>
      <c r="T85" s="16">
        <f t="shared" si="87"/>
        <v>324423.69237473473</v>
      </c>
      <c r="U85" s="16">
        <f t="shared" si="87"/>
        <v>-15240.890134009946</v>
      </c>
      <c r="V85" s="125">
        <f t="shared" si="87"/>
        <v>-476.90279002405583</v>
      </c>
      <c r="W85" s="39">
        <f t="shared" si="85"/>
        <v>570428.76413548074</v>
      </c>
      <c r="X85" s="16">
        <f t="shared" si="85"/>
        <v>-4775135.940495275</v>
      </c>
      <c r="Y85" s="16">
        <f t="shared" si="85"/>
        <v>385187.76799570123</v>
      </c>
      <c r="Z85" s="16">
        <f t="shared" si="85"/>
        <v>-3070979.0194999995</v>
      </c>
      <c r="AA85" s="125">
        <f t="shared" si="85"/>
        <v>36330.024507595139</v>
      </c>
      <c r="AB85" s="127">
        <f t="shared" si="85"/>
        <v>-932020.24015831109</v>
      </c>
      <c r="AC85" s="49">
        <f t="shared" si="85"/>
        <v>380692.37042456958</v>
      </c>
      <c r="AD85" s="16">
        <f t="shared" si="85"/>
        <v>0</v>
      </c>
      <c r="AE85" s="2">
        <f t="shared" si="85"/>
        <v>0</v>
      </c>
      <c r="AF85" s="2">
        <f t="shared" si="85"/>
        <v>-609602.1259999997</v>
      </c>
      <c r="AG85" s="2">
        <f t="shared" si="85"/>
        <v>-83729.110166808881</v>
      </c>
      <c r="AH85" s="16">
        <f t="shared" si="85"/>
        <v>0</v>
      </c>
      <c r="AI85" s="2">
        <f t="shared" si="85"/>
        <v>0</v>
      </c>
      <c r="AJ85" s="2">
        <f t="shared" si="85"/>
        <v>0</v>
      </c>
      <c r="AK85" s="136">
        <f t="shared" si="85"/>
        <v>0</v>
      </c>
      <c r="AL85" s="49">
        <f t="shared" si="85"/>
        <v>-3525.9343636363633</v>
      </c>
      <c r="AM85" s="2">
        <f t="shared" si="85"/>
        <v>0</v>
      </c>
      <c r="AN85" s="2">
        <f t="shared" si="85"/>
        <v>130593.18601344011</v>
      </c>
      <c r="AO85" s="2">
        <f t="shared" si="85"/>
        <v>0</v>
      </c>
      <c r="AP85" s="2">
        <f t="shared" si="85"/>
        <v>0</v>
      </c>
      <c r="AQ85" s="2">
        <f t="shared" si="85"/>
        <v>0</v>
      </c>
      <c r="AR85" s="2">
        <f t="shared" si="85"/>
        <v>0</v>
      </c>
      <c r="AS85" s="16">
        <f t="shared" si="85"/>
        <v>71784.749346106531</v>
      </c>
      <c r="AT85" s="2">
        <f t="shared" si="85"/>
        <v>480052.51818497508</v>
      </c>
      <c r="AU85" s="2">
        <f t="shared" si="85"/>
        <v>-1050000</v>
      </c>
      <c r="AV85" s="16">
        <f t="shared" si="85"/>
        <v>8254.9606091356254</v>
      </c>
      <c r="AW85" s="125">
        <f t="shared" ref="AW85" si="88">AW83*0.35</f>
        <v>32286.277314123738</v>
      </c>
      <c r="AX85" s="39">
        <f t="shared" si="85"/>
        <v>281977.30133919505</v>
      </c>
      <c r="AY85" s="125">
        <f t="shared" si="85"/>
        <v>730079.10511887004</v>
      </c>
      <c r="BB85" s="235">
        <f>B85-'Page 1.4'!C78</f>
        <v>0</v>
      </c>
    </row>
    <row r="86" spans="1:54">
      <c r="A86" s="18" t="s">
        <v>167</v>
      </c>
      <c r="B86" s="254">
        <f>SUM(C86:AY86)</f>
        <v>-1105653.619989312</v>
      </c>
      <c r="C86" s="40">
        <f>'Restating Adj'!C86</f>
        <v>0</v>
      </c>
      <c r="D86" s="129">
        <f>'Restating Adj'!D86</f>
        <v>0</v>
      </c>
      <c r="E86" s="129">
        <f>'Pro Forma Adj'!C86</f>
        <v>0</v>
      </c>
      <c r="F86" s="129">
        <f>'Restating Adj'!E86</f>
        <v>0</v>
      </c>
      <c r="G86" s="129">
        <f>'Restating Adj'!F86+'Pro Forma Adj'!E86</f>
        <v>0</v>
      </c>
      <c r="H86" s="129">
        <f>'Restating Adj'!G86+'Pro Forma Adj'!F86</f>
        <v>0</v>
      </c>
      <c r="I86" s="130">
        <f>'Pro Forma Adj'!G86</f>
        <v>0</v>
      </c>
      <c r="J86" s="40">
        <f>'Restating Adj'!H86</f>
        <v>0</v>
      </c>
      <c r="K86" s="129">
        <f>'Restating Adj'!I86</f>
        <v>0</v>
      </c>
      <c r="L86" s="131">
        <f>'Pro Forma Adj'!H86</f>
        <v>0</v>
      </c>
      <c r="M86" s="129">
        <f>'Pro Forma Adj'!I86</f>
        <v>0</v>
      </c>
      <c r="N86" s="131">
        <f>'Restating Adj'!J86</f>
        <v>0</v>
      </c>
      <c r="O86" s="129">
        <f>'Restating Adj'!K86+'Pro Forma Adj'!J86</f>
        <v>0</v>
      </c>
      <c r="P86" s="129">
        <f>'Restating Adj'!L86</f>
        <v>0</v>
      </c>
      <c r="Q86" s="129">
        <f>'Restating Adj'!M86</f>
        <v>0</v>
      </c>
      <c r="R86" s="129">
        <f>'Restating Adj'!N86+'Pro Forma Adj'!K86</f>
        <v>0</v>
      </c>
      <c r="S86" s="129">
        <f>'Restating Adj'!O86</f>
        <v>0</v>
      </c>
      <c r="T86" s="129">
        <f>'Pro Forma Adj'!L86</f>
        <v>0</v>
      </c>
      <c r="U86" s="129">
        <f>'Restating Adj'!P86</f>
        <v>0</v>
      </c>
      <c r="V86" s="130">
        <f>'Restating Adj'!Q86</f>
        <v>0</v>
      </c>
      <c r="W86" s="40">
        <f>'Restating Adj'!R86</f>
        <v>0</v>
      </c>
      <c r="X86" s="131">
        <f>'Pro Forma Adj'!M86</f>
        <v>0</v>
      </c>
      <c r="Y86" s="129">
        <f>'Pro Forma Adj'!N86</f>
        <v>0</v>
      </c>
      <c r="Z86" s="129">
        <f>'Restating Adj'!S86</f>
        <v>0</v>
      </c>
      <c r="AA86" s="130">
        <f>'Restating Adj'!T86</f>
        <v>0</v>
      </c>
      <c r="AB86" s="132">
        <f>'Restating Adj'!U86+'Pro Forma Adj'!O86</f>
        <v>0</v>
      </c>
      <c r="AC86" s="41">
        <f>'Restating Adj'!V86+'Pro Forma Adj'!P86</f>
        <v>0</v>
      </c>
      <c r="AD86" s="131">
        <f>'Pro Forma Adj'!Q86</f>
        <v>-1205929.156551077</v>
      </c>
      <c r="AE86" s="131">
        <f>'Restating Adj'!W86</f>
        <v>0</v>
      </c>
      <c r="AF86" s="131">
        <f>'Pro Forma Adj'!R86</f>
        <v>0</v>
      </c>
      <c r="AG86" s="131">
        <f>'Restating Adj'!X86</f>
        <v>0</v>
      </c>
      <c r="AH86" s="131">
        <f>'Restating Adj'!Y86</f>
        <v>0</v>
      </c>
      <c r="AI86" s="131">
        <f>'Restating Adj'!Z86</f>
        <v>0</v>
      </c>
      <c r="AJ86" s="131">
        <f>'Restating Adj'!AA86</f>
        <v>0</v>
      </c>
      <c r="AK86" s="133">
        <f>'Restating Adj'!AB86</f>
        <v>0</v>
      </c>
      <c r="AL86" s="40">
        <f>'Restating Adj'!AC86</f>
        <v>0</v>
      </c>
      <c r="AM86" s="129">
        <f>'Restating Adj'!AD86</f>
        <v>0</v>
      </c>
      <c r="AN86" s="129">
        <f>'Restating Adj'!AE86</f>
        <v>0</v>
      </c>
      <c r="AO86" s="129">
        <f>'Restating Adj'!AF86</f>
        <v>0</v>
      </c>
      <c r="AP86" s="129">
        <f>'Restating Adj'!AG86</f>
        <v>0</v>
      </c>
      <c r="AQ86" s="129">
        <f>'Restating Adj'!AH86</f>
        <v>0</v>
      </c>
      <c r="AR86" s="129">
        <f>'Restating Adj'!AI86</f>
        <v>0</v>
      </c>
      <c r="AS86" s="129">
        <f>'Restating Adj'!AJ86</f>
        <v>0</v>
      </c>
      <c r="AT86" s="131">
        <f>'Pro Forma Adj'!S86</f>
        <v>0</v>
      </c>
      <c r="AU86" s="129">
        <f>'Restating Adj'!AK86+'Pro Forma Adj'!T86</f>
        <v>0</v>
      </c>
      <c r="AV86" s="129">
        <f>'Restating Adj'!AL86</f>
        <v>0</v>
      </c>
      <c r="AW86" s="130">
        <f>'Pro Forma Adj'!U86</f>
        <v>0</v>
      </c>
      <c r="AX86" s="40">
        <f>'Pro Forma Adj'!V86</f>
        <v>0</v>
      </c>
      <c r="AY86" s="130">
        <f>'Pro Forma Adj'!W86</f>
        <v>100275.5365617651</v>
      </c>
      <c r="BB86" s="235">
        <f>B86-'Page 1.4'!C79</f>
        <v>0</v>
      </c>
    </row>
    <row r="87" spans="1:54" s="2" customFormat="1" ht="13.5" thickBot="1">
      <c r="A87" s="18" t="s">
        <v>168</v>
      </c>
      <c r="B87" s="255">
        <f>SUM(C87:AY87)</f>
        <v>5843399.4273473015</v>
      </c>
      <c r="C87" s="155">
        <f>C85+C86</f>
        <v>1112120.2505000001</v>
      </c>
      <c r="D87" s="153">
        <f t="shared" ref="D87:AY87" si="89">D85+D86</f>
        <v>3892026.5999999964</v>
      </c>
      <c r="E87" s="153">
        <f>E85+E86</f>
        <v>11614217.705999998</v>
      </c>
      <c r="F87" s="153">
        <f t="shared" si="89"/>
        <v>-72479.662520813828</v>
      </c>
      <c r="G87" s="153">
        <f t="shared" si="89"/>
        <v>-2881851.6339346142</v>
      </c>
      <c r="H87" s="153">
        <f t="shared" si="89"/>
        <v>324343.57948719087</v>
      </c>
      <c r="I87" s="154">
        <f t="shared" ref="I87" si="90">I85+I86</f>
        <v>352650.74886430608</v>
      </c>
      <c r="J87" s="155">
        <f t="shared" si="89"/>
        <v>46321.211368039956</v>
      </c>
      <c r="K87" s="153">
        <f t="shared" si="89"/>
        <v>38175.834710236501</v>
      </c>
      <c r="L87" s="153">
        <f t="shared" si="89"/>
        <v>0</v>
      </c>
      <c r="M87" s="153">
        <f t="shared" si="89"/>
        <v>139378.15895917785</v>
      </c>
      <c r="N87" s="153">
        <f t="shared" si="89"/>
        <v>-32962.819450365438</v>
      </c>
      <c r="O87" s="153">
        <f t="shared" si="89"/>
        <v>357771.39064885571</v>
      </c>
      <c r="P87" s="153">
        <f t="shared" si="89"/>
        <v>-714064.77513409429</v>
      </c>
      <c r="Q87" s="153">
        <f t="shared" si="89"/>
        <v>-1284.132232092117</v>
      </c>
      <c r="R87" s="153">
        <f t="shared" ref="R87:V87" si="91">R85+R86</f>
        <v>-121734.58902541964</v>
      </c>
      <c r="S87" s="153">
        <f t="shared" si="91"/>
        <v>5044.6253403504879</v>
      </c>
      <c r="T87" s="153">
        <f t="shared" si="91"/>
        <v>324423.69237473473</v>
      </c>
      <c r="U87" s="153">
        <f t="shared" si="91"/>
        <v>-15240.890134009946</v>
      </c>
      <c r="V87" s="154">
        <f t="shared" si="91"/>
        <v>-476.90279002405583</v>
      </c>
      <c r="W87" s="155">
        <f t="shared" si="89"/>
        <v>570428.76413548074</v>
      </c>
      <c r="X87" s="153">
        <f t="shared" si="89"/>
        <v>-4775135.940495275</v>
      </c>
      <c r="Y87" s="153">
        <f t="shared" si="89"/>
        <v>385187.76799570123</v>
      </c>
      <c r="Z87" s="153">
        <f t="shared" si="89"/>
        <v>-3070979.0194999995</v>
      </c>
      <c r="AA87" s="154">
        <f t="shared" si="89"/>
        <v>36330.024507595139</v>
      </c>
      <c r="AB87" s="256">
        <f t="shared" si="89"/>
        <v>-932020.24015831109</v>
      </c>
      <c r="AC87" s="50">
        <f t="shared" si="89"/>
        <v>380692.37042456958</v>
      </c>
      <c r="AD87" s="257">
        <f t="shared" si="89"/>
        <v>-1205929.156551077</v>
      </c>
      <c r="AE87" s="257">
        <f t="shared" si="89"/>
        <v>0</v>
      </c>
      <c r="AF87" s="257">
        <f t="shared" si="89"/>
        <v>-609602.1259999997</v>
      </c>
      <c r="AG87" s="257">
        <f t="shared" si="89"/>
        <v>-83729.110166808881</v>
      </c>
      <c r="AH87" s="153">
        <f t="shared" si="89"/>
        <v>0</v>
      </c>
      <c r="AI87" s="257">
        <f t="shared" si="89"/>
        <v>0</v>
      </c>
      <c r="AJ87" s="257">
        <f t="shared" si="89"/>
        <v>0</v>
      </c>
      <c r="AK87" s="263">
        <f t="shared" si="89"/>
        <v>0</v>
      </c>
      <c r="AL87" s="50">
        <f t="shared" si="89"/>
        <v>-3525.9343636363633</v>
      </c>
      <c r="AM87" s="257">
        <f t="shared" si="89"/>
        <v>0</v>
      </c>
      <c r="AN87" s="257">
        <f t="shared" si="89"/>
        <v>130593.18601344011</v>
      </c>
      <c r="AO87" s="257">
        <f t="shared" si="89"/>
        <v>0</v>
      </c>
      <c r="AP87" s="257">
        <f t="shared" si="89"/>
        <v>0</v>
      </c>
      <c r="AQ87" s="257">
        <f t="shared" si="89"/>
        <v>0</v>
      </c>
      <c r="AR87" s="257">
        <f t="shared" si="89"/>
        <v>0</v>
      </c>
      <c r="AS87" s="153">
        <f t="shared" si="89"/>
        <v>71784.749346106531</v>
      </c>
      <c r="AT87" s="257">
        <f t="shared" si="89"/>
        <v>480052.51818497508</v>
      </c>
      <c r="AU87" s="257">
        <f t="shared" si="89"/>
        <v>-1050000</v>
      </c>
      <c r="AV87" s="153">
        <f t="shared" si="89"/>
        <v>8254.9606091356254</v>
      </c>
      <c r="AW87" s="154">
        <f t="shared" si="89"/>
        <v>32286.277314123738</v>
      </c>
      <c r="AX87" s="155">
        <f t="shared" si="89"/>
        <v>281977.30133919505</v>
      </c>
      <c r="AY87" s="154">
        <f t="shared" si="89"/>
        <v>830354.64168063516</v>
      </c>
      <c r="BB87" s="235">
        <f>B87-'Page 1.4'!C80</f>
        <v>0</v>
      </c>
    </row>
    <row r="88" spans="1:54" s="2" customFormat="1">
      <c r="A88" s="18"/>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BB88" s="108"/>
    </row>
    <row r="89" spans="1:54" s="2" customForma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BB89" s="108"/>
    </row>
    <row r="90" spans="1:54" s="2" customFormat="1">
      <c r="A90" s="258"/>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BB90" s="108"/>
    </row>
    <row r="91" spans="1:54" s="2" customFormat="1">
      <c r="A91" s="18"/>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BB91" s="108"/>
    </row>
    <row r="92" spans="1:54" s="2" customFormat="1">
      <c r="A92" s="18"/>
      <c r="BB92" s="108"/>
    </row>
    <row r="93" spans="1:54" s="2" customFormat="1">
      <c r="A93" s="259"/>
      <c r="BB93" s="108"/>
    </row>
  </sheetData>
  <mergeCells count="9">
    <mergeCell ref="AF7:AK7"/>
    <mergeCell ref="AL7:AM7"/>
    <mergeCell ref="AN7:AT7"/>
    <mergeCell ref="AU7:AW7"/>
    <mergeCell ref="J7:P7"/>
    <mergeCell ref="Q7:V7"/>
    <mergeCell ref="W7:X7"/>
    <mergeCell ref="Y7:AA7"/>
    <mergeCell ref="AC7:AE7"/>
  </mergeCells>
  <pageMargins left="1" right="0.5" top="0.75" bottom="0.5" header="0.4" footer="0.5"/>
  <pageSetup scale="61" firstPageNumber="7" fitToWidth="7" orientation="portrait" useFirstPageNumber="1" r:id="rId1"/>
  <headerFooter alignWithMargins="0">
    <oddHeader>&amp;L&amp;12PacifiCorp
Washington General Rate Case - December 2010
Summary of Total Adjustments&amp;10
&amp;RPage 1.&amp;P</oddHeader>
  </headerFooter>
  <colBreaks count="1" manualBreakCount="1">
    <brk id="41" min="4" max="87" man="1"/>
  </colBreaks>
  <ignoredErrors>
    <ignoredError sqref="X29:AD29 Y70:AC70 B57:E69 AE70:AG70 B72:E74 AE74:AF74 AD30:AD37 R19:AD28 B12:H15 B19:E25 G30:H32 G57:H64 G29:V29 G70:L70 G74:AC74 F29:F37 B43:H53 F57:F74 B76:H79 B86:H86 B70:D71 N70:P70 G71:I71 W71 Y71:AG71 G65:AC65 AX72:AY87 AT70:AU70 AX12:AY69 L19:P26 F19:H28 L28:P28 G34:H37 G33:J33 L33:P33 B27:E37 C26:E26 R12:AJ15 R33:AC34 R45:AC53 R30:Z32 R36:AC37 R35:Z35 AB35:AC35 R60:AC64 R57:Z59 AB57:AC59 R43:Z44 AB43:AC44 AB30:AC32 J12:P15 J27:P27 J19:J26 J28 J30:P32 J34:P37 J43:P53 J57:P64 J76:P79 J86:P86 AE65:AJ65 AK74:AV74 B38:AJ42 B80:AJ85 G66:AJ69 R76:AJ79 AD43:AJ53 B16:AJ18 K71:P71 AI70:AR70 AK65:AV69 G72:AV73 AK80:AV85 AK38:AV42 AK16:AV18 AE29:AV29 AD57:AJ64 R86:AJ86 B54:AV56 B75:AV75 B87:AV87 AI71:AU71 AL12:AV12 AL13:AV15 AE19:AJ28 AL19:AV28 AE30:AJ37 AL30:AV37 AL43:AV53 AL57:AV64 AL76:AV79 AL86:AV86" unlockedFormula="1"/>
    <ignoredError sqref="W70" formula="1" unlockedFormula="1"/>
  </ignoredErrors>
</worksheet>
</file>

<file path=xl/worksheets/sheet19.xml><?xml version="1.0" encoding="utf-8"?>
<worksheet xmlns="http://schemas.openxmlformats.org/spreadsheetml/2006/main" xmlns:r="http://schemas.openxmlformats.org/officeDocument/2006/relationships">
  <sheetPr codeName="Sheet4"/>
  <dimension ref="A1:AL93"/>
  <sheetViews>
    <sheetView view="pageBreakPreview" zoomScale="85" zoomScaleNormal="85" zoomScaleSheetLayoutView="85" workbookViewId="0">
      <pane xSplit="2" ySplit="9" topLeftCell="AH74" activePane="bottomRight" state="frozen"/>
      <selection pane="topRight" activeCell="C1" sqref="C1"/>
      <selection pane="bottomLeft" activeCell="A10" sqref="A10"/>
      <selection pane="bottomRight" activeCell="V40" sqref="V40"/>
    </sheetView>
  </sheetViews>
  <sheetFormatPr defaultRowHeight="12.75"/>
  <cols>
    <col min="1" max="1" width="36" style="2" customWidth="1"/>
    <col min="2" max="4" width="13.7109375" style="19" customWidth="1"/>
    <col min="5" max="5" width="14.42578125" style="19" bestFit="1" customWidth="1"/>
    <col min="6" max="6" width="13.7109375" style="19" customWidth="1"/>
    <col min="7" max="7" width="12.140625" style="19" bestFit="1" customWidth="1"/>
    <col min="8" max="8" width="14.85546875" style="19" customWidth="1"/>
    <col min="9" max="11" width="13.7109375" style="19" customWidth="1"/>
    <col min="12" max="16" width="13.7109375" style="2" customWidth="1"/>
    <col min="17" max="17" width="16.140625" style="2" bestFit="1" customWidth="1"/>
    <col min="18" max="20" width="13.7109375" style="19" customWidth="1"/>
    <col min="21" max="21" width="18.28515625" style="19" bestFit="1" customWidth="1"/>
    <col min="22" max="30" width="13.7109375" style="19" customWidth="1"/>
    <col min="31" max="31" width="15.140625" style="19" bestFit="1" customWidth="1"/>
    <col min="32" max="36" width="13.7109375" style="19" customWidth="1"/>
    <col min="37" max="37" width="13.7109375" style="2" customWidth="1"/>
    <col min="38" max="38" width="13.7109375" style="19" customWidth="1"/>
    <col min="39" max="16384" width="9.140625" style="19"/>
  </cols>
  <sheetData>
    <row r="1" spans="1:38">
      <c r="A1" s="4" t="s">
        <v>52</v>
      </c>
    </row>
    <row r="2" spans="1:38" s="2" customFormat="1">
      <c r="A2" s="236" t="s">
        <v>225</v>
      </c>
    </row>
    <row r="3" spans="1:38" s="2" customFormat="1">
      <c r="A3" s="237" t="s">
        <v>267</v>
      </c>
    </row>
    <row r="4" spans="1:38" s="2" customFormat="1">
      <c r="A4" s="238"/>
    </row>
    <row r="5" spans="1:38" s="2" customFormat="1">
      <c r="A5" s="236"/>
    </row>
    <row r="6" spans="1:38" s="4" customFormat="1" ht="13.5" thickBot="1">
      <c r="A6" s="238"/>
      <c r="F6" s="84"/>
      <c r="G6" s="84"/>
      <c r="J6" s="84"/>
      <c r="V6" s="84"/>
      <c r="AC6" s="84"/>
    </row>
    <row r="7" spans="1:38" s="239" customFormat="1" ht="13.5" thickBot="1">
      <c r="A7" s="4"/>
      <c r="B7" s="51"/>
      <c r="C7" s="865" t="s">
        <v>39</v>
      </c>
      <c r="D7" s="866"/>
      <c r="E7" s="866"/>
      <c r="F7" s="866"/>
      <c r="G7" s="867"/>
      <c r="H7" s="865" t="s">
        <v>40</v>
      </c>
      <c r="I7" s="866"/>
      <c r="J7" s="866"/>
      <c r="K7" s="866"/>
      <c r="L7" s="866"/>
      <c r="M7" s="866"/>
      <c r="N7" s="866"/>
      <c r="O7" s="866" t="s">
        <v>40</v>
      </c>
      <c r="P7" s="866"/>
      <c r="Q7" s="867"/>
      <c r="R7" s="6" t="s">
        <v>41</v>
      </c>
      <c r="S7" s="7"/>
      <c r="T7" s="9"/>
      <c r="U7" s="8" t="s">
        <v>49</v>
      </c>
      <c r="V7" s="865" t="s">
        <v>42</v>
      </c>
      <c r="W7" s="866"/>
      <c r="X7" s="866"/>
      <c r="Y7" s="866"/>
      <c r="Z7" s="866"/>
      <c r="AA7" s="866"/>
      <c r="AB7" s="867"/>
      <c r="AC7" s="865" t="s">
        <v>43</v>
      </c>
      <c r="AD7" s="866"/>
      <c r="AE7" s="866"/>
      <c r="AF7" s="866"/>
      <c r="AG7" s="866"/>
      <c r="AH7" s="866"/>
      <c r="AI7" s="866" t="s">
        <v>43</v>
      </c>
      <c r="AJ7" s="866"/>
      <c r="AK7" s="866"/>
      <c r="AL7" s="867"/>
    </row>
    <row r="8" spans="1:38">
      <c r="B8" s="119"/>
      <c r="C8" s="120" t="s">
        <v>0</v>
      </c>
      <c r="D8" s="115" t="s">
        <v>2</v>
      </c>
      <c r="E8" s="115" t="s">
        <v>4</v>
      </c>
      <c r="F8" s="115" t="s">
        <v>5</v>
      </c>
      <c r="G8" s="116" t="s">
        <v>6</v>
      </c>
      <c r="H8" s="37" t="s">
        <v>1</v>
      </c>
      <c r="I8" s="117" t="s">
        <v>7</v>
      </c>
      <c r="J8" s="117" t="s">
        <v>10</v>
      </c>
      <c r="K8" s="117" t="s">
        <v>11</v>
      </c>
      <c r="L8" s="117" t="s">
        <v>12</v>
      </c>
      <c r="M8" s="117" t="s">
        <v>45</v>
      </c>
      <c r="N8" s="117" t="s">
        <v>232</v>
      </c>
      <c r="O8" s="117" t="s">
        <v>234</v>
      </c>
      <c r="P8" s="117" t="s">
        <v>236</v>
      </c>
      <c r="Q8" s="118" t="s">
        <v>237</v>
      </c>
      <c r="R8" s="37" t="s">
        <v>13</v>
      </c>
      <c r="S8" s="117" t="s">
        <v>46</v>
      </c>
      <c r="T8" s="118" t="s">
        <v>44</v>
      </c>
      <c r="U8" s="119" t="s">
        <v>14</v>
      </c>
      <c r="V8" s="120" t="s">
        <v>15</v>
      </c>
      <c r="W8" s="115" t="s">
        <v>17</v>
      </c>
      <c r="X8" s="115" t="s">
        <v>47</v>
      </c>
      <c r="Y8" s="115" t="s">
        <v>48</v>
      </c>
      <c r="Z8" s="115" t="s">
        <v>270</v>
      </c>
      <c r="AA8" s="115" t="s">
        <v>19</v>
      </c>
      <c r="AB8" s="116" t="s">
        <v>20</v>
      </c>
      <c r="AC8" s="37" t="s">
        <v>21</v>
      </c>
      <c r="AD8" s="117" t="s">
        <v>22</v>
      </c>
      <c r="AE8" s="117" t="s">
        <v>23</v>
      </c>
      <c r="AF8" s="117" t="s">
        <v>24</v>
      </c>
      <c r="AG8" s="117" t="s">
        <v>25</v>
      </c>
      <c r="AH8" s="117" t="s">
        <v>26</v>
      </c>
      <c r="AI8" s="117" t="s">
        <v>245</v>
      </c>
      <c r="AJ8" s="117" t="s">
        <v>247</v>
      </c>
      <c r="AK8" s="117" t="s">
        <v>28</v>
      </c>
      <c r="AL8" s="118" t="s">
        <v>29</v>
      </c>
    </row>
    <row r="9" spans="1:38" s="239" customFormat="1" ht="75.75" customHeight="1">
      <c r="A9" s="4"/>
      <c r="B9" s="122" t="s">
        <v>38</v>
      </c>
      <c r="C9" s="38" t="s">
        <v>118</v>
      </c>
      <c r="D9" s="321" t="s">
        <v>119</v>
      </c>
      <c r="E9" s="168" t="s">
        <v>251</v>
      </c>
      <c r="F9" s="20" t="s">
        <v>227</v>
      </c>
      <c r="G9" s="121" t="s">
        <v>121</v>
      </c>
      <c r="H9" s="319" t="s">
        <v>122</v>
      </c>
      <c r="I9" s="20" t="s">
        <v>277</v>
      </c>
      <c r="J9" s="20" t="s">
        <v>123</v>
      </c>
      <c r="K9" s="20" t="s">
        <v>136</v>
      </c>
      <c r="L9" s="20" t="s">
        <v>230</v>
      </c>
      <c r="M9" s="20" t="s">
        <v>231</v>
      </c>
      <c r="N9" s="20" t="s">
        <v>233</v>
      </c>
      <c r="O9" s="20" t="s">
        <v>235</v>
      </c>
      <c r="P9" s="20" t="s">
        <v>200</v>
      </c>
      <c r="Q9" s="121" t="s">
        <v>238</v>
      </c>
      <c r="R9" s="319" t="s">
        <v>124</v>
      </c>
      <c r="S9" s="20" t="s">
        <v>125</v>
      </c>
      <c r="T9" s="121" t="s">
        <v>239</v>
      </c>
      <c r="U9" s="122" t="s">
        <v>126</v>
      </c>
      <c r="V9" s="123" t="s">
        <v>127</v>
      </c>
      <c r="W9" s="20" t="s">
        <v>128</v>
      </c>
      <c r="X9" s="20" t="s">
        <v>240</v>
      </c>
      <c r="Y9" s="20" t="s">
        <v>241</v>
      </c>
      <c r="Z9" s="20" t="s">
        <v>242</v>
      </c>
      <c r="AA9" s="20" t="s">
        <v>243</v>
      </c>
      <c r="AB9" s="121" t="s">
        <v>262</v>
      </c>
      <c r="AC9" s="38" t="s">
        <v>103</v>
      </c>
      <c r="AD9" s="124" t="s">
        <v>130</v>
      </c>
      <c r="AE9" s="124" t="s">
        <v>131</v>
      </c>
      <c r="AF9" s="20" t="s">
        <v>132</v>
      </c>
      <c r="AG9" s="20" t="s">
        <v>343</v>
      </c>
      <c r="AH9" s="20" t="s">
        <v>244</v>
      </c>
      <c r="AI9" s="20" t="s">
        <v>246</v>
      </c>
      <c r="AJ9" s="20" t="s">
        <v>248</v>
      </c>
      <c r="AK9" s="20" t="s">
        <v>249</v>
      </c>
      <c r="AL9" s="121" t="s">
        <v>250</v>
      </c>
    </row>
    <row r="10" spans="1:38">
      <c r="B10" s="243"/>
      <c r="C10" s="49"/>
      <c r="D10" s="16"/>
      <c r="E10" s="16"/>
      <c r="F10" s="16"/>
      <c r="G10" s="126"/>
      <c r="H10" s="39"/>
      <c r="I10" s="16"/>
      <c r="J10" s="80"/>
      <c r="K10" s="16"/>
      <c r="L10" s="80"/>
      <c r="M10" s="80"/>
      <c r="N10" s="80"/>
      <c r="O10" s="80"/>
      <c r="P10" s="80"/>
      <c r="Q10" s="126"/>
      <c r="R10" s="39"/>
      <c r="S10" s="16"/>
      <c r="T10" s="125"/>
      <c r="U10" s="127"/>
      <c r="V10" s="128"/>
      <c r="W10" s="80"/>
      <c r="X10" s="16"/>
      <c r="Y10" s="80"/>
      <c r="Z10" s="16"/>
      <c r="AA10" s="16"/>
      <c r="AB10" s="125"/>
      <c r="AC10" s="39"/>
      <c r="AD10" s="80"/>
      <c r="AE10" s="80"/>
      <c r="AF10" s="16"/>
      <c r="AG10" s="80"/>
      <c r="AH10" s="16"/>
      <c r="AI10" s="80"/>
      <c r="AJ10" s="80"/>
      <c r="AK10" s="16"/>
      <c r="AL10" s="125"/>
    </row>
    <row r="11" spans="1:38">
      <c r="A11" s="18" t="s">
        <v>56</v>
      </c>
      <c r="B11" s="127"/>
      <c r="C11" s="39"/>
      <c r="D11" s="16"/>
      <c r="E11" s="16"/>
      <c r="F11" s="16"/>
      <c r="G11" s="125"/>
      <c r="H11" s="39"/>
      <c r="I11" s="16"/>
      <c r="J11" s="16"/>
      <c r="K11" s="16"/>
      <c r="L11" s="16"/>
      <c r="M11" s="16"/>
      <c r="N11" s="16"/>
      <c r="O11" s="16"/>
      <c r="P11" s="16"/>
      <c r="Q11" s="125"/>
      <c r="R11" s="39"/>
      <c r="S11" s="16"/>
      <c r="T11" s="125"/>
      <c r="U11" s="127"/>
      <c r="V11" s="39"/>
      <c r="W11" s="16"/>
      <c r="X11" s="16"/>
      <c r="Y11" s="16"/>
      <c r="Z11" s="16"/>
      <c r="AA11" s="16"/>
      <c r="AB11" s="125"/>
      <c r="AC11" s="39"/>
      <c r="AD11" s="16"/>
      <c r="AE11" s="16"/>
      <c r="AF11" s="16"/>
      <c r="AG11" s="16"/>
      <c r="AH11" s="16"/>
      <c r="AI11" s="16"/>
      <c r="AJ11" s="16"/>
      <c r="AK11" s="16"/>
      <c r="AL11" s="125"/>
    </row>
    <row r="12" spans="1:38">
      <c r="A12" s="18" t="s">
        <v>57</v>
      </c>
      <c r="B12" s="142">
        <f>SUM(C12:AL12)</f>
        <v>16233190.429999992</v>
      </c>
      <c r="C12" s="41">
        <v>3177486.4300000006</v>
      </c>
      <c r="D12" s="322">
        <f>'[14]Lead Sheet 3.2'!$I$16</f>
        <v>13055703.999999991</v>
      </c>
      <c r="E12" s="129"/>
      <c r="F12" s="129"/>
      <c r="G12" s="130"/>
      <c r="H12" s="40"/>
      <c r="I12" s="129"/>
      <c r="J12" s="131"/>
      <c r="K12" s="129"/>
      <c r="L12" s="129"/>
      <c r="M12" s="129"/>
      <c r="N12" s="129"/>
      <c r="O12" s="129"/>
      <c r="P12" s="129"/>
      <c r="Q12" s="130"/>
      <c r="R12" s="40"/>
      <c r="S12" s="129"/>
      <c r="T12" s="130"/>
      <c r="U12" s="132"/>
      <c r="V12" s="41"/>
      <c r="W12" s="131"/>
      <c r="X12" s="131"/>
      <c r="Y12" s="131"/>
      <c r="Z12" s="131"/>
      <c r="AA12" s="131"/>
      <c r="AB12" s="133"/>
      <c r="AC12" s="40"/>
      <c r="AD12" s="129"/>
      <c r="AE12" s="129"/>
      <c r="AF12" s="129"/>
      <c r="AG12" s="129"/>
      <c r="AH12" s="16"/>
      <c r="AI12" s="129"/>
      <c r="AJ12" s="131"/>
      <c r="AK12" s="129"/>
      <c r="AL12" s="130"/>
    </row>
    <row r="13" spans="1:38">
      <c r="A13" s="18" t="s">
        <v>58</v>
      </c>
      <c r="B13" s="142">
        <f>SUM(C13:AL13)</f>
        <v>0</v>
      </c>
      <c r="C13" s="41"/>
      <c r="D13" s="131"/>
      <c r="E13" s="131"/>
      <c r="F13" s="131"/>
      <c r="G13" s="130"/>
      <c r="H13" s="41"/>
      <c r="I13" s="131"/>
      <c r="J13" s="131"/>
      <c r="K13" s="131"/>
      <c r="L13" s="129"/>
      <c r="M13" s="129"/>
      <c r="N13" s="129"/>
      <c r="O13" s="129"/>
      <c r="P13" s="129"/>
      <c r="Q13" s="130"/>
      <c r="R13" s="41"/>
      <c r="S13" s="131"/>
      <c r="T13" s="133"/>
      <c r="U13" s="132"/>
      <c r="V13" s="41"/>
      <c r="W13" s="131"/>
      <c r="X13" s="131"/>
      <c r="Y13" s="131"/>
      <c r="Z13" s="131"/>
      <c r="AA13" s="131"/>
      <c r="AB13" s="133"/>
      <c r="AC13" s="41"/>
      <c r="AD13" s="129"/>
      <c r="AE13" s="129"/>
      <c r="AF13" s="131"/>
      <c r="AG13" s="129"/>
      <c r="AH13" s="16"/>
      <c r="AI13" s="129"/>
      <c r="AJ13" s="131"/>
      <c r="AK13" s="131"/>
      <c r="AL13" s="133"/>
    </row>
    <row r="14" spans="1:38">
      <c r="A14" s="18" t="s">
        <v>59</v>
      </c>
      <c r="B14" s="142">
        <f>SUM(C14:AL14)</f>
        <v>941247.8810121459</v>
      </c>
      <c r="C14" s="41"/>
      <c r="D14" s="131"/>
      <c r="E14" s="131"/>
      <c r="F14" s="131"/>
      <c r="G14" s="130"/>
      <c r="H14" s="41"/>
      <c r="I14" s="131"/>
      <c r="J14" s="131"/>
      <c r="K14" s="131"/>
      <c r="L14" s="129"/>
      <c r="M14" s="129"/>
      <c r="N14" s="129"/>
      <c r="O14" s="129"/>
      <c r="P14" s="129"/>
      <c r="Q14" s="130"/>
      <c r="R14" s="316">
        <f>'[11]Lead Sheet - Restating'!$I$10</f>
        <v>941247.8810121459</v>
      </c>
      <c r="S14" s="131"/>
      <c r="T14" s="133"/>
      <c r="U14" s="132"/>
      <c r="V14" s="41"/>
      <c r="W14" s="131"/>
      <c r="X14" s="131"/>
      <c r="Y14" s="131"/>
      <c r="Z14" s="131"/>
      <c r="AA14" s="131"/>
      <c r="AB14" s="133"/>
      <c r="AC14" s="41"/>
      <c r="AD14" s="129"/>
      <c r="AE14" s="129"/>
      <c r="AF14" s="131"/>
      <c r="AG14" s="129"/>
      <c r="AH14" s="16"/>
      <c r="AI14" s="129"/>
      <c r="AJ14" s="131"/>
      <c r="AK14" s="131"/>
      <c r="AL14" s="133"/>
    </row>
    <row r="15" spans="1:38">
      <c r="A15" s="18" t="s">
        <v>60</v>
      </c>
      <c r="B15" s="142">
        <f>SUM(C15:AL15)</f>
        <v>-9224242.3703400642</v>
      </c>
      <c r="C15" s="41"/>
      <c r="D15" s="131"/>
      <c r="E15" s="131"/>
      <c r="F15" s="131">
        <v>-381231.14656380378</v>
      </c>
      <c r="G15" s="130">
        <v>11990.776223738925</v>
      </c>
      <c r="H15" s="41"/>
      <c r="I15" s="131"/>
      <c r="J15" s="131"/>
      <c r="K15" s="131"/>
      <c r="L15" s="129">
        <f>'[15]Lead Sheet'!$I$15</f>
        <v>-8855002</v>
      </c>
      <c r="M15" s="129"/>
      <c r="N15" s="129"/>
      <c r="O15" s="129"/>
      <c r="P15" s="129"/>
      <c r="Q15" s="130"/>
      <c r="R15" s="41"/>
      <c r="S15" s="131"/>
      <c r="T15" s="133"/>
      <c r="U15" s="132"/>
      <c r="V15" s="41"/>
      <c r="W15" s="131"/>
      <c r="X15" s="131"/>
      <c r="Y15" s="131"/>
      <c r="Z15" s="131"/>
      <c r="AA15" s="131"/>
      <c r="AB15" s="133"/>
      <c r="AC15" s="41"/>
      <c r="AD15" s="129"/>
      <c r="AE15" s="129"/>
      <c r="AF15" s="131"/>
      <c r="AG15" s="129"/>
      <c r="AH15" s="16"/>
      <c r="AI15" s="129"/>
      <c r="AJ15" s="131"/>
      <c r="AK15" s="131"/>
      <c r="AL15" s="133"/>
    </row>
    <row r="16" spans="1:38">
      <c r="A16" s="18" t="s">
        <v>61</v>
      </c>
      <c r="B16" s="244">
        <f>SUM(C16:AL16)</f>
        <v>7950195.9406720735</v>
      </c>
      <c r="C16" s="42">
        <f>SUM(C12:C15)</f>
        <v>3177486.4300000006</v>
      </c>
      <c r="D16" s="134">
        <f t="shared" ref="D16:AL16" si="0">SUM(D12:D15)</f>
        <v>13055703.999999991</v>
      </c>
      <c r="E16" s="134">
        <f t="shared" si="0"/>
        <v>0</v>
      </c>
      <c r="F16" s="134">
        <f t="shared" si="0"/>
        <v>-381231.14656380378</v>
      </c>
      <c r="G16" s="135">
        <f t="shared" si="0"/>
        <v>11990.776223738925</v>
      </c>
      <c r="H16" s="42">
        <f t="shared" si="0"/>
        <v>0</v>
      </c>
      <c r="I16" s="134">
        <f t="shared" si="0"/>
        <v>0</v>
      </c>
      <c r="J16" s="134">
        <f t="shared" si="0"/>
        <v>0</v>
      </c>
      <c r="K16" s="134">
        <f t="shared" si="0"/>
        <v>0</v>
      </c>
      <c r="L16" s="134">
        <f t="shared" ref="L16:Q16" si="1">SUM(L12:L15)</f>
        <v>-8855002</v>
      </c>
      <c r="M16" s="134">
        <f t="shared" si="1"/>
        <v>0</v>
      </c>
      <c r="N16" s="134">
        <f t="shared" si="1"/>
        <v>0</v>
      </c>
      <c r="O16" s="134">
        <f t="shared" si="1"/>
        <v>0</v>
      </c>
      <c r="P16" s="134">
        <f t="shared" si="1"/>
        <v>0</v>
      </c>
      <c r="Q16" s="135">
        <f t="shared" si="1"/>
        <v>0</v>
      </c>
      <c r="R16" s="42">
        <f t="shared" ref="R16" si="2">SUM(R12:R15)</f>
        <v>941247.8810121459</v>
      </c>
      <c r="S16" s="134">
        <f t="shared" ref="S16:T16" si="3">SUM(S12:S15)</f>
        <v>0</v>
      </c>
      <c r="T16" s="135">
        <f t="shared" si="3"/>
        <v>0</v>
      </c>
      <c r="U16" s="244">
        <f t="shared" si="0"/>
        <v>0</v>
      </c>
      <c r="V16" s="42">
        <f t="shared" si="0"/>
        <v>0</v>
      </c>
      <c r="W16" s="134">
        <f t="shared" si="0"/>
        <v>0</v>
      </c>
      <c r="X16" s="134">
        <f t="shared" si="0"/>
        <v>0</v>
      </c>
      <c r="Y16" s="134">
        <f t="shared" si="0"/>
        <v>0</v>
      </c>
      <c r="Z16" s="134">
        <f t="shared" si="0"/>
        <v>0</v>
      </c>
      <c r="AA16" s="134">
        <f t="shared" ref="AA16:AB16" si="4">SUM(AA12:AA15)</f>
        <v>0</v>
      </c>
      <c r="AB16" s="135">
        <f t="shared" si="4"/>
        <v>0</v>
      </c>
      <c r="AC16" s="42">
        <f t="shared" si="0"/>
        <v>0</v>
      </c>
      <c r="AD16" s="134">
        <f t="shared" si="0"/>
        <v>0</v>
      </c>
      <c r="AE16" s="134">
        <f t="shared" si="0"/>
        <v>0</v>
      </c>
      <c r="AF16" s="134">
        <f t="shared" si="0"/>
        <v>0</v>
      </c>
      <c r="AG16" s="134">
        <f t="shared" ref="AG16" si="5">SUM(AG12:AG15)</f>
        <v>0</v>
      </c>
      <c r="AH16" s="134">
        <f t="shared" si="0"/>
        <v>0</v>
      </c>
      <c r="AI16" s="134">
        <f t="shared" si="0"/>
        <v>0</v>
      </c>
      <c r="AJ16" s="134">
        <f t="shared" si="0"/>
        <v>0</v>
      </c>
      <c r="AK16" s="134">
        <f t="shared" si="0"/>
        <v>0</v>
      </c>
      <c r="AL16" s="135">
        <f t="shared" si="0"/>
        <v>0</v>
      </c>
    </row>
    <row r="17" spans="1:38">
      <c r="A17" s="18"/>
      <c r="B17" s="127"/>
      <c r="C17" s="39"/>
      <c r="D17" s="16"/>
      <c r="E17" s="16"/>
      <c r="F17" s="16"/>
      <c r="G17" s="125"/>
      <c r="H17" s="39"/>
      <c r="I17" s="16"/>
      <c r="J17" s="16"/>
      <c r="K17" s="16"/>
      <c r="L17" s="16"/>
      <c r="M17" s="16"/>
      <c r="N17" s="16"/>
      <c r="O17" s="16"/>
      <c r="P17" s="16"/>
      <c r="Q17" s="125"/>
      <c r="R17" s="39"/>
      <c r="S17" s="16"/>
      <c r="T17" s="125"/>
      <c r="U17" s="127"/>
      <c r="V17" s="39"/>
      <c r="W17" s="16"/>
      <c r="X17" s="16"/>
      <c r="Y17" s="16"/>
      <c r="Z17" s="16"/>
      <c r="AA17" s="16"/>
      <c r="AB17" s="125"/>
      <c r="AC17" s="39"/>
      <c r="AD17" s="16"/>
      <c r="AE17" s="16"/>
      <c r="AF17" s="16"/>
      <c r="AG17" s="16"/>
      <c r="AH17" s="16"/>
      <c r="AI17" s="16"/>
      <c r="AJ17" s="16"/>
      <c r="AK17" s="16"/>
      <c r="AL17" s="125"/>
    </row>
    <row r="18" spans="1:38">
      <c r="A18" s="18" t="s">
        <v>62</v>
      </c>
      <c r="B18" s="127"/>
      <c r="C18" s="39"/>
      <c r="D18" s="16"/>
      <c r="E18" s="16"/>
      <c r="F18" s="16"/>
      <c r="G18" s="125"/>
      <c r="H18" s="39"/>
      <c r="I18" s="16"/>
      <c r="J18" s="16"/>
      <c r="K18" s="16"/>
      <c r="L18" s="16"/>
      <c r="M18" s="16"/>
      <c r="N18" s="16"/>
      <c r="O18" s="16"/>
      <c r="P18" s="16"/>
      <c r="Q18" s="125"/>
      <c r="R18" s="39"/>
      <c r="S18" s="16"/>
      <c r="T18" s="125"/>
      <c r="U18" s="127"/>
      <c r="V18" s="40"/>
      <c r="W18" s="16"/>
      <c r="X18" s="16"/>
      <c r="Y18" s="16"/>
      <c r="Z18" s="16"/>
      <c r="AA18" s="16"/>
      <c r="AB18" s="125"/>
      <c r="AC18" s="39"/>
      <c r="AD18" s="16"/>
      <c r="AE18" s="16"/>
      <c r="AF18" s="16"/>
      <c r="AG18" s="16"/>
      <c r="AH18" s="16"/>
      <c r="AI18" s="16"/>
      <c r="AJ18" s="16"/>
      <c r="AK18" s="16"/>
      <c r="AL18" s="125"/>
    </row>
    <row r="19" spans="1:38">
      <c r="A19" s="18" t="s">
        <v>63</v>
      </c>
      <c r="B19" s="142">
        <f t="shared" ref="B19:B28" si="6">SUM(C19:AL19)</f>
        <v>-1565216.2053174789</v>
      </c>
      <c r="C19" s="41"/>
      <c r="D19" s="131"/>
      <c r="E19" s="131"/>
      <c r="F19" s="131"/>
      <c r="G19" s="130"/>
      <c r="H19" s="41"/>
      <c r="I19" s="131">
        <f>SUM('[16]4.2'!$H$12:$H$22)</f>
        <v>-18301.348352435711</v>
      </c>
      <c r="J19" s="131">
        <f>'[17]4.5'!$I$13</f>
        <v>46305.316506083058</v>
      </c>
      <c r="K19" s="131"/>
      <c r="L19" s="129"/>
      <c r="M19" s="129"/>
      <c r="N19" s="129"/>
      <c r="O19" s="129"/>
      <c r="P19" s="129"/>
      <c r="Q19" s="130"/>
      <c r="R19" s="316">
        <f>'[11]Lead Sheet - Restating'!$I$27</f>
        <v>-1593220.1734711262</v>
      </c>
      <c r="S19" s="131"/>
      <c r="T19" s="133"/>
      <c r="U19" s="132"/>
      <c r="V19" s="41"/>
      <c r="W19" s="131"/>
      <c r="X19" s="131"/>
      <c r="Y19" s="131"/>
      <c r="Z19" s="131"/>
      <c r="AA19" s="131"/>
      <c r="AB19" s="133"/>
      <c r="AC19" s="41"/>
      <c r="AD19" s="129"/>
      <c r="AE19" s="129"/>
      <c r="AF19" s="131"/>
      <c r="AG19" s="129"/>
      <c r="AH19" s="16"/>
      <c r="AI19" s="129"/>
      <c r="AJ19" s="131"/>
      <c r="AK19" s="131"/>
      <c r="AL19" s="133"/>
    </row>
    <row r="20" spans="1:38">
      <c r="A20" s="18" t="s">
        <v>64</v>
      </c>
      <c r="B20" s="142">
        <f t="shared" si="6"/>
        <v>0</v>
      </c>
      <c r="C20" s="41"/>
      <c r="D20" s="131"/>
      <c r="E20" s="131"/>
      <c r="F20" s="131"/>
      <c r="G20" s="130"/>
      <c r="H20" s="41"/>
      <c r="I20" s="131"/>
      <c r="J20" s="131"/>
      <c r="K20" s="131"/>
      <c r="L20" s="129"/>
      <c r="M20" s="129"/>
      <c r="N20" s="129"/>
      <c r="O20" s="129"/>
      <c r="P20" s="129"/>
      <c r="Q20" s="130"/>
      <c r="R20" s="41"/>
      <c r="S20" s="131"/>
      <c r="T20" s="133"/>
      <c r="U20" s="132"/>
      <c r="V20" s="41"/>
      <c r="W20" s="131"/>
      <c r="X20" s="131"/>
      <c r="Y20" s="131"/>
      <c r="Z20" s="131"/>
      <c r="AA20" s="131"/>
      <c r="AB20" s="133"/>
      <c r="AC20" s="41"/>
      <c r="AD20" s="129"/>
      <c r="AE20" s="129"/>
      <c r="AF20" s="131"/>
      <c r="AG20" s="129"/>
      <c r="AH20" s="16"/>
      <c r="AI20" s="129"/>
      <c r="AJ20" s="131"/>
      <c r="AK20" s="131"/>
      <c r="AL20" s="133"/>
    </row>
    <row r="21" spans="1:38">
      <c r="A21" s="18" t="s">
        <v>65</v>
      </c>
      <c r="B21" s="142">
        <f t="shared" si="6"/>
        <v>7511.6307386317376</v>
      </c>
      <c r="C21" s="41"/>
      <c r="D21" s="131"/>
      <c r="E21" s="131"/>
      <c r="F21" s="131"/>
      <c r="G21" s="130"/>
      <c r="H21" s="41"/>
      <c r="I21" s="131">
        <f>SUM('[16]4.2'!$H$23:$H$26)</f>
        <v>-8023.6618676613516</v>
      </c>
      <c r="J21" s="131">
        <f>'[17]4.5'!$I$14</f>
        <v>15535.292606293089</v>
      </c>
      <c r="K21" s="131"/>
      <c r="Q21" s="136"/>
      <c r="R21" s="41"/>
      <c r="S21" s="131"/>
      <c r="T21" s="133"/>
      <c r="U21" s="132"/>
      <c r="V21" s="41"/>
      <c r="W21" s="131"/>
      <c r="X21" s="131"/>
      <c r="Y21" s="131"/>
      <c r="Z21" s="131"/>
      <c r="AA21" s="131"/>
      <c r="AB21" s="133"/>
      <c r="AC21" s="41"/>
      <c r="AD21" s="129"/>
      <c r="AE21" s="129"/>
      <c r="AF21" s="131"/>
      <c r="AG21" s="129"/>
      <c r="AH21" s="16"/>
      <c r="AI21" s="129"/>
      <c r="AJ21" s="131"/>
      <c r="AK21" s="131"/>
      <c r="AL21" s="133"/>
    </row>
    <row r="22" spans="1:38">
      <c r="A22" s="18" t="s">
        <v>66</v>
      </c>
      <c r="B22" s="142">
        <f t="shared" si="6"/>
        <v>9517861.9663389288</v>
      </c>
      <c r="C22" s="41"/>
      <c r="D22" s="131"/>
      <c r="E22" s="131"/>
      <c r="F22" s="131"/>
      <c r="G22" s="130"/>
      <c r="H22" s="41"/>
      <c r="I22" s="131">
        <f>SUM('[16]4.2'!$H$27:$H$35)</f>
        <v>-9607.172373060017</v>
      </c>
      <c r="J22" s="131">
        <f>'[17]4.5'!$I$23+'[17]4.5'!$I$25</f>
        <v>-151428.21681276715</v>
      </c>
      <c r="K22" s="131"/>
      <c r="L22" s="129"/>
      <c r="M22" s="129"/>
      <c r="N22" s="129"/>
      <c r="O22" s="129"/>
      <c r="P22" s="129"/>
      <c r="Q22" s="130"/>
      <c r="R22" s="316">
        <f>'[11]Lead Sheet - Restating'!$I$19+'[11]Lead Sheet - Restating'!$I$28</f>
        <v>904671.58552475576</v>
      </c>
      <c r="S22" s="131">
        <f>'[18]5.3'!$I$10</f>
        <v>8774225.7699999996</v>
      </c>
      <c r="T22" s="133"/>
      <c r="U22" s="132"/>
      <c r="V22" s="41"/>
      <c r="W22" s="131"/>
      <c r="X22" s="131"/>
      <c r="Y22" s="131"/>
      <c r="Z22" s="131"/>
      <c r="AA22" s="131"/>
      <c r="AB22" s="133"/>
      <c r="AC22" s="41"/>
      <c r="AD22" s="129"/>
      <c r="AE22" s="129"/>
      <c r="AF22" s="131"/>
      <c r="AG22" s="129"/>
      <c r="AH22" s="16"/>
      <c r="AI22" s="129"/>
      <c r="AJ22" s="131"/>
      <c r="AK22" s="131"/>
      <c r="AL22" s="133"/>
    </row>
    <row r="23" spans="1:38">
      <c r="A23" s="18" t="s">
        <v>67</v>
      </c>
      <c r="B23" s="142">
        <f t="shared" si="6"/>
        <v>-71947.033751535782</v>
      </c>
      <c r="C23" s="41"/>
      <c r="D23" s="131"/>
      <c r="E23" s="131"/>
      <c r="F23" s="131"/>
      <c r="G23" s="130">
        <v>-65153.370885581295</v>
      </c>
      <c r="H23" s="41">
        <f>'[19]Lead Sheet'!$I$11</f>
        <v>-15.025190816493238</v>
      </c>
      <c r="I23" s="131">
        <f>SUM('[16]4.2'!$H$36:$H$43)</f>
        <v>-6643.7924590255116</v>
      </c>
      <c r="J23" s="131">
        <f>'[17]4.5'!$I$15</f>
        <v>-134.84521611248974</v>
      </c>
      <c r="K23" s="131"/>
      <c r="L23" s="129"/>
      <c r="M23" s="129"/>
      <c r="N23" s="129"/>
      <c r="O23" s="129"/>
      <c r="P23" s="129"/>
      <c r="Q23" s="130"/>
      <c r="R23" s="41"/>
      <c r="S23" s="131"/>
      <c r="T23" s="133"/>
      <c r="U23" s="132"/>
      <c r="V23" s="41"/>
      <c r="W23" s="131"/>
      <c r="X23" s="131"/>
      <c r="Y23" s="131"/>
      <c r="Z23" s="131"/>
      <c r="AA23" s="131"/>
      <c r="AB23" s="133"/>
      <c r="AC23" s="41"/>
      <c r="AD23" s="129"/>
      <c r="AE23" s="129"/>
      <c r="AF23" s="131"/>
      <c r="AG23" s="129"/>
      <c r="AH23" s="16"/>
      <c r="AI23" s="129"/>
      <c r="AJ23" s="131"/>
      <c r="AK23" s="131"/>
      <c r="AL23" s="133"/>
    </row>
    <row r="24" spans="1:38">
      <c r="A24" s="18" t="s">
        <v>68</v>
      </c>
      <c r="B24" s="142">
        <f t="shared" si="6"/>
        <v>-21040.271414005907</v>
      </c>
      <c r="C24" s="41"/>
      <c r="D24" s="131"/>
      <c r="E24" s="131"/>
      <c r="F24" s="131"/>
      <c r="G24" s="130"/>
      <c r="H24" s="41">
        <f>'[19]Lead Sheet'!$I$12</f>
        <v>-47.568757706145263</v>
      </c>
      <c r="I24" s="131">
        <f>SUM('[16]4.2'!$H$44:$H$47)</f>
        <v>-20868.260545977962</v>
      </c>
      <c r="J24" s="131">
        <f>'[17]4.5'!$I$16</f>
        <v>-124.44211032180037</v>
      </c>
      <c r="K24" s="131"/>
      <c r="L24" s="129"/>
      <c r="M24" s="129"/>
      <c r="N24" s="129"/>
      <c r="O24" s="129"/>
      <c r="P24" s="129"/>
      <c r="Q24" s="130"/>
      <c r="R24" s="41"/>
      <c r="S24" s="131"/>
      <c r="T24" s="133"/>
      <c r="U24" s="132"/>
      <c r="V24" s="41"/>
      <c r="W24" s="131"/>
      <c r="X24" s="131"/>
      <c r="Y24" s="131"/>
      <c r="Z24" s="131"/>
      <c r="AA24" s="131"/>
      <c r="AB24" s="133"/>
      <c r="AC24" s="41"/>
      <c r="AD24" s="129"/>
      <c r="AE24" s="129"/>
      <c r="AF24" s="131"/>
      <c r="AG24" s="129"/>
      <c r="AH24" s="16"/>
      <c r="AI24" s="129"/>
      <c r="AJ24" s="131"/>
      <c r="AK24" s="131"/>
      <c r="AL24" s="133"/>
    </row>
    <row r="25" spans="1:38">
      <c r="A25" s="18" t="s">
        <v>69</v>
      </c>
      <c r="B25" s="142">
        <f t="shared" si="6"/>
        <v>-17798.775906085644</v>
      </c>
      <c r="C25" s="41"/>
      <c r="D25" s="131"/>
      <c r="E25" s="131"/>
      <c r="F25" s="131"/>
      <c r="G25" s="130"/>
      <c r="H25" s="41">
        <f>'[19]Lead Sheet'!$I$10+'[19]Lead Sheet'!$I$13</f>
        <v>-1001.831242912659</v>
      </c>
      <c r="I25" s="131">
        <f>'[16]4.2'!$H$48+'[16]4.2'!$H$49</f>
        <v>-16796.944663172984</v>
      </c>
      <c r="J25" s="131"/>
      <c r="K25" s="131"/>
      <c r="L25" s="129"/>
      <c r="M25" s="129"/>
      <c r="N25" s="129"/>
      <c r="O25" s="129"/>
      <c r="P25" s="129"/>
      <c r="Q25" s="130"/>
      <c r="R25" s="41"/>
      <c r="S25" s="131"/>
      <c r="T25" s="133"/>
      <c r="U25" s="132"/>
      <c r="V25" s="41"/>
      <c r="W25" s="131"/>
      <c r="X25" s="131"/>
      <c r="Y25" s="131"/>
      <c r="Z25" s="131"/>
      <c r="AA25" s="131"/>
      <c r="AB25" s="133"/>
      <c r="AC25" s="41"/>
      <c r="AD25" s="129"/>
      <c r="AE25" s="129"/>
      <c r="AF25" s="131"/>
      <c r="AG25" s="129"/>
      <c r="AH25" s="16"/>
      <c r="AI25" s="129"/>
      <c r="AJ25" s="131"/>
      <c r="AK25" s="131"/>
      <c r="AL25" s="133"/>
    </row>
    <row r="26" spans="1:38">
      <c r="A26" s="18" t="s">
        <v>70</v>
      </c>
      <c r="B26" s="142">
        <f t="shared" si="6"/>
        <v>-8808315.0298450738</v>
      </c>
      <c r="C26" s="41"/>
      <c r="D26" s="131"/>
      <c r="E26" s="131"/>
      <c r="F26" s="131"/>
      <c r="G26" s="130"/>
      <c r="H26" s="41">
        <f>SUM('[19]Lead Sheet'!$I$14:$I$16)+'[19]Lead Sheet'!$I$23</f>
        <v>247.08719192707974</v>
      </c>
      <c r="I26" s="131">
        <f>'[16]4.2'!$H$50</f>
        <v>-774.46665443633958</v>
      </c>
      <c r="J26" s="131"/>
      <c r="K26" s="131"/>
      <c r="L26" s="129">
        <f>'[15]Lead Sheet'!$I$24</f>
        <v>-8855002</v>
      </c>
      <c r="M26" s="129">
        <f>'[20]Lead Sheet'!$I$10</f>
        <v>3668.9492345489057</v>
      </c>
      <c r="N26" s="129"/>
      <c r="O26" s="129"/>
      <c r="P26" s="129">
        <f>'[21]Lead Sheet'!$I$13</f>
        <v>43545.400382885564</v>
      </c>
      <c r="Q26" s="130"/>
      <c r="R26" s="41"/>
      <c r="S26" s="131"/>
      <c r="T26" s="133"/>
      <c r="U26" s="132"/>
      <c r="V26" s="41"/>
      <c r="W26" s="131"/>
      <c r="X26" s="131"/>
      <c r="Y26" s="131"/>
      <c r="Z26" s="131"/>
      <c r="AA26" s="131"/>
      <c r="AB26" s="133"/>
      <c r="AC26" s="41"/>
      <c r="AD26" s="129"/>
      <c r="AE26" s="129"/>
      <c r="AF26" s="131"/>
      <c r="AG26" s="129"/>
      <c r="AH26" s="16"/>
      <c r="AI26" s="129"/>
      <c r="AJ26" s="131"/>
      <c r="AK26" s="131"/>
      <c r="AL26" s="133"/>
    </row>
    <row r="27" spans="1:38">
      <c r="A27" s="18" t="s">
        <v>71</v>
      </c>
      <c r="B27" s="142">
        <f t="shared" si="6"/>
        <v>0</v>
      </c>
      <c r="C27" s="41"/>
      <c r="D27" s="131"/>
      <c r="E27" s="131"/>
      <c r="F27" s="131"/>
      <c r="G27" s="130"/>
      <c r="H27" s="41"/>
      <c r="I27" s="131"/>
      <c r="J27" s="131"/>
      <c r="K27" s="131"/>
      <c r="L27" s="129"/>
      <c r="M27" s="129"/>
      <c r="N27" s="129"/>
      <c r="O27" s="129"/>
      <c r="P27" s="129"/>
      <c r="Q27" s="130"/>
      <c r="R27" s="41"/>
      <c r="S27" s="131"/>
      <c r="T27" s="133"/>
      <c r="U27" s="132"/>
      <c r="V27" s="41"/>
      <c r="W27" s="131"/>
      <c r="X27" s="131"/>
      <c r="Y27" s="131"/>
      <c r="Z27" s="131"/>
      <c r="AA27" s="131"/>
      <c r="AB27" s="133"/>
      <c r="AC27" s="41"/>
      <c r="AD27" s="129"/>
      <c r="AE27" s="129"/>
      <c r="AF27" s="131"/>
      <c r="AG27" s="129"/>
      <c r="AH27" s="16"/>
      <c r="AI27" s="129"/>
      <c r="AJ27" s="131"/>
      <c r="AK27" s="131"/>
      <c r="AL27" s="133"/>
    </row>
    <row r="28" spans="1:38">
      <c r="A28" s="18" t="s">
        <v>72</v>
      </c>
      <c r="B28" s="142">
        <f t="shared" si="6"/>
        <v>117450.56973614397</v>
      </c>
      <c r="C28" s="43"/>
      <c r="D28" s="137"/>
      <c r="E28" s="137"/>
      <c r="F28" s="137"/>
      <c r="G28" s="151"/>
      <c r="H28" s="323">
        <f>'[22]Lead Sheet'!$I$9+SUM('[22]Lead Sheet'!$I$17:$I$23)+SUM('[22]Lead Sheet'!$I$25:$I$26)</f>
        <v>-131528.98019489166</v>
      </c>
      <c r="I28" s="137">
        <f>SUM('[16]4.2'!$H$53:$H$56)</f>
        <v>-28058.166542048693</v>
      </c>
      <c r="J28" s="137">
        <f>'[17]4.5'!$I$10+'[17]4.5'!$I$19+'[17]4.5'!$I$21</f>
        <v>184026.37917072655</v>
      </c>
      <c r="K28" s="137"/>
      <c r="L28" s="137"/>
      <c r="M28" s="137"/>
      <c r="N28" s="137">
        <f>'[23]4.9'!$I$11+'[23]4.9'!$I$12+'[23]4.9'!$I$10</f>
        <v>29289.111501199019</v>
      </c>
      <c r="O28" s="137">
        <f>'[24]4.10'!$I$14</f>
        <v>-14413.215258144253</v>
      </c>
      <c r="P28" s="137"/>
      <c r="Q28" s="139">
        <f>'[25]Leadsheet WA'!$I$18+'[25]Leadsheet WA'!$I$29:$I$29</f>
        <v>1362.579400068731</v>
      </c>
      <c r="R28" s="43"/>
      <c r="S28" s="137"/>
      <c r="T28" s="139"/>
      <c r="U28" s="140"/>
      <c r="V28" s="43"/>
      <c r="W28" s="137"/>
      <c r="X28" s="137"/>
      <c r="Y28" s="137"/>
      <c r="Z28" s="137"/>
      <c r="AA28" s="137"/>
      <c r="AB28" s="139"/>
      <c r="AC28" s="43"/>
      <c r="AD28" s="138"/>
      <c r="AE28" s="138">
        <f>'[26]Lead Sheet'!$I$13</f>
        <v>76772.861659234259</v>
      </c>
      <c r="AF28" s="137"/>
      <c r="AG28" s="137"/>
      <c r="AH28" s="141"/>
      <c r="AI28" s="138"/>
      <c r="AJ28" s="137"/>
      <c r="AK28" s="137"/>
      <c r="AL28" s="139"/>
    </row>
    <row r="29" spans="1:38">
      <c r="A29" s="18" t="s">
        <v>73</v>
      </c>
      <c r="B29" s="245">
        <f t="shared" ref="B29:B40" si="7">SUM(C29:AL29)</f>
        <v>-841493.14942047757</v>
      </c>
      <c r="C29" s="39">
        <f>SUM(C19:C28)</f>
        <v>0</v>
      </c>
      <c r="D29" s="16">
        <f t="shared" ref="D29:AL29" si="8">SUM(D19:D28)</f>
        <v>0</v>
      </c>
      <c r="E29" s="16">
        <f t="shared" si="8"/>
        <v>0</v>
      </c>
      <c r="F29" s="16">
        <f t="shared" si="8"/>
        <v>0</v>
      </c>
      <c r="G29" s="125">
        <f t="shared" si="8"/>
        <v>-65153.370885581295</v>
      </c>
      <c r="H29" s="39">
        <f>SUM(H19:H28)</f>
        <v>-132346.31819439988</v>
      </c>
      <c r="I29" s="16">
        <f t="shared" si="8"/>
        <v>-109073.81345781857</v>
      </c>
      <c r="J29" s="16">
        <f t="shared" si="8"/>
        <v>94179.484143901253</v>
      </c>
      <c r="K29" s="16">
        <f t="shared" si="8"/>
        <v>0</v>
      </c>
      <c r="L29" s="16">
        <f t="shared" ref="L29:Q29" si="9">SUM(L19:L28)</f>
        <v>-8855002</v>
      </c>
      <c r="M29" s="16">
        <f t="shared" si="9"/>
        <v>3668.9492345489057</v>
      </c>
      <c r="N29" s="16">
        <f t="shared" si="9"/>
        <v>29289.111501199019</v>
      </c>
      <c r="O29" s="16">
        <f t="shared" si="9"/>
        <v>-14413.215258144253</v>
      </c>
      <c r="P29" s="16">
        <f t="shared" si="9"/>
        <v>43545.400382885564</v>
      </c>
      <c r="Q29" s="125">
        <f t="shared" si="9"/>
        <v>1362.579400068731</v>
      </c>
      <c r="R29" s="39">
        <f t="shared" ref="R29:T29" si="10">SUM(R19:R28)</f>
        <v>-688548.58794637048</v>
      </c>
      <c r="S29" s="16">
        <f t="shared" si="10"/>
        <v>8774225.7699999996</v>
      </c>
      <c r="T29" s="125">
        <f t="shared" si="10"/>
        <v>0</v>
      </c>
      <c r="U29" s="127">
        <f t="shared" si="8"/>
        <v>0</v>
      </c>
      <c r="V29" s="39">
        <f t="shared" si="8"/>
        <v>0</v>
      </c>
      <c r="W29" s="16">
        <f t="shared" si="8"/>
        <v>0</v>
      </c>
      <c r="X29" s="16">
        <f t="shared" si="8"/>
        <v>0</v>
      </c>
      <c r="Y29" s="16">
        <f t="shared" si="8"/>
        <v>0</v>
      </c>
      <c r="Z29" s="16">
        <f t="shared" si="8"/>
        <v>0</v>
      </c>
      <c r="AA29" s="16">
        <f t="shared" ref="AA29:AB29" si="11">SUM(AA19:AA28)</f>
        <v>0</v>
      </c>
      <c r="AB29" s="125">
        <f t="shared" si="11"/>
        <v>0</v>
      </c>
      <c r="AC29" s="39">
        <f t="shared" si="8"/>
        <v>0</v>
      </c>
      <c r="AD29" s="16">
        <f t="shared" si="8"/>
        <v>0</v>
      </c>
      <c r="AE29" s="16">
        <f t="shared" si="8"/>
        <v>76772.861659234259</v>
      </c>
      <c r="AF29" s="16">
        <f t="shared" si="8"/>
        <v>0</v>
      </c>
      <c r="AG29" s="16">
        <f t="shared" ref="AG29" si="12">SUM(AG19:AG28)</f>
        <v>0</v>
      </c>
      <c r="AH29" s="16">
        <f t="shared" si="8"/>
        <v>0</v>
      </c>
      <c r="AI29" s="16">
        <f t="shared" si="8"/>
        <v>0</v>
      </c>
      <c r="AJ29" s="16">
        <f t="shared" si="8"/>
        <v>0</v>
      </c>
      <c r="AK29" s="16">
        <f t="shared" si="8"/>
        <v>0</v>
      </c>
      <c r="AL29" s="125">
        <f t="shared" si="8"/>
        <v>0</v>
      </c>
    </row>
    <row r="30" spans="1:38">
      <c r="A30" s="18" t="s">
        <v>74</v>
      </c>
      <c r="B30" s="142">
        <f>SUM(C30:AL30)</f>
        <v>-426874.27289466589</v>
      </c>
      <c r="C30" s="41"/>
      <c r="D30" s="131"/>
      <c r="E30" s="131"/>
      <c r="F30" s="131"/>
      <c r="G30" s="130"/>
      <c r="H30" s="41"/>
      <c r="I30" s="131"/>
      <c r="J30" s="131"/>
      <c r="K30" s="131"/>
      <c r="L30" s="129"/>
      <c r="M30" s="129"/>
      <c r="N30" s="129"/>
      <c r="O30" s="129"/>
      <c r="P30" s="129"/>
      <c r="Q30" s="130"/>
      <c r="R30" s="41"/>
      <c r="S30" s="131"/>
      <c r="T30" s="133">
        <f>'[27]Lead Sheet'!$I$9+'[27]Lead Sheet'!$I$10</f>
        <v>-408883.72009548731</v>
      </c>
      <c r="U30" s="127"/>
      <c r="V30" s="41"/>
      <c r="W30" s="131"/>
      <c r="X30" s="131"/>
      <c r="Y30" s="131"/>
      <c r="Z30" s="131"/>
      <c r="AA30" s="131"/>
      <c r="AB30" s="133"/>
      <c r="AC30" s="41"/>
      <c r="AD30" s="129"/>
      <c r="AE30" s="129"/>
      <c r="AF30" s="131"/>
      <c r="AG30" s="129">
        <f>'[28]Lead Sheet'!$I$9</f>
        <v>-17990.552799178593</v>
      </c>
      <c r="AH30" s="16"/>
      <c r="AI30" s="129"/>
      <c r="AJ30" s="131"/>
      <c r="AK30" s="131"/>
      <c r="AL30" s="133"/>
    </row>
    <row r="31" spans="1:38">
      <c r="A31" s="18" t="s">
        <v>75</v>
      </c>
      <c r="B31" s="142">
        <f>SUM(C31:AL31)</f>
        <v>-174728.87755490927</v>
      </c>
      <c r="C31" s="41"/>
      <c r="D31" s="131"/>
      <c r="E31" s="131"/>
      <c r="F31" s="131"/>
      <c r="G31" s="130"/>
      <c r="H31" s="41"/>
      <c r="I31" s="131"/>
      <c r="J31" s="131"/>
      <c r="K31" s="131"/>
      <c r="L31" s="129"/>
      <c r="M31" s="129"/>
      <c r="N31" s="129"/>
      <c r="O31" s="129"/>
      <c r="P31" s="129"/>
      <c r="Q31" s="130"/>
      <c r="R31" s="41"/>
      <c r="S31" s="131"/>
      <c r="T31" s="133"/>
      <c r="U31" s="127"/>
      <c r="V31" s="41"/>
      <c r="W31" s="131"/>
      <c r="X31" s="131"/>
      <c r="Y31" s="131"/>
      <c r="Z31" s="131"/>
      <c r="AA31" s="131"/>
      <c r="AB31" s="133"/>
      <c r="AC31" s="41"/>
      <c r="AD31" s="129"/>
      <c r="AE31" s="129"/>
      <c r="AF31" s="131"/>
      <c r="AG31" s="129"/>
      <c r="AH31" s="16"/>
      <c r="AI31" s="129"/>
      <c r="AJ31" s="131"/>
      <c r="AK31" s="131"/>
      <c r="AL31" s="133">
        <f>'[29]Lead Sheet'!$I$11</f>
        <v>-174728.87755490927</v>
      </c>
    </row>
    <row r="32" spans="1:38">
      <c r="A32" s="18" t="s">
        <v>76</v>
      </c>
      <c r="B32" s="142">
        <f>SUM(C32:AL32)</f>
        <v>-46288.058459085209</v>
      </c>
      <c r="C32" s="41"/>
      <c r="D32" s="131"/>
      <c r="E32" s="131"/>
      <c r="F32" s="131"/>
      <c r="G32" s="130"/>
      <c r="H32" s="41"/>
      <c r="I32" s="131"/>
      <c r="J32" s="131"/>
      <c r="K32" s="131"/>
      <c r="L32" s="129"/>
      <c r="M32" s="129"/>
      <c r="N32" s="129"/>
      <c r="O32" s="129"/>
      <c r="P32" s="129"/>
      <c r="Q32" s="130"/>
      <c r="R32" s="41"/>
      <c r="S32" s="131"/>
      <c r="T32" s="133">
        <f>'[27]Lead Sheet'!$I$11</f>
        <v>-46288.058459085209</v>
      </c>
      <c r="U32" s="127"/>
      <c r="V32" s="41"/>
      <c r="W32" s="131"/>
      <c r="X32" s="131"/>
      <c r="Y32" s="131"/>
      <c r="Z32" s="131"/>
      <c r="AA32" s="131"/>
      <c r="AB32" s="133"/>
      <c r="AC32" s="41"/>
      <c r="AD32" s="129"/>
      <c r="AE32" s="129"/>
      <c r="AF32" s="131"/>
      <c r="AG32" s="129"/>
      <c r="AH32" s="16"/>
      <c r="AI32" s="129"/>
      <c r="AJ32" s="131"/>
      <c r="AK32" s="131"/>
      <c r="AL32" s="133"/>
    </row>
    <row r="33" spans="1:38">
      <c r="A33" s="18" t="s">
        <v>77</v>
      </c>
      <c r="B33" s="142">
        <f t="shared" si="7"/>
        <v>2035642.0002939173</v>
      </c>
      <c r="C33" s="41">
        <f>C87</f>
        <v>1112120.2505000001</v>
      </c>
      <c r="D33" s="131">
        <f t="shared" ref="D33:AL33" si="13">D87</f>
        <v>3892026.5999999964</v>
      </c>
      <c r="E33" s="131">
        <f t="shared" si="13"/>
        <v>-72479.662520813828</v>
      </c>
      <c r="F33" s="131">
        <f t="shared" si="13"/>
        <v>-133430.90129733132</v>
      </c>
      <c r="G33" s="130">
        <f t="shared" si="13"/>
        <v>27000.451488262072</v>
      </c>
      <c r="H33" s="41">
        <f t="shared" si="13"/>
        <v>46321.211368039956</v>
      </c>
      <c r="I33" s="131">
        <f t="shared" si="13"/>
        <v>38175.834710236501</v>
      </c>
      <c r="J33" s="131">
        <f t="shared" si="13"/>
        <v>-32962.819450365438</v>
      </c>
      <c r="K33" s="131">
        <f t="shared" si="13"/>
        <v>0</v>
      </c>
      <c r="L33" s="129">
        <f t="shared" si="13"/>
        <v>-714064.77513409429</v>
      </c>
      <c r="M33" s="129">
        <f t="shared" si="13"/>
        <v>-1284.132232092117</v>
      </c>
      <c r="N33" s="129">
        <f t="shared" si="13"/>
        <v>-121734.58902541964</v>
      </c>
      <c r="O33" s="129">
        <f t="shared" si="13"/>
        <v>5044.6253403504879</v>
      </c>
      <c r="P33" s="129">
        <f t="shared" si="13"/>
        <v>-15240.890134009946</v>
      </c>
      <c r="Q33" s="130">
        <f t="shared" si="13"/>
        <v>-476.90279002405583</v>
      </c>
      <c r="R33" s="41">
        <f t="shared" si="13"/>
        <v>570428.76413548074</v>
      </c>
      <c r="S33" s="131">
        <f t="shared" si="13"/>
        <v>-3070979.0194999995</v>
      </c>
      <c r="T33" s="133">
        <f t="shared" si="13"/>
        <v>36330.024507595139</v>
      </c>
      <c r="U33" s="127">
        <f t="shared" si="13"/>
        <v>0</v>
      </c>
      <c r="V33" s="41">
        <f t="shared" si="13"/>
        <v>347470.07888986875</v>
      </c>
      <c r="W33" s="131">
        <f t="shared" si="13"/>
        <v>0</v>
      </c>
      <c r="X33" s="131">
        <f t="shared" si="13"/>
        <v>-83729.110166808881</v>
      </c>
      <c r="Y33" s="131">
        <f t="shared" si="13"/>
        <v>0</v>
      </c>
      <c r="Z33" s="131">
        <f t="shared" si="13"/>
        <v>0</v>
      </c>
      <c r="AA33" s="131">
        <f t="shared" si="13"/>
        <v>0</v>
      </c>
      <c r="AB33" s="133">
        <f t="shared" si="13"/>
        <v>0</v>
      </c>
      <c r="AC33" s="41">
        <f t="shared" si="13"/>
        <v>-3525.9343636363633</v>
      </c>
      <c r="AD33" s="129">
        <f t="shared" si="13"/>
        <v>0</v>
      </c>
      <c r="AE33" s="129">
        <f t="shared" si="13"/>
        <v>130593.18601344011</v>
      </c>
      <c r="AF33" s="131">
        <f t="shared" si="13"/>
        <v>0</v>
      </c>
      <c r="AG33" s="129"/>
      <c r="AH33" s="16">
        <f t="shared" si="13"/>
        <v>0</v>
      </c>
      <c r="AI33" s="129"/>
      <c r="AJ33" s="131">
        <f t="shared" si="13"/>
        <v>71784.749346106531</v>
      </c>
      <c r="AK33" s="131">
        <f t="shared" si="13"/>
        <v>0</v>
      </c>
      <c r="AL33" s="133">
        <f t="shared" si="13"/>
        <v>8254.9606091356254</v>
      </c>
    </row>
    <row r="34" spans="1:38">
      <c r="A34" s="18" t="s">
        <v>78</v>
      </c>
      <c r="B34" s="142">
        <f>SUM(C34:AL34)</f>
        <v>0</v>
      </c>
      <c r="C34" s="40"/>
      <c r="D34" s="129"/>
      <c r="E34" s="129"/>
      <c r="F34" s="129"/>
      <c r="G34" s="130"/>
      <c r="H34" s="40"/>
      <c r="I34" s="129"/>
      <c r="J34" s="129"/>
      <c r="K34" s="129"/>
      <c r="L34" s="129"/>
      <c r="M34" s="129"/>
      <c r="N34" s="129"/>
      <c r="O34" s="129"/>
      <c r="P34" s="129"/>
      <c r="Q34" s="130"/>
      <c r="R34" s="40"/>
      <c r="S34" s="129"/>
      <c r="T34" s="130"/>
      <c r="U34" s="142"/>
      <c r="V34" s="40"/>
      <c r="W34" s="129"/>
      <c r="X34" s="129"/>
      <c r="Y34" s="129"/>
      <c r="Z34" s="129"/>
      <c r="AA34" s="129"/>
      <c r="AB34" s="130"/>
      <c r="AC34" s="40"/>
      <c r="AD34" s="129"/>
      <c r="AE34" s="129"/>
      <c r="AF34" s="129"/>
      <c r="AG34" s="129"/>
      <c r="AH34" s="16"/>
      <c r="AI34" s="129"/>
      <c r="AJ34" s="129"/>
      <c r="AK34" s="129"/>
      <c r="AL34" s="130"/>
    </row>
    <row r="35" spans="1:38">
      <c r="A35" s="18" t="s">
        <v>79</v>
      </c>
      <c r="B35" s="142">
        <f>SUM(C35:AL35)</f>
        <v>-1287871.7903143498</v>
      </c>
      <c r="C35" s="41"/>
      <c r="D35" s="131"/>
      <c r="E35" s="131">
        <v>342725.89115355402</v>
      </c>
      <c r="F35" s="131"/>
      <c r="G35" s="130"/>
      <c r="H35" s="41"/>
      <c r="I35" s="131"/>
      <c r="J35" s="131"/>
      <c r="K35" s="131"/>
      <c r="L35" s="129"/>
      <c r="M35" s="129"/>
      <c r="N35" s="129"/>
      <c r="O35" s="129"/>
      <c r="P35" s="129"/>
      <c r="Q35" s="130"/>
      <c r="R35" s="41"/>
      <c r="S35" s="131"/>
      <c r="T35" s="133">
        <f>'[27]Lead Sheet'!$I$15</f>
        <v>113543.20922531039</v>
      </c>
      <c r="U35" s="132"/>
      <c r="V35" s="41"/>
      <c r="W35" s="131">
        <f>'[30]Lead Sheet'!$I$9</f>
        <v>-296778.81346373697</v>
      </c>
      <c r="X35" s="131"/>
      <c r="Y35" s="131"/>
      <c r="Z35" s="131">
        <f>'[31]Page 7.6 ~ WA Flow-Through Adj.'!$I$90</f>
        <v>396343.93645358831</v>
      </c>
      <c r="AA35" s="131">
        <f>'[32]Lead Sheet'!$I$10</f>
        <v>-1877339</v>
      </c>
      <c r="AB35" s="133">
        <f>[33]Leadsheet!$I$34</f>
        <v>20913</v>
      </c>
      <c r="AC35" s="41"/>
      <c r="AD35" s="129"/>
      <c r="AE35" s="129">
        <f>'[26]Lead Sheet'!$I$26+'[26]Lead Sheet'!$I$30</f>
        <v>12719.986316934381</v>
      </c>
      <c r="AF35" s="131"/>
      <c r="AG35" s="129"/>
      <c r="AH35" s="16"/>
      <c r="AI35" s="129"/>
      <c r="AJ35" s="131"/>
      <c r="AK35" s="131"/>
      <c r="AL35" s="133"/>
    </row>
    <row r="36" spans="1:38">
      <c r="A36" s="18" t="s">
        <v>80</v>
      </c>
      <c r="B36" s="142">
        <f>SUM(C36:AL36)</f>
        <v>0</v>
      </c>
      <c r="C36" s="41"/>
      <c r="D36" s="131"/>
      <c r="E36" s="131"/>
      <c r="F36" s="131"/>
      <c r="G36" s="130"/>
      <c r="H36" s="41"/>
      <c r="I36" s="131"/>
      <c r="J36" s="131"/>
      <c r="K36" s="131"/>
      <c r="L36" s="129"/>
      <c r="M36" s="129"/>
      <c r="N36" s="129"/>
      <c r="O36" s="129"/>
      <c r="P36" s="129"/>
      <c r="Q36" s="130"/>
      <c r="R36" s="41"/>
      <c r="S36" s="131"/>
      <c r="T36" s="133"/>
      <c r="U36" s="132"/>
      <c r="V36" s="41"/>
      <c r="W36" s="131"/>
      <c r="X36" s="131"/>
      <c r="Y36" s="131"/>
      <c r="Z36" s="131"/>
      <c r="AA36" s="131"/>
      <c r="AB36" s="133"/>
      <c r="AC36" s="41"/>
      <c r="AD36" s="129"/>
      <c r="AE36" s="129"/>
      <c r="AF36" s="131"/>
      <c r="AG36" s="129"/>
      <c r="AH36" s="16"/>
      <c r="AI36" s="129"/>
      <c r="AJ36" s="131"/>
      <c r="AK36" s="131"/>
      <c r="AL36" s="133"/>
    </row>
    <row r="37" spans="1:38">
      <c r="A37" s="18" t="s">
        <v>81</v>
      </c>
      <c r="B37" s="142">
        <f>SUM(C37:AL37)</f>
        <v>-685916.03178462666</v>
      </c>
      <c r="C37" s="41"/>
      <c r="D37" s="131"/>
      <c r="E37" s="131">
        <v>-695990.1299664448</v>
      </c>
      <c r="F37" s="131"/>
      <c r="G37" s="130"/>
      <c r="H37" s="41"/>
      <c r="I37" s="131"/>
      <c r="J37" s="131"/>
      <c r="K37" s="131"/>
      <c r="L37" s="131"/>
      <c r="M37" s="131"/>
      <c r="N37" s="131"/>
      <c r="O37" s="131"/>
      <c r="P37" s="131"/>
      <c r="Q37" s="133"/>
      <c r="R37" s="41"/>
      <c r="S37" s="131"/>
      <c r="T37" s="133"/>
      <c r="U37" s="132"/>
      <c r="V37" s="41"/>
      <c r="W37" s="131"/>
      <c r="X37" s="131"/>
      <c r="Y37" s="131"/>
      <c r="Z37" s="131"/>
      <c r="AA37" s="131"/>
      <c r="AB37" s="133"/>
      <c r="AC37" s="41">
        <f>'[34]Lead Sheet'!$I$10</f>
        <v>10074.098181818181</v>
      </c>
      <c r="AD37" s="129"/>
      <c r="AE37" s="129"/>
      <c r="AF37" s="131"/>
      <c r="AG37" s="129"/>
      <c r="AH37" s="16"/>
      <c r="AI37" s="129"/>
      <c r="AJ37" s="131"/>
      <c r="AK37" s="131"/>
      <c r="AL37" s="133"/>
    </row>
    <row r="38" spans="1:38">
      <c r="A38" s="18" t="s">
        <v>82</v>
      </c>
      <c r="B38" s="244">
        <f t="shared" si="7"/>
        <v>-1427530.1801341965</v>
      </c>
      <c r="C38" s="42">
        <f>SUM(C29:C37)</f>
        <v>1112120.2505000001</v>
      </c>
      <c r="D38" s="134">
        <f t="shared" ref="D38:AL38" si="14">SUM(D29:D37)</f>
        <v>3892026.5999999964</v>
      </c>
      <c r="E38" s="134">
        <f t="shared" si="14"/>
        <v>-425743.90133370459</v>
      </c>
      <c r="F38" s="134">
        <f t="shared" si="14"/>
        <v>-133430.90129733132</v>
      </c>
      <c r="G38" s="135">
        <f t="shared" si="14"/>
        <v>-38152.919397319223</v>
      </c>
      <c r="H38" s="42">
        <f t="shared" si="14"/>
        <v>-86025.10682635993</v>
      </c>
      <c r="I38" s="134">
        <f t="shared" si="14"/>
        <v>-70897.978747582063</v>
      </c>
      <c r="J38" s="134">
        <f t="shared" si="14"/>
        <v>61216.664693535815</v>
      </c>
      <c r="K38" s="134">
        <f t="shared" si="14"/>
        <v>0</v>
      </c>
      <c r="L38" s="134">
        <f t="shared" ref="L38:Q38" si="15">SUM(L29:L37)</f>
        <v>-9569066.7751340941</v>
      </c>
      <c r="M38" s="134">
        <f t="shared" si="15"/>
        <v>2384.8170024567889</v>
      </c>
      <c r="N38" s="134">
        <f t="shared" si="15"/>
        <v>-92445.477524220623</v>
      </c>
      <c r="O38" s="134">
        <f t="shared" si="15"/>
        <v>-9368.5899177937645</v>
      </c>
      <c r="P38" s="134">
        <f t="shared" si="15"/>
        <v>28304.510248875617</v>
      </c>
      <c r="Q38" s="135">
        <f t="shared" si="15"/>
        <v>885.67661004467527</v>
      </c>
      <c r="R38" s="42">
        <f t="shared" ref="R38:T38" si="16">SUM(R29:R37)</f>
        <v>-118119.82381088973</v>
      </c>
      <c r="S38" s="134">
        <f t="shared" si="16"/>
        <v>5703246.7505000001</v>
      </c>
      <c r="T38" s="135">
        <f t="shared" si="16"/>
        <v>-305298.54482166702</v>
      </c>
      <c r="U38" s="244">
        <f t="shared" si="14"/>
        <v>0</v>
      </c>
      <c r="V38" s="42">
        <f t="shared" si="14"/>
        <v>347470.07888986875</v>
      </c>
      <c r="W38" s="134">
        <f t="shared" si="14"/>
        <v>-296778.81346373697</v>
      </c>
      <c r="X38" s="134">
        <f t="shared" si="14"/>
        <v>-83729.110166808881</v>
      </c>
      <c r="Y38" s="134">
        <f t="shared" si="14"/>
        <v>0</v>
      </c>
      <c r="Z38" s="134">
        <f t="shared" si="14"/>
        <v>396343.93645358831</v>
      </c>
      <c r="AA38" s="134">
        <f t="shared" ref="AA38:AB38" si="17">SUM(AA29:AA37)</f>
        <v>-1877339</v>
      </c>
      <c r="AB38" s="135">
        <f t="shared" si="17"/>
        <v>20913</v>
      </c>
      <c r="AC38" s="42">
        <f t="shared" si="14"/>
        <v>6548.163818181818</v>
      </c>
      <c r="AD38" s="134">
        <f t="shared" si="14"/>
        <v>0</v>
      </c>
      <c r="AE38" s="134">
        <f t="shared" si="14"/>
        <v>220086.03398960872</v>
      </c>
      <c r="AF38" s="134">
        <f t="shared" si="14"/>
        <v>0</v>
      </c>
      <c r="AG38" s="134">
        <f t="shared" ref="AG38" si="18">SUM(AG29:AG37)</f>
        <v>-17990.552799178593</v>
      </c>
      <c r="AH38" s="134">
        <f t="shared" si="14"/>
        <v>0</v>
      </c>
      <c r="AI38" s="134">
        <f t="shared" si="14"/>
        <v>0</v>
      </c>
      <c r="AJ38" s="134">
        <f t="shared" si="14"/>
        <v>71784.749346106531</v>
      </c>
      <c r="AK38" s="134">
        <f t="shared" si="14"/>
        <v>0</v>
      </c>
      <c r="AL38" s="135">
        <f t="shared" si="14"/>
        <v>-166473.91694577364</v>
      </c>
    </row>
    <row r="39" spans="1:38">
      <c r="A39" s="18"/>
      <c r="B39" s="142">
        <f>SUM(C39:AL39)</f>
        <v>0</v>
      </c>
      <c r="C39" s="39"/>
      <c r="D39" s="16"/>
      <c r="E39" s="16"/>
      <c r="F39" s="16"/>
      <c r="G39" s="125"/>
      <c r="H39" s="39"/>
      <c r="I39" s="16"/>
      <c r="J39" s="16"/>
      <c r="K39" s="16"/>
      <c r="L39" s="16"/>
      <c r="M39" s="16"/>
      <c r="N39" s="16"/>
      <c r="O39" s="16"/>
      <c r="P39" s="16"/>
      <c r="Q39" s="125"/>
      <c r="R39" s="39"/>
      <c r="S39" s="16"/>
      <c r="T39" s="125"/>
      <c r="U39" s="127"/>
      <c r="V39" s="39"/>
      <c r="W39" s="16"/>
      <c r="X39" s="16"/>
      <c r="Y39" s="16"/>
      <c r="Z39" s="16"/>
      <c r="AA39" s="16"/>
      <c r="AB39" s="125"/>
      <c r="AC39" s="39"/>
      <c r="AD39" s="16"/>
      <c r="AE39" s="16"/>
      <c r="AF39" s="16"/>
      <c r="AG39" s="16"/>
      <c r="AH39" s="16"/>
      <c r="AI39" s="16"/>
      <c r="AJ39" s="16"/>
      <c r="AK39" s="16"/>
      <c r="AL39" s="125"/>
    </row>
    <row r="40" spans="1:38" ht="13.5" thickBot="1">
      <c r="A40" s="18" t="s">
        <v>83</v>
      </c>
      <c r="B40" s="246">
        <f t="shared" si="7"/>
        <v>9377726.1208062693</v>
      </c>
      <c r="C40" s="44">
        <f t="shared" ref="C40:AL40" si="19">C16-C38</f>
        <v>2065366.1795000006</v>
      </c>
      <c r="D40" s="143">
        <f t="shared" si="19"/>
        <v>9163677.3999999948</v>
      </c>
      <c r="E40" s="143">
        <f t="shared" si="19"/>
        <v>425743.90133370459</v>
      </c>
      <c r="F40" s="143">
        <f t="shared" si="19"/>
        <v>-247800.24526647246</v>
      </c>
      <c r="G40" s="144">
        <f t="shared" si="19"/>
        <v>50143.695621058148</v>
      </c>
      <c r="H40" s="44">
        <f t="shared" si="19"/>
        <v>86025.10682635993</v>
      </c>
      <c r="I40" s="143">
        <f t="shared" si="19"/>
        <v>70897.978747582063</v>
      </c>
      <c r="J40" s="143">
        <f t="shared" si="19"/>
        <v>-61216.664693535815</v>
      </c>
      <c r="K40" s="143">
        <f t="shared" si="19"/>
        <v>0</v>
      </c>
      <c r="L40" s="143">
        <f t="shared" ref="L40:Q40" si="20">L16-L38</f>
        <v>714064.77513409406</v>
      </c>
      <c r="M40" s="143">
        <f t="shared" si="20"/>
        <v>-2384.8170024567889</v>
      </c>
      <c r="N40" s="143">
        <f t="shared" si="20"/>
        <v>92445.477524220623</v>
      </c>
      <c r="O40" s="143">
        <f t="shared" si="20"/>
        <v>9368.5899177937645</v>
      </c>
      <c r="P40" s="143">
        <f t="shared" si="20"/>
        <v>-28304.510248875617</v>
      </c>
      <c r="Q40" s="144">
        <f t="shared" si="20"/>
        <v>-885.67661004467527</v>
      </c>
      <c r="R40" s="44">
        <f t="shared" ref="R40:T40" si="21">R16-R38</f>
        <v>1059367.7048230357</v>
      </c>
      <c r="S40" s="143">
        <f t="shared" si="21"/>
        <v>-5703246.7505000001</v>
      </c>
      <c r="T40" s="144">
        <f t="shared" si="21"/>
        <v>305298.54482166702</v>
      </c>
      <c r="U40" s="246">
        <f t="shared" si="19"/>
        <v>0</v>
      </c>
      <c r="V40" s="44">
        <f t="shared" si="19"/>
        <v>-347470.07888986875</v>
      </c>
      <c r="W40" s="143">
        <f t="shared" si="19"/>
        <v>296778.81346373697</v>
      </c>
      <c r="X40" s="143">
        <f t="shared" si="19"/>
        <v>83729.110166808881</v>
      </c>
      <c r="Y40" s="143">
        <f t="shared" si="19"/>
        <v>0</v>
      </c>
      <c r="Z40" s="143">
        <f t="shared" si="19"/>
        <v>-396343.93645358831</v>
      </c>
      <c r="AA40" s="143">
        <f t="shared" ref="AA40:AB40" si="22">AA16-AA38</f>
        <v>1877339</v>
      </c>
      <c r="AB40" s="144">
        <f t="shared" si="22"/>
        <v>-20913</v>
      </c>
      <c r="AC40" s="44">
        <f t="shared" si="19"/>
        <v>-6548.163818181818</v>
      </c>
      <c r="AD40" s="143">
        <f t="shared" si="19"/>
        <v>0</v>
      </c>
      <c r="AE40" s="143">
        <f t="shared" si="19"/>
        <v>-220086.03398960872</v>
      </c>
      <c r="AF40" s="143">
        <f t="shared" si="19"/>
        <v>0</v>
      </c>
      <c r="AG40" s="143">
        <f t="shared" ref="AG40" si="23">AG16-AG38</f>
        <v>17990.552799178593</v>
      </c>
      <c r="AH40" s="143">
        <f t="shared" si="19"/>
        <v>0</v>
      </c>
      <c r="AI40" s="143">
        <f t="shared" si="19"/>
        <v>0</v>
      </c>
      <c r="AJ40" s="143">
        <f t="shared" si="19"/>
        <v>-71784.749346106531</v>
      </c>
      <c r="AK40" s="143">
        <f t="shared" si="19"/>
        <v>0</v>
      </c>
      <c r="AL40" s="144">
        <f t="shared" si="19"/>
        <v>166473.91694577364</v>
      </c>
    </row>
    <row r="41" spans="1:38" ht="13.5" thickTop="1">
      <c r="A41" s="18"/>
      <c r="B41" s="127"/>
      <c r="C41" s="39"/>
      <c r="D41" s="16"/>
      <c r="E41" s="16"/>
      <c r="F41" s="16"/>
      <c r="G41" s="125"/>
      <c r="H41" s="39"/>
      <c r="I41" s="16"/>
      <c r="J41" s="16"/>
      <c r="K41" s="16"/>
      <c r="L41" s="16"/>
      <c r="M41" s="16"/>
      <c r="N41" s="16"/>
      <c r="O41" s="16"/>
      <c r="P41" s="16"/>
      <c r="Q41" s="125"/>
      <c r="R41" s="39"/>
      <c r="S41" s="16"/>
      <c r="T41" s="125"/>
      <c r="U41" s="127"/>
      <c r="V41" s="39"/>
      <c r="W41" s="16"/>
      <c r="X41" s="16"/>
      <c r="Y41" s="16"/>
      <c r="Z41" s="16"/>
      <c r="AA41" s="16"/>
      <c r="AB41" s="125"/>
      <c r="AC41" s="39"/>
      <c r="AD41" s="16"/>
      <c r="AE41" s="16"/>
      <c r="AF41" s="16"/>
      <c r="AG41" s="16"/>
      <c r="AH41" s="16"/>
      <c r="AI41" s="16"/>
      <c r="AJ41" s="16"/>
      <c r="AK41" s="16"/>
      <c r="AL41" s="125"/>
    </row>
    <row r="42" spans="1:38">
      <c r="A42" s="18" t="s">
        <v>84</v>
      </c>
      <c r="B42" s="127"/>
      <c r="C42" s="39"/>
      <c r="D42" s="16"/>
      <c r="E42" s="16"/>
      <c r="F42" s="16"/>
      <c r="G42" s="125"/>
      <c r="H42" s="39"/>
      <c r="I42" s="16"/>
      <c r="J42" s="16"/>
      <c r="K42" s="16"/>
      <c r="L42" s="16"/>
      <c r="M42" s="16"/>
      <c r="N42" s="16"/>
      <c r="O42" s="16"/>
      <c r="P42" s="16"/>
      <c r="Q42" s="125"/>
      <c r="R42" s="39"/>
      <c r="S42" s="16"/>
      <c r="T42" s="125"/>
      <c r="U42" s="127"/>
      <c r="V42" s="39"/>
      <c r="W42" s="16"/>
      <c r="X42" s="16"/>
      <c r="Y42" s="16"/>
      <c r="Z42" s="16"/>
      <c r="AA42" s="16"/>
      <c r="AB42" s="125"/>
      <c r="AC42" s="39"/>
      <c r="AD42" s="16"/>
      <c r="AE42" s="16"/>
      <c r="AF42" s="16"/>
      <c r="AG42" s="16"/>
      <c r="AH42" s="16"/>
      <c r="AI42" s="16"/>
      <c r="AJ42" s="16"/>
      <c r="AK42" s="16"/>
      <c r="AL42" s="125"/>
    </row>
    <row r="43" spans="1:38">
      <c r="A43" s="18" t="s">
        <v>85</v>
      </c>
      <c r="B43" s="142">
        <f t="shared" ref="B43:B53" si="24">SUM(C43:AL43)</f>
        <v>31647606.57965333</v>
      </c>
      <c r="C43" s="41"/>
      <c r="D43" s="131"/>
      <c r="E43" s="131"/>
      <c r="F43" s="131"/>
      <c r="G43" s="130"/>
      <c r="H43" s="41"/>
      <c r="I43" s="131"/>
      <c r="J43" s="131"/>
      <c r="K43" s="131"/>
      <c r="L43" s="129"/>
      <c r="M43" s="129"/>
      <c r="N43" s="129"/>
      <c r="O43" s="129"/>
      <c r="P43" s="129"/>
      <c r="Q43" s="130"/>
      <c r="R43" s="41"/>
      <c r="S43" s="131"/>
      <c r="T43" s="133">
        <f>'[27]Lead Sheet'!$I$18+'[27]Lead Sheet'!$I$19</f>
        <v>-26918433.364462718</v>
      </c>
      <c r="U43" s="132"/>
      <c r="V43" s="41"/>
      <c r="W43" s="131"/>
      <c r="X43" s="131"/>
      <c r="Y43" s="131"/>
      <c r="Z43" s="131"/>
      <c r="AA43" s="131"/>
      <c r="AB43" s="133"/>
      <c r="AC43" s="41"/>
      <c r="AD43" s="129">
        <f>'[35]Lead Sheet AMA (WA)'!$I$10</f>
        <v>58989055.517888799</v>
      </c>
      <c r="AE43" s="129"/>
      <c r="AF43" s="131"/>
      <c r="AG43" s="129">
        <f>'[28]Lead Sheet'!$I$17</f>
        <v>-423015.57377275266</v>
      </c>
      <c r="AH43" s="16"/>
      <c r="AI43" s="129"/>
      <c r="AJ43" s="131"/>
      <c r="AK43" s="131"/>
      <c r="AL43" s="133"/>
    </row>
    <row r="44" spans="1:38">
      <c r="A44" s="18" t="s">
        <v>86</v>
      </c>
      <c r="B44" s="142">
        <f t="shared" si="24"/>
        <v>0</v>
      </c>
      <c r="C44" s="41"/>
      <c r="D44" s="131"/>
      <c r="E44" s="131"/>
      <c r="F44" s="131"/>
      <c r="G44" s="130"/>
      <c r="H44" s="41"/>
      <c r="I44" s="131"/>
      <c r="J44" s="131"/>
      <c r="K44" s="131"/>
      <c r="L44" s="129"/>
      <c r="M44" s="129"/>
      <c r="N44" s="129"/>
      <c r="O44" s="129"/>
      <c r="P44" s="129"/>
      <c r="Q44" s="130"/>
      <c r="R44" s="41"/>
      <c r="S44" s="131"/>
      <c r="T44" s="133"/>
      <c r="U44" s="132"/>
      <c r="V44" s="41"/>
      <c r="W44" s="131"/>
      <c r="X44" s="131"/>
      <c r="Y44" s="131"/>
      <c r="Z44" s="131"/>
      <c r="AA44" s="131"/>
      <c r="AB44" s="133"/>
      <c r="AC44" s="41"/>
      <c r="AD44" s="129"/>
      <c r="AE44" s="129"/>
      <c r="AF44" s="131"/>
      <c r="AG44" s="129"/>
      <c r="AH44" s="16"/>
      <c r="AI44" s="129"/>
      <c r="AJ44" s="131"/>
      <c r="AK44" s="131"/>
      <c r="AL44" s="133"/>
    </row>
    <row r="45" spans="1:38">
      <c r="A45" s="18" t="s">
        <v>87</v>
      </c>
      <c r="B45" s="142">
        <f t="shared" si="24"/>
        <v>-2373510.0345394304</v>
      </c>
      <c r="C45" s="41"/>
      <c r="D45" s="131"/>
      <c r="E45" s="131"/>
      <c r="F45" s="131"/>
      <c r="G45" s="130"/>
      <c r="H45" s="41"/>
      <c r="I45" s="131"/>
      <c r="J45" s="131"/>
      <c r="K45" s="131"/>
      <c r="L45" s="129"/>
      <c r="M45" s="129"/>
      <c r="N45" s="129">
        <f>'[23]4.9'!$I$16</f>
        <v>-79630.904999999548</v>
      </c>
      <c r="O45" s="129"/>
      <c r="P45" s="129"/>
      <c r="Q45" s="130"/>
      <c r="R45" s="41"/>
      <c r="S45" s="131"/>
      <c r="T45" s="133"/>
      <c r="U45" s="132"/>
      <c r="V45" s="41"/>
      <c r="W45" s="131"/>
      <c r="X45" s="131"/>
      <c r="Y45" s="131"/>
      <c r="Z45" s="131"/>
      <c r="AA45" s="131"/>
      <c r="AB45" s="133"/>
      <c r="AC45" s="41"/>
      <c r="AD45" s="129">
        <f>'[35]Lead Sheet AMA (WA)'!$I$11</f>
        <v>385035.68442549539</v>
      </c>
      <c r="AE45" s="129">
        <f>'[26]Lead Sheet'!$I$20</f>
        <v>164613.1918070376</v>
      </c>
      <c r="AF45" s="131"/>
      <c r="AG45" s="129"/>
      <c r="AH45" s="16"/>
      <c r="AI45" s="129">
        <f>'[36]Lead Sheet - AMA'!$I$87+'[36]Lead Sheet - AMA'!$I$69</f>
        <v>-2843528.0057719639</v>
      </c>
      <c r="AJ45" s="131"/>
      <c r="AK45" s="131"/>
      <c r="AL45" s="133"/>
    </row>
    <row r="46" spans="1:38">
      <c r="A46" s="18" t="s">
        <v>88</v>
      </c>
      <c r="B46" s="142">
        <f t="shared" si="24"/>
        <v>0</v>
      </c>
      <c r="C46" s="41"/>
      <c r="D46" s="131"/>
      <c r="E46" s="131"/>
      <c r="F46" s="131"/>
      <c r="G46" s="130"/>
      <c r="H46" s="41"/>
      <c r="I46" s="131"/>
      <c r="J46" s="131"/>
      <c r="K46" s="131"/>
      <c r="L46" s="129"/>
      <c r="M46" s="129"/>
      <c r="N46" s="129"/>
      <c r="O46" s="129"/>
      <c r="P46" s="129"/>
      <c r="Q46" s="130"/>
      <c r="R46" s="41"/>
      <c r="S46" s="131"/>
      <c r="T46" s="133"/>
      <c r="U46" s="132"/>
      <c r="V46" s="41"/>
      <c r="W46" s="131"/>
      <c r="X46" s="131"/>
      <c r="Y46" s="131"/>
      <c r="Z46" s="131"/>
      <c r="AA46" s="131"/>
      <c r="AB46" s="133"/>
      <c r="AC46" s="41"/>
      <c r="AD46" s="129"/>
      <c r="AE46" s="129"/>
      <c r="AF46" s="131"/>
      <c r="AG46" s="129"/>
      <c r="AH46" s="16"/>
      <c r="AI46" s="129"/>
      <c r="AJ46" s="131"/>
      <c r="AK46" s="131"/>
      <c r="AL46" s="133"/>
    </row>
    <row r="47" spans="1:38">
      <c r="A47" s="18" t="s">
        <v>89</v>
      </c>
      <c r="B47" s="142">
        <f t="shared" si="24"/>
        <v>0</v>
      </c>
      <c r="C47" s="41"/>
      <c r="D47" s="131"/>
      <c r="E47" s="131"/>
      <c r="F47" s="131"/>
      <c r="G47" s="130"/>
      <c r="H47" s="41"/>
      <c r="I47" s="131"/>
      <c r="J47" s="131"/>
      <c r="K47" s="131"/>
      <c r="L47" s="129"/>
      <c r="M47" s="129"/>
      <c r="N47" s="129"/>
      <c r="O47" s="129"/>
      <c r="P47" s="129"/>
      <c r="Q47" s="130"/>
      <c r="R47" s="41"/>
      <c r="S47" s="131"/>
      <c r="T47" s="133"/>
      <c r="U47" s="132"/>
      <c r="V47" s="41"/>
      <c r="W47" s="131"/>
      <c r="X47" s="131"/>
      <c r="Y47" s="131"/>
      <c r="Z47" s="131"/>
      <c r="AA47" s="131"/>
      <c r="AB47" s="133"/>
      <c r="AC47" s="41"/>
      <c r="AD47" s="129"/>
      <c r="AE47" s="129"/>
      <c r="AF47" s="131"/>
      <c r="AG47" s="129"/>
      <c r="AH47" s="16"/>
      <c r="AI47" s="129"/>
      <c r="AJ47" s="131"/>
      <c r="AK47" s="131"/>
      <c r="AL47" s="133"/>
    </row>
    <row r="48" spans="1:38">
      <c r="A48" s="18" t="s">
        <v>90</v>
      </c>
      <c r="B48" s="142">
        <f t="shared" si="24"/>
        <v>-2240510.2035326045</v>
      </c>
      <c r="C48" s="41"/>
      <c r="D48" s="131"/>
      <c r="E48" s="131"/>
      <c r="F48" s="131"/>
      <c r="G48" s="130"/>
      <c r="H48" s="41"/>
      <c r="I48" s="131"/>
      <c r="J48" s="131"/>
      <c r="K48" s="131"/>
      <c r="L48" s="129"/>
      <c r="M48" s="129"/>
      <c r="N48" s="129"/>
      <c r="O48" s="129"/>
      <c r="P48" s="129"/>
      <c r="Q48" s="130"/>
      <c r="R48" s="41"/>
      <c r="S48" s="131"/>
      <c r="T48" s="133"/>
      <c r="U48" s="132"/>
      <c r="V48" s="41"/>
      <c r="W48" s="131"/>
      <c r="X48" s="131"/>
      <c r="Y48" s="131"/>
      <c r="Z48" s="131"/>
      <c r="AA48" s="131"/>
      <c r="AB48" s="133"/>
      <c r="AC48" s="41"/>
      <c r="AD48" s="129"/>
      <c r="AE48" s="129"/>
      <c r="AF48" s="131"/>
      <c r="AG48" s="129"/>
      <c r="AH48" s="16">
        <f>SUM('[36]Lead Sheet - AMA'!$I$45:$I$53)</f>
        <v>-1858462.383879981</v>
      </c>
      <c r="AI48" s="129">
        <f>'[36]Lead Sheet - AMA'!$I$59+'[36]Lead Sheet - AMA'!$I$60</f>
        <v>-382047.81965262367</v>
      </c>
      <c r="AJ48" s="131"/>
      <c r="AK48" s="131"/>
      <c r="AL48" s="133"/>
    </row>
    <row r="49" spans="1:38">
      <c r="A49" s="18" t="s">
        <v>91</v>
      </c>
      <c r="B49" s="142">
        <f t="shared" si="24"/>
        <v>-4907986.4739838867</v>
      </c>
      <c r="C49" s="41"/>
      <c r="D49" s="131"/>
      <c r="E49" s="131"/>
      <c r="F49" s="131"/>
      <c r="G49" s="130"/>
      <c r="H49" s="41"/>
      <c r="I49" s="131"/>
      <c r="J49" s="131"/>
      <c r="K49" s="131"/>
      <c r="L49" s="129"/>
      <c r="M49" s="129"/>
      <c r="N49" s="129"/>
      <c r="O49" s="129"/>
      <c r="P49" s="129"/>
      <c r="Q49" s="130"/>
      <c r="R49" s="41"/>
      <c r="S49" s="131"/>
      <c r="T49" s="133"/>
      <c r="U49" s="132"/>
      <c r="V49" s="41"/>
      <c r="W49" s="131"/>
      <c r="X49" s="131"/>
      <c r="Y49" s="131"/>
      <c r="Z49" s="131"/>
      <c r="AA49" s="131"/>
      <c r="AB49" s="133"/>
      <c r="AC49" s="41"/>
      <c r="AD49" s="129"/>
      <c r="AE49" s="129"/>
      <c r="AF49" s="131"/>
      <c r="AG49" s="129"/>
      <c r="AH49" s="16">
        <f>'[36]Lead Sheet - AMA'!$I$26</f>
        <v>-4907986.4739838867</v>
      </c>
      <c r="AI49" s="129"/>
      <c r="AJ49" s="131"/>
      <c r="AK49" s="131"/>
      <c r="AL49" s="133"/>
    </row>
    <row r="50" spans="1:38">
      <c r="A50" s="18" t="s">
        <v>92</v>
      </c>
      <c r="B50" s="142">
        <f t="shared" si="24"/>
        <v>-7435680.6054583685</v>
      </c>
      <c r="C50" s="41"/>
      <c r="D50" s="131"/>
      <c r="E50" s="131"/>
      <c r="F50" s="131"/>
      <c r="G50" s="130"/>
      <c r="H50" s="41"/>
      <c r="I50" s="131"/>
      <c r="J50" s="131"/>
      <c r="K50" s="131"/>
      <c r="L50" s="129"/>
      <c r="M50" s="129"/>
      <c r="N50" s="129"/>
      <c r="O50" s="129"/>
      <c r="P50" s="129"/>
      <c r="Q50" s="130"/>
      <c r="R50" s="41"/>
      <c r="S50" s="131"/>
      <c r="T50" s="133"/>
      <c r="U50" s="132"/>
      <c r="V50" s="41"/>
      <c r="W50" s="131"/>
      <c r="X50" s="131"/>
      <c r="Y50" s="131"/>
      <c r="Z50" s="131"/>
      <c r="AA50" s="131"/>
      <c r="AB50" s="133"/>
      <c r="AC50" s="41"/>
      <c r="AD50" s="129"/>
      <c r="AE50" s="129"/>
      <c r="AF50" s="131"/>
      <c r="AG50" s="129"/>
      <c r="AH50" s="16">
        <f>'[36]Lead Sheet - AMA'!$I$43</f>
        <v>-7435680.6054583685</v>
      </c>
      <c r="AI50" s="129"/>
      <c r="AJ50" s="131"/>
      <c r="AK50" s="131"/>
      <c r="AL50" s="133"/>
    </row>
    <row r="51" spans="1:38">
      <c r="A51" s="18" t="s">
        <v>93</v>
      </c>
      <c r="B51" s="142">
        <f t="shared" si="24"/>
        <v>-3098080.8131170203</v>
      </c>
      <c r="C51" s="41"/>
      <c r="D51" s="131"/>
      <c r="E51" s="131"/>
      <c r="F51" s="131"/>
      <c r="G51" s="130"/>
      <c r="H51" s="41"/>
      <c r="I51" s="131"/>
      <c r="J51" s="131"/>
      <c r="K51" s="131"/>
      <c r="L51" s="129"/>
      <c r="M51" s="129"/>
      <c r="N51" s="129"/>
      <c r="O51" s="129"/>
      <c r="P51" s="129"/>
      <c r="Q51" s="130"/>
      <c r="R51" s="41"/>
      <c r="S51" s="131"/>
      <c r="T51" s="133"/>
      <c r="U51" s="132"/>
      <c r="V51" s="41"/>
      <c r="W51" s="131"/>
      <c r="X51" s="131"/>
      <c r="Y51" s="131"/>
      <c r="Z51" s="131"/>
      <c r="AA51" s="131"/>
      <c r="AB51" s="133"/>
      <c r="AC51" s="41"/>
      <c r="AD51" s="129"/>
      <c r="AE51" s="129"/>
      <c r="AF51" s="131"/>
      <c r="AG51" s="129"/>
      <c r="AH51" s="16">
        <f>'[36]Lead Sheet - AMA'!$I$20</f>
        <v>-3098080.8131170203</v>
      </c>
      <c r="AI51" s="129"/>
      <c r="AJ51" s="131"/>
      <c r="AK51" s="131"/>
      <c r="AL51" s="133"/>
    </row>
    <row r="52" spans="1:38">
      <c r="A52" s="18" t="s">
        <v>94</v>
      </c>
      <c r="B52" s="142">
        <f t="shared" si="24"/>
        <v>0</v>
      </c>
      <c r="C52" s="41"/>
      <c r="D52" s="131"/>
      <c r="E52" s="131"/>
      <c r="F52" s="131"/>
      <c r="G52" s="130"/>
      <c r="H52" s="41"/>
      <c r="I52" s="131"/>
      <c r="J52" s="131"/>
      <c r="K52" s="131"/>
      <c r="L52" s="129"/>
      <c r="M52" s="129"/>
      <c r="N52" s="129"/>
      <c r="O52" s="129"/>
      <c r="P52" s="129"/>
      <c r="Q52" s="130"/>
      <c r="R52" s="41"/>
      <c r="S52" s="131"/>
      <c r="T52" s="133"/>
      <c r="U52" s="132"/>
      <c r="V52" s="41"/>
      <c r="W52" s="131"/>
      <c r="X52" s="131"/>
      <c r="Y52" s="131"/>
      <c r="Z52" s="131"/>
      <c r="AA52" s="131"/>
      <c r="AB52" s="133"/>
      <c r="AC52" s="41"/>
      <c r="AD52" s="129"/>
      <c r="AE52" s="129"/>
      <c r="AF52" s="131"/>
      <c r="AG52" s="129"/>
      <c r="AH52" s="16"/>
      <c r="AI52" s="129"/>
      <c r="AJ52" s="131"/>
      <c r="AK52" s="131"/>
      <c r="AL52" s="133"/>
    </row>
    <row r="53" spans="1:38">
      <c r="A53" s="18" t="s">
        <v>95</v>
      </c>
      <c r="B53" s="142">
        <f t="shared" si="24"/>
        <v>-102468.75195108727</v>
      </c>
      <c r="C53" s="41"/>
      <c r="D53" s="131"/>
      <c r="E53" s="131"/>
      <c r="F53" s="131"/>
      <c r="G53" s="130"/>
      <c r="H53" s="41"/>
      <c r="I53" s="131"/>
      <c r="J53" s="131"/>
      <c r="K53" s="131"/>
      <c r="L53" s="129"/>
      <c r="M53" s="129"/>
      <c r="N53" s="129"/>
      <c r="O53" s="129"/>
      <c r="P53" s="129"/>
      <c r="Q53" s="130"/>
      <c r="R53" s="41"/>
      <c r="S53" s="131"/>
      <c r="T53" s="133"/>
      <c r="U53" s="132"/>
      <c r="V53" s="41"/>
      <c r="W53" s="131"/>
      <c r="X53" s="131"/>
      <c r="Y53" s="131"/>
      <c r="Z53" s="131"/>
      <c r="AA53" s="131"/>
      <c r="AB53" s="133"/>
      <c r="AC53" s="41"/>
      <c r="AD53" s="129"/>
      <c r="AE53" s="129"/>
      <c r="AF53" s="131"/>
      <c r="AG53" s="129"/>
      <c r="AH53" s="16"/>
      <c r="AI53" s="129"/>
      <c r="AJ53" s="131"/>
      <c r="AK53" s="131"/>
      <c r="AL53" s="133">
        <f>SUM('[29]Lead Sheet'!$I$15:$I$17)</f>
        <v>-102468.75195108727</v>
      </c>
    </row>
    <row r="54" spans="1:38">
      <c r="A54" s="18" t="s">
        <v>96</v>
      </c>
      <c r="B54" s="247">
        <f t="shared" ref="B54" si="25">SUM(C54:AL54)</f>
        <v>11489369.697070932</v>
      </c>
      <c r="C54" s="45">
        <f>SUM(C43:C53)</f>
        <v>0</v>
      </c>
      <c r="D54" s="145">
        <f t="shared" ref="D54:AL54" si="26">SUM(D43:D53)</f>
        <v>0</v>
      </c>
      <c r="E54" s="145">
        <f t="shared" si="26"/>
        <v>0</v>
      </c>
      <c r="F54" s="145">
        <f t="shared" si="26"/>
        <v>0</v>
      </c>
      <c r="G54" s="146">
        <f t="shared" si="26"/>
        <v>0</v>
      </c>
      <c r="H54" s="45">
        <f t="shared" si="26"/>
        <v>0</v>
      </c>
      <c r="I54" s="145">
        <f t="shared" si="26"/>
        <v>0</v>
      </c>
      <c r="J54" s="145">
        <f t="shared" si="26"/>
        <v>0</v>
      </c>
      <c r="K54" s="145">
        <f t="shared" si="26"/>
        <v>0</v>
      </c>
      <c r="L54" s="145">
        <f t="shared" ref="L54:Q54" si="27">SUM(L43:L53)</f>
        <v>0</v>
      </c>
      <c r="M54" s="145">
        <f t="shared" si="27"/>
        <v>0</v>
      </c>
      <c r="N54" s="145">
        <f t="shared" si="27"/>
        <v>-79630.904999999548</v>
      </c>
      <c r="O54" s="145">
        <f t="shared" si="27"/>
        <v>0</v>
      </c>
      <c r="P54" s="145">
        <f t="shared" si="27"/>
        <v>0</v>
      </c>
      <c r="Q54" s="146">
        <f t="shared" si="27"/>
        <v>0</v>
      </c>
      <c r="R54" s="45">
        <f t="shared" ref="R54:T54" si="28">SUM(R43:R53)</f>
        <v>0</v>
      </c>
      <c r="S54" s="145">
        <f t="shared" si="28"/>
        <v>0</v>
      </c>
      <c r="T54" s="146">
        <f t="shared" si="28"/>
        <v>-26918433.364462718</v>
      </c>
      <c r="U54" s="247">
        <f t="shared" si="26"/>
        <v>0</v>
      </c>
      <c r="V54" s="45">
        <f t="shared" si="26"/>
        <v>0</v>
      </c>
      <c r="W54" s="145">
        <f t="shared" si="26"/>
        <v>0</v>
      </c>
      <c r="X54" s="145">
        <f t="shared" si="26"/>
        <v>0</v>
      </c>
      <c r="Y54" s="145">
        <f t="shared" si="26"/>
        <v>0</v>
      </c>
      <c r="Z54" s="145">
        <f t="shared" si="26"/>
        <v>0</v>
      </c>
      <c r="AA54" s="145">
        <f t="shared" ref="AA54:AB54" si="29">SUM(AA43:AA53)</f>
        <v>0</v>
      </c>
      <c r="AB54" s="146">
        <f t="shared" si="29"/>
        <v>0</v>
      </c>
      <c r="AC54" s="45">
        <f t="shared" si="26"/>
        <v>0</v>
      </c>
      <c r="AD54" s="145">
        <f t="shared" si="26"/>
        <v>59374091.202314295</v>
      </c>
      <c r="AE54" s="145">
        <f t="shared" si="26"/>
        <v>164613.1918070376</v>
      </c>
      <c r="AF54" s="145">
        <f t="shared" si="26"/>
        <v>0</v>
      </c>
      <c r="AG54" s="145">
        <f t="shared" ref="AG54" si="30">SUM(AG43:AG53)</f>
        <v>-423015.57377275266</v>
      </c>
      <c r="AH54" s="145">
        <f t="shared" si="26"/>
        <v>-17300210.276439257</v>
      </c>
      <c r="AI54" s="145">
        <f t="shared" si="26"/>
        <v>-3225575.8254245874</v>
      </c>
      <c r="AJ54" s="145">
        <f t="shared" si="26"/>
        <v>0</v>
      </c>
      <c r="AK54" s="145">
        <f t="shared" si="26"/>
        <v>0</v>
      </c>
      <c r="AL54" s="146">
        <f t="shared" si="26"/>
        <v>-102468.75195108727</v>
      </c>
    </row>
    <row r="55" spans="1:38">
      <c r="A55" s="18"/>
      <c r="B55" s="127"/>
      <c r="C55" s="39"/>
      <c r="D55" s="16"/>
      <c r="E55" s="16"/>
      <c r="F55" s="16"/>
      <c r="G55" s="125"/>
      <c r="H55" s="39"/>
      <c r="I55" s="16"/>
      <c r="J55" s="16"/>
      <c r="K55" s="16"/>
      <c r="L55" s="16"/>
      <c r="M55" s="16"/>
      <c r="N55" s="16"/>
      <c r="O55" s="16"/>
      <c r="P55" s="16"/>
      <c r="Q55" s="125"/>
      <c r="R55" s="39"/>
      <c r="S55" s="16"/>
      <c r="T55" s="125"/>
      <c r="U55" s="127"/>
      <c r="V55" s="39"/>
      <c r="W55" s="16"/>
      <c r="X55" s="16"/>
      <c r="Y55" s="16"/>
      <c r="Z55" s="16"/>
      <c r="AA55" s="16"/>
      <c r="AB55" s="125"/>
      <c r="AC55" s="39"/>
      <c r="AD55" s="16"/>
      <c r="AE55" s="16"/>
      <c r="AF55" s="16"/>
      <c r="AG55" s="16"/>
      <c r="AH55" s="16"/>
      <c r="AI55" s="16"/>
      <c r="AJ55" s="16"/>
      <c r="AK55" s="16"/>
      <c r="AL55" s="125"/>
    </row>
    <row r="56" spans="1:38">
      <c r="A56" s="18" t="s">
        <v>97</v>
      </c>
      <c r="B56" s="127"/>
      <c r="C56" s="39"/>
      <c r="D56" s="16"/>
      <c r="E56" s="16"/>
      <c r="F56" s="16"/>
      <c r="G56" s="125"/>
      <c r="H56" s="39"/>
      <c r="I56" s="16"/>
      <c r="J56" s="16"/>
      <c r="K56" s="16"/>
      <c r="L56" s="16"/>
      <c r="M56" s="16"/>
      <c r="N56" s="16"/>
      <c r="O56" s="16"/>
      <c r="P56" s="16"/>
      <c r="Q56" s="125"/>
      <c r="R56" s="39"/>
      <c r="S56" s="16"/>
      <c r="T56" s="125"/>
      <c r="U56" s="127"/>
      <c r="V56" s="39"/>
      <c r="W56" s="16"/>
      <c r="X56" s="16"/>
      <c r="Y56" s="16"/>
      <c r="Z56" s="16"/>
      <c r="AA56" s="16"/>
      <c r="AB56" s="125"/>
      <c r="AC56" s="39"/>
      <c r="AD56" s="16"/>
      <c r="AE56" s="16"/>
      <c r="AF56" s="16"/>
      <c r="AG56" s="16"/>
      <c r="AH56" s="16"/>
      <c r="AI56" s="16"/>
      <c r="AJ56" s="16"/>
      <c r="AK56" s="16"/>
      <c r="AL56" s="125"/>
    </row>
    <row r="57" spans="1:38">
      <c r="A57" s="18" t="s">
        <v>98</v>
      </c>
      <c r="B57" s="142">
        <f t="shared" ref="B57:B64" si="31">SUM(C57:AL57)</f>
        <v>-10099130.621185265</v>
      </c>
      <c r="C57" s="41"/>
      <c r="D57" s="131"/>
      <c r="E57" s="131"/>
      <c r="F57" s="131"/>
      <c r="G57" s="130"/>
      <c r="H57" s="41"/>
      <c r="I57" s="131"/>
      <c r="J57" s="131"/>
      <c r="K57" s="131"/>
      <c r="L57" s="129"/>
      <c r="M57" s="129"/>
      <c r="N57" s="129"/>
      <c r="O57" s="129"/>
      <c r="P57" s="129"/>
      <c r="Q57" s="130"/>
      <c r="R57" s="41"/>
      <c r="S57" s="131"/>
      <c r="T57" s="133">
        <f>'[27]Lead Sheet'!$I$20+'[27]Lead Sheet'!$I$21</f>
        <v>16700424.00742016</v>
      </c>
      <c r="U57" s="132">
        <f>'[37]Lead Sheet AMA'!$I$10</f>
        <v>-8146.0598647139677</v>
      </c>
      <c r="V57" s="41"/>
      <c r="W57" s="131"/>
      <c r="X57" s="131"/>
      <c r="Y57" s="131"/>
      <c r="Z57" s="131"/>
      <c r="AA57" s="131"/>
      <c r="AB57" s="133"/>
      <c r="AC57" s="41"/>
      <c r="AD57" s="129">
        <f>'[35]Lead Sheet AMA (WA)'!$I$12</f>
        <v>-26791408.568740711</v>
      </c>
      <c r="AE57" s="129"/>
      <c r="AF57" s="131"/>
      <c r="AG57" s="129"/>
      <c r="AH57" s="16"/>
      <c r="AI57" s="129"/>
      <c r="AJ57" s="131"/>
      <c r="AK57" s="131"/>
      <c r="AL57" s="133"/>
    </row>
    <row r="58" spans="1:38">
      <c r="A58" s="18" t="s">
        <v>99</v>
      </c>
      <c r="B58" s="142">
        <f t="shared" si="31"/>
        <v>0</v>
      </c>
      <c r="C58" s="41"/>
      <c r="D58" s="131"/>
      <c r="E58" s="131"/>
      <c r="F58" s="131"/>
      <c r="G58" s="130"/>
      <c r="H58" s="41"/>
      <c r="I58" s="131"/>
      <c r="J58" s="131"/>
      <c r="K58" s="131"/>
      <c r="L58" s="129"/>
      <c r="M58" s="129"/>
      <c r="N58" s="129"/>
      <c r="O58" s="129"/>
      <c r="P58" s="129"/>
      <c r="Q58" s="130"/>
      <c r="R58" s="41"/>
      <c r="S58" s="131"/>
      <c r="T58" s="133"/>
      <c r="U58" s="132"/>
      <c r="V58" s="41"/>
      <c r="W58" s="131"/>
      <c r="X58" s="131"/>
      <c r="Y58" s="131"/>
      <c r="Z58" s="131"/>
      <c r="AA58" s="131"/>
      <c r="AB58" s="133"/>
      <c r="AC58" s="41"/>
      <c r="AD58" s="129"/>
      <c r="AE58" s="129"/>
      <c r="AF58" s="131"/>
      <c r="AG58" s="129"/>
      <c r="AH58" s="16"/>
      <c r="AI58" s="129"/>
      <c r="AJ58" s="131"/>
      <c r="AK58" s="131"/>
      <c r="AL58" s="133"/>
    </row>
    <row r="59" spans="1:38">
      <c r="A59" s="18" t="s">
        <v>100</v>
      </c>
      <c r="B59" s="142">
        <f t="shared" si="31"/>
        <v>311142.77519654424</v>
      </c>
      <c r="C59" s="41"/>
      <c r="D59" s="131"/>
      <c r="E59" s="131">
        <v>1220290.3429160728</v>
      </c>
      <c r="F59" s="131"/>
      <c r="G59" s="130"/>
      <c r="H59" s="41"/>
      <c r="I59" s="131"/>
      <c r="J59" s="131"/>
      <c r="K59" s="131"/>
      <c r="L59" s="129"/>
      <c r="M59" s="129"/>
      <c r="N59" s="129"/>
      <c r="O59" s="129"/>
      <c r="P59" s="129"/>
      <c r="Q59" s="130"/>
      <c r="R59" s="41"/>
      <c r="S59" s="131"/>
      <c r="T59" s="133">
        <f>'[27]Lead Sheet'!$I$22</f>
        <v>1484568.406393917</v>
      </c>
      <c r="U59" s="132"/>
      <c r="V59" s="41"/>
      <c r="W59" s="131">
        <f>'[30]Lead Sheet'!$I$12</f>
        <v>-222584.42473664155</v>
      </c>
      <c r="X59" s="131"/>
      <c r="Y59" s="131">
        <f>'[31]Page 7.6 ~ WA Flow-Through Adj.'!$I$51</f>
        <v>-2089738.2646262255</v>
      </c>
      <c r="Z59" s="131"/>
      <c r="AA59" s="131">
        <f>'[32]Lead Sheet'!$I$12</f>
        <v>953690</v>
      </c>
      <c r="AB59" s="290">
        <f>[33]Leadsheet!$I$20+[33]Leadsheet!$I$22</f>
        <v>-773349.3887389946</v>
      </c>
      <c r="AC59" s="41"/>
      <c r="AD59" s="129"/>
      <c r="AE59" s="129">
        <f>'[26]Lead Sheet'!$I$27+'[26]Lead Sheet'!$I$31</f>
        <v>-261733.89601158394</v>
      </c>
      <c r="AF59" s="131"/>
      <c r="AG59" s="129"/>
      <c r="AH59" s="16"/>
      <c r="AI59" s="129"/>
      <c r="AJ59" s="131"/>
      <c r="AK59" s="131"/>
      <c r="AL59" s="133"/>
    </row>
    <row r="60" spans="1:38">
      <c r="A60" s="18" t="s">
        <v>101</v>
      </c>
      <c r="B60" s="142">
        <f t="shared" si="31"/>
        <v>103982.22360000001</v>
      </c>
      <c r="C60" s="41"/>
      <c r="D60" s="131"/>
      <c r="E60" s="131"/>
      <c r="F60" s="131"/>
      <c r="G60" s="130"/>
      <c r="H60" s="41"/>
      <c r="I60" s="131"/>
      <c r="J60" s="131"/>
      <c r="K60" s="131"/>
      <c r="L60" s="129"/>
      <c r="M60" s="129"/>
      <c r="N60" s="129"/>
      <c r="O60" s="129"/>
      <c r="P60" s="129"/>
      <c r="Q60" s="130"/>
      <c r="R60" s="41"/>
      <c r="S60" s="131"/>
      <c r="T60" s="133">
        <f>'[27]Lead Sheet'!$I$23</f>
        <v>103982.22360000001</v>
      </c>
      <c r="U60" s="132"/>
      <c r="V60" s="41"/>
      <c r="W60" s="131"/>
      <c r="X60" s="131"/>
      <c r="Y60" s="131"/>
      <c r="Z60" s="131"/>
      <c r="AA60" s="131"/>
      <c r="AB60" s="133"/>
      <c r="AC60" s="41"/>
      <c r="AD60" s="129"/>
      <c r="AE60" s="129"/>
      <c r="AF60" s="131"/>
      <c r="AG60" s="129"/>
      <c r="AH60" s="16"/>
      <c r="AI60" s="129"/>
      <c r="AJ60" s="131"/>
      <c r="AK60" s="131"/>
      <c r="AL60" s="133"/>
    </row>
    <row r="61" spans="1:38">
      <c r="A61" s="18" t="s">
        <v>102</v>
      </c>
      <c r="B61" s="142">
        <f t="shared" si="31"/>
        <v>-293988.17735592474</v>
      </c>
      <c r="C61" s="41"/>
      <c r="D61" s="131"/>
      <c r="E61" s="131"/>
      <c r="F61" s="131"/>
      <c r="G61" s="130"/>
      <c r="H61" s="41"/>
      <c r="I61" s="131"/>
      <c r="J61" s="131"/>
      <c r="K61" s="131"/>
      <c r="L61" s="129"/>
      <c r="M61" s="129"/>
      <c r="N61" s="129"/>
      <c r="O61" s="129"/>
      <c r="P61" s="129"/>
      <c r="Q61" s="130"/>
      <c r="R61" s="41"/>
      <c r="S61" s="131"/>
      <c r="T61" s="133"/>
      <c r="U61" s="132"/>
      <c r="V61" s="41"/>
      <c r="W61" s="131"/>
      <c r="X61" s="131"/>
      <c r="Y61" s="131"/>
      <c r="Z61" s="131"/>
      <c r="AA61" s="131"/>
      <c r="AB61" s="133"/>
      <c r="AC61" s="41"/>
      <c r="AD61" s="129"/>
      <c r="AE61" s="129"/>
      <c r="AF61" s="131">
        <f>'[38]AMA Lead Sheet - WCA'!$I$23</f>
        <v>-293988.17735592474</v>
      </c>
      <c r="AG61" s="129"/>
      <c r="AH61" s="16"/>
      <c r="AI61" s="129"/>
      <c r="AJ61" s="131"/>
      <c r="AK61" s="131"/>
      <c r="AL61" s="133"/>
    </row>
    <row r="62" spans="1:38">
      <c r="A62" s="18" t="s">
        <v>103</v>
      </c>
      <c r="B62" s="142">
        <f t="shared" si="31"/>
        <v>-3291205.6015833332</v>
      </c>
      <c r="C62" s="41"/>
      <c r="D62" s="131"/>
      <c r="E62" s="131"/>
      <c r="F62" s="131"/>
      <c r="G62" s="130"/>
      <c r="H62" s="41"/>
      <c r="I62" s="131"/>
      <c r="J62" s="131"/>
      <c r="K62" s="131"/>
      <c r="L62" s="129"/>
      <c r="M62" s="129"/>
      <c r="N62" s="129"/>
      <c r="O62" s="129"/>
      <c r="P62" s="129"/>
      <c r="Q62" s="130"/>
      <c r="R62" s="41"/>
      <c r="S62" s="131"/>
      <c r="T62" s="133"/>
      <c r="U62" s="132"/>
      <c r="V62" s="41"/>
      <c r="W62" s="131"/>
      <c r="X62" s="131"/>
      <c r="Y62" s="131"/>
      <c r="Z62" s="131"/>
      <c r="AA62" s="131"/>
      <c r="AB62" s="133"/>
      <c r="AC62" s="41">
        <f>'[34]Lead Sheet'!$I$15</f>
        <v>-3291205.6015833332</v>
      </c>
      <c r="AD62" s="129"/>
      <c r="AE62" s="129"/>
      <c r="AF62" s="131"/>
      <c r="AG62" s="129"/>
      <c r="AH62" s="16"/>
      <c r="AI62" s="129"/>
      <c r="AJ62" s="131"/>
      <c r="AK62" s="131"/>
      <c r="AL62" s="133"/>
    </row>
    <row r="63" spans="1:38">
      <c r="A63" s="18" t="s">
        <v>104</v>
      </c>
      <c r="B63" s="142">
        <f t="shared" si="31"/>
        <v>-1978325.4157962431</v>
      </c>
      <c r="C63" s="41"/>
      <c r="D63" s="131"/>
      <c r="E63" s="131">
        <v>-3215514.4191855043</v>
      </c>
      <c r="F63" s="131"/>
      <c r="G63" s="130"/>
      <c r="H63" s="41"/>
      <c r="I63" s="131"/>
      <c r="J63" s="131">
        <f>'[17]4.5'!$I$26</f>
        <v>56244.919679730992</v>
      </c>
      <c r="K63" s="131"/>
      <c r="L63" s="129"/>
      <c r="M63" s="129"/>
      <c r="N63" s="129"/>
      <c r="O63" s="129"/>
      <c r="P63" s="129"/>
      <c r="Q63" s="130"/>
      <c r="R63" s="41"/>
      <c r="S63" s="131"/>
      <c r="T63" s="133"/>
      <c r="U63" s="132"/>
      <c r="V63" s="41"/>
      <c r="W63" s="131"/>
      <c r="X63" s="131"/>
      <c r="Y63" s="131"/>
      <c r="Z63" s="131"/>
      <c r="AA63" s="131"/>
      <c r="AB63" s="133"/>
      <c r="AC63" s="41"/>
      <c r="AD63" s="129"/>
      <c r="AE63" s="129"/>
      <c r="AF63" s="131"/>
      <c r="AG63" s="129"/>
      <c r="AH63" s="16"/>
      <c r="AI63" s="129"/>
      <c r="AJ63" s="131"/>
      <c r="AK63" s="131"/>
      <c r="AL63" s="133">
        <f>'[29]Lead Sheet'!$I$19+'[29]Lead Sheet'!$I$20</f>
        <v>1180944.0837095301</v>
      </c>
    </row>
    <row r="64" spans="1:38">
      <c r="A64" s="18"/>
      <c r="B64" s="142">
        <f t="shared" si="31"/>
        <v>0</v>
      </c>
      <c r="C64" s="39"/>
      <c r="D64" s="16"/>
      <c r="E64" s="16"/>
      <c r="F64" s="16"/>
      <c r="G64" s="125"/>
      <c r="H64" s="39"/>
      <c r="I64" s="16"/>
      <c r="J64" s="16"/>
      <c r="K64" s="16"/>
      <c r="L64" s="16"/>
      <c r="M64" s="16"/>
      <c r="N64" s="16"/>
      <c r="O64" s="16"/>
      <c r="P64" s="16"/>
      <c r="Q64" s="125"/>
      <c r="R64" s="39"/>
      <c r="S64" s="16"/>
      <c r="T64" s="125"/>
      <c r="U64" s="127"/>
      <c r="V64" s="39"/>
      <c r="W64" s="16"/>
      <c r="X64" s="16"/>
      <c r="Y64" s="16"/>
      <c r="Z64" s="16"/>
      <c r="AA64" s="16"/>
      <c r="AB64" s="125"/>
      <c r="AC64" s="39"/>
      <c r="AD64" s="16"/>
      <c r="AE64" s="16"/>
      <c r="AF64" s="16"/>
      <c r="AG64" s="16"/>
      <c r="AH64" s="16"/>
      <c r="AI64" s="16"/>
      <c r="AJ64" s="16"/>
      <c r="AK64" s="16"/>
      <c r="AL64" s="125"/>
    </row>
    <row r="65" spans="1:38">
      <c r="A65" s="18" t="s">
        <v>105</v>
      </c>
      <c r="B65" s="244">
        <f t="shared" ref="B65" si="32">SUM(C65:AL65)</f>
        <v>-15247524.817124223</v>
      </c>
      <c r="C65" s="42">
        <f t="shared" ref="C65:AL65" si="33">SUM(C57:C64)</f>
        <v>0</v>
      </c>
      <c r="D65" s="134">
        <f t="shared" si="33"/>
        <v>0</v>
      </c>
      <c r="E65" s="134">
        <f t="shared" si="33"/>
        <v>-1995224.0762694315</v>
      </c>
      <c r="F65" s="134">
        <f t="shared" si="33"/>
        <v>0</v>
      </c>
      <c r="G65" s="135">
        <f t="shared" si="33"/>
        <v>0</v>
      </c>
      <c r="H65" s="42">
        <f t="shared" si="33"/>
        <v>0</v>
      </c>
      <c r="I65" s="134">
        <f t="shared" si="33"/>
        <v>0</v>
      </c>
      <c r="J65" s="134">
        <f t="shared" si="33"/>
        <v>56244.919679730992</v>
      </c>
      <c r="K65" s="134">
        <f t="shared" si="33"/>
        <v>0</v>
      </c>
      <c r="L65" s="134">
        <f t="shared" ref="L65:Q65" si="34">SUM(L57:L64)</f>
        <v>0</v>
      </c>
      <c r="M65" s="134">
        <f t="shared" si="34"/>
        <v>0</v>
      </c>
      <c r="N65" s="134">
        <f t="shared" si="34"/>
        <v>0</v>
      </c>
      <c r="O65" s="134">
        <f t="shared" si="34"/>
        <v>0</v>
      </c>
      <c r="P65" s="134">
        <f t="shared" si="34"/>
        <v>0</v>
      </c>
      <c r="Q65" s="135">
        <f t="shared" si="34"/>
        <v>0</v>
      </c>
      <c r="R65" s="42">
        <f t="shared" ref="R65:T65" si="35">SUM(R57:R64)</f>
        <v>0</v>
      </c>
      <c r="S65" s="134">
        <f t="shared" si="35"/>
        <v>0</v>
      </c>
      <c r="T65" s="135">
        <f t="shared" si="35"/>
        <v>18288974.637414075</v>
      </c>
      <c r="U65" s="244">
        <f t="shared" si="33"/>
        <v>-8146.0598647139677</v>
      </c>
      <c r="V65" s="42">
        <f t="shared" si="33"/>
        <v>0</v>
      </c>
      <c r="W65" s="134">
        <f t="shared" si="33"/>
        <v>-222584.42473664155</v>
      </c>
      <c r="X65" s="134">
        <f t="shared" si="33"/>
        <v>0</v>
      </c>
      <c r="Y65" s="134">
        <f t="shared" si="33"/>
        <v>-2089738.2646262255</v>
      </c>
      <c r="Z65" s="134">
        <f t="shared" si="33"/>
        <v>0</v>
      </c>
      <c r="AA65" s="134">
        <f t="shared" ref="AA65:AB65" si="36">SUM(AA57:AA64)</f>
        <v>953690</v>
      </c>
      <c r="AB65" s="135">
        <f t="shared" si="36"/>
        <v>-773349.3887389946</v>
      </c>
      <c r="AC65" s="42">
        <f t="shared" si="33"/>
        <v>-3291205.6015833332</v>
      </c>
      <c r="AD65" s="134">
        <f t="shared" si="33"/>
        <v>-26791408.568740711</v>
      </c>
      <c r="AE65" s="134">
        <f t="shared" si="33"/>
        <v>-261733.89601158394</v>
      </c>
      <c r="AF65" s="134">
        <f t="shared" si="33"/>
        <v>-293988.17735592474</v>
      </c>
      <c r="AG65" s="134">
        <f t="shared" ref="AG65" si="37">SUM(AG57:AG64)</f>
        <v>0</v>
      </c>
      <c r="AH65" s="134">
        <f t="shared" si="33"/>
        <v>0</v>
      </c>
      <c r="AI65" s="134">
        <f t="shared" si="33"/>
        <v>0</v>
      </c>
      <c r="AJ65" s="134">
        <f t="shared" si="33"/>
        <v>0</v>
      </c>
      <c r="AK65" s="134">
        <f t="shared" si="33"/>
        <v>0</v>
      </c>
      <c r="AL65" s="135">
        <f t="shared" si="33"/>
        <v>1180944.0837095301</v>
      </c>
    </row>
    <row r="66" spans="1:38">
      <c r="A66" s="18"/>
      <c r="B66" s="127"/>
      <c r="C66" s="39"/>
      <c r="D66" s="16"/>
      <c r="E66" s="16"/>
      <c r="F66" s="16"/>
      <c r="G66" s="125"/>
      <c r="H66" s="39"/>
      <c r="I66" s="16"/>
      <c r="J66" s="16"/>
      <c r="K66" s="16"/>
      <c r="L66" s="16"/>
      <c r="M66" s="16"/>
      <c r="N66" s="16"/>
      <c r="O66" s="16"/>
      <c r="P66" s="16"/>
      <c r="Q66" s="125"/>
      <c r="R66" s="39"/>
      <c r="S66" s="16"/>
      <c r="T66" s="125"/>
      <c r="U66" s="127"/>
      <c r="V66" s="39"/>
      <c r="W66" s="16"/>
      <c r="X66" s="16"/>
      <c r="Y66" s="16"/>
      <c r="Z66" s="16"/>
      <c r="AA66" s="16"/>
      <c r="AB66" s="125"/>
      <c r="AC66" s="39"/>
      <c r="AD66" s="16"/>
      <c r="AE66" s="16"/>
      <c r="AF66" s="16"/>
      <c r="AG66" s="16"/>
      <c r="AH66" s="16"/>
      <c r="AI66" s="16"/>
      <c r="AJ66" s="16"/>
      <c r="AK66" s="16"/>
      <c r="AL66" s="125"/>
    </row>
    <row r="67" spans="1:38" ht="13.5" thickBot="1">
      <c r="A67" s="18" t="s">
        <v>106</v>
      </c>
      <c r="B67" s="248">
        <f>SUM(C67:AL67)</f>
        <v>-3758155.1200532936</v>
      </c>
      <c r="C67" s="46">
        <f t="shared" ref="C67:AL67" si="38">C54+C65</f>
        <v>0</v>
      </c>
      <c r="D67" s="147">
        <f t="shared" si="38"/>
        <v>0</v>
      </c>
      <c r="E67" s="147">
        <f t="shared" si="38"/>
        <v>-1995224.0762694315</v>
      </c>
      <c r="F67" s="147">
        <f t="shared" si="38"/>
        <v>0</v>
      </c>
      <c r="G67" s="249">
        <f t="shared" si="38"/>
        <v>0</v>
      </c>
      <c r="H67" s="46">
        <f t="shared" si="38"/>
        <v>0</v>
      </c>
      <c r="I67" s="147">
        <f t="shared" si="38"/>
        <v>0</v>
      </c>
      <c r="J67" s="147">
        <f t="shared" si="38"/>
        <v>56244.919679730992</v>
      </c>
      <c r="K67" s="147">
        <f t="shared" si="38"/>
        <v>0</v>
      </c>
      <c r="L67" s="147">
        <f t="shared" ref="L67:Q67" si="39">L54+L65</f>
        <v>0</v>
      </c>
      <c r="M67" s="147">
        <f t="shared" si="39"/>
        <v>0</v>
      </c>
      <c r="N67" s="147">
        <f t="shared" si="39"/>
        <v>-79630.904999999548</v>
      </c>
      <c r="O67" s="147">
        <f t="shared" si="39"/>
        <v>0</v>
      </c>
      <c r="P67" s="147">
        <f t="shared" si="39"/>
        <v>0</v>
      </c>
      <c r="Q67" s="249">
        <f t="shared" si="39"/>
        <v>0</v>
      </c>
      <c r="R67" s="46">
        <f t="shared" ref="R67" si="40">R54+R65</f>
        <v>0</v>
      </c>
      <c r="S67" s="147">
        <f t="shared" ref="S67:T67" si="41">S54+S65</f>
        <v>0</v>
      </c>
      <c r="T67" s="249">
        <f t="shared" si="41"/>
        <v>-8629458.7270486429</v>
      </c>
      <c r="U67" s="248">
        <f t="shared" si="38"/>
        <v>-8146.0598647139677</v>
      </c>
      <c r="V67" s="46">
        <f t="shared" si="38"/>
        <v>0</v>
      </c>
      <c r="W67" s="147">
        <f t="shared" si="38"/>
        <v>-222584.42473664155</v>
      </c>
      <c r="X67" s="147">
        <f t="shared" si="38"/>
        <v>0</v>
      </c>
      <c r="Y67" s="147">
        <f t="shared" si="38"/>
        <v>-2089738.2646262255</v>
      </c>
      <c r="Z67" s="147">
        <f t="shared" si="38"/>
        <v>0</v>
      </c>
      <c r="AA67" s="147">
        <f t="shared" ref="AA67:AB67" si="42">AA54+AA65</f>
        <v>953690</v>
      </c>
      <c r="AB67" s="249">
        <f t="shared" si="42"/>
        <v>-773349.3887389946</v>
      </c>
      <c r="AC67" s="46">
        <f t="shared" si="38"/>
        <v>-3291205.6015833332</v>
      </c>
      <c r="AD67" s="147">
        <f t="shared" si="38"/>
        <v>32582682.633573584</v>
      </c>
      <c r="AE67" s="147">
        <f t="shared" si="38"/>
        <v>-97120.704204546346</v>
      </c>
      <c r="AF67" s="147">
        <f t="shared" si="38"/>
        <v>-293988.17735592474</v>
      </c>
      <c r="AG67" s="147">
        <f t="shared" ref="AG67" si="43">AG54+AG65</f>
        <v>-423015.57377275266</v>
      </c>
      <c r="AH67" s="147">
        <f t="shared" si="38"/>
        <v>-17300210.276439257</v>
      </c>
      <c r="AI67" s="147">
        <f t="shared" si="38"/>
        <v>-3225575.8254245874</v>
      </c>
      <c r="AJ67" s="147">
        <f t="shared" si="38"/>
        <v>0</v>
      </c>
      <c r="AK67" s="147">
        <f t="shared" si="38"/>
        <v>0</v>
      </c>
      <c r="AL67" s="249">
        <f t="shared" si="38"/>
        <v>1078475.3317584428</v>
      </c>
    </row>
    <row r="68" spans="1:38" ht="13.5" thickTop="1">
      <c r="A68" s="18"/>
      <c r="B68" s="127"/>
      <c r="C68" s="39"/>
      <c r="D68" s="16"/>
      <c r="E68" s="16"/>
      <c r="F68" s="16"/>
      <c r="G68" s="125"/>
      <c r="H68" s="39"/>
      <c r="I68" s="16"/>
      <c r="J68" s="16"/>
      <c r="K68" s="16"/>
      <c r="L68" s="16"/>
      <c r="M68" s="16"/>
      <c r="N68" s="16"/>
      <c r="O68" s="16"/>
      <c r="P68" s="16"/>
      <c r="Q68" s="125"/>
      <c r="R68" s="39"/>
      <c r="S68" s="16"/>
      <c r="T68" s="125"/>
      <c r="U68" s="127"/>
      <c r="V68" s="39"/>
      <c r="W68" s="16"/>
      <c r="X68" s="16"/>
      <c r="Y68" s="16"/>
      <c r="Z68" s="16"/>
      <c r="AA68" s="16"/>
      <c r="AB68" s="125"/>
      <c r="AC68" s="39"/>
      <c r="AD68" s="16"/>
      <c r="AE68" s="16"/>
      <c r="AF68" s="16"/>
      <c r="AG68" s="16"/>
      <c r="AH68" s="16"/>
      <c r="AI68" s="16"/>
      <c r="AJ68" s="16"/>
      <c r="AK68" s="16"/>
      <c r="AL68" s="125"/>
    </row>
    <row r="69" spans="1:38">
      <c r="A69" s="18"/>
      <c r="B69" s="127"/>
      <c r="C69" s="39"/>
      <c r="D69" s="16"/>
      <c r="E69" s="16"/>
      <c r="F69" s="16"/>
      <c r="G69" s="125"/>
      <c r="H69" s="39"/>
      <c r="I69" s="16"/>
      <c r="J69" s="16"/>
      <c r="K69" s="16"/>
      <c r="L69" s="16"/>
      <c r="M69" s="16"/>
      <c r="N69" s="16"/>
      <c r="O69" s="16"/>
      <c r="P69" s="16"/>
      <c r="Q69" s="125"/>
      <c r="R69" s="39"/>
      <c r="S69" s="16"/>
      <c r="T69" s="125"/>
      <c r="U69" s="127"/>
      <c r="V69" s="39"/>
      <c r="W69" s="16"/>
      <c r="X69" s="16"/>
      <c r="Y69" s="16"/>
      <c r="Z69" s="16"/>
      <c r="AA69" s="16"/>
      <c r="AB69" s="125"/>
      <c r="AC69" s="39"/>
      <c r="AD69" s="16"/>
      <c r="AE69" s="16"/>
      <c r="AF69" s="16"/>
      <c r="AG69" s="16"/>
      <c r="AH69" s="16"/>
      <c r="AI69" s="16"/>
      <c r="AJ69" s="16"/>
      <c r="AK69" s="16"/>
      <c r="AL69" s="125"/>
    </row>
    <row r="70" spans="1:38">
      <c r="A70" s="18" t="s">
        <v>186</v>
      </c>
      <c r="B70" s="33">
        <f t="shared" ref="B70:AK70" si="44">(((B40+Unadj_Op_revenue)/(B67+Unadj_rate_base))-Weighted_cost_debt-Weighted_cost_pref)/Percent_common-Unadj_ROE</f>
        <v>2.5866455225270341E-2</v>
      </c>
      <c r="C70" s="31">
        <f t="shared" si="44"/>
        <v>5.5529882361064001E-3</v>
      </c>
      <c r="D70" s="30">
        <f t="shared" si="44"/>
        <v>2.4637661498840252E-2</v>
      </c>
      <c r="E70" s="30">
        <f t="shared" ref="E70" si="45">(((E40+Unadj_Op_revenue)/(E67+Unadj_rate_base))-Weighted_cost_debt-Weighted_cost_pref)/Percent_common-Unadj_ROE</f>
        <v>1.4271321521119387E-3</v>
      </c>
      <c r="F70" s="30">
        <f t="shared" si="44"/>
        <v>-6.6624110558551053E-4</v>
      </c>
      <c r="G70" s="32">
        <f t="shared" si="44"/>
        <v>1.3481742591818502E-4</v>
      </c>
      <c r="H70" s="31">
        <f t="shared" si="44"/>
        <v>2.3128896510361818E-4</v>
      </c>
      <c r="I70" s="30">
        <f t="shared" si="44"/>
        <v>1.9061784097014478E-4</v>
      </c>
      <c r="J70" s="30">
        <f t="shared" si="44"/>
        <v>-1.7243238945983258E-4</v>
      </c>
      <c r="K70" s="30">
        <f t="shared" si="44"/>
        <v>0</v>
      </c>
      <c r="L70" s="30">
        <f t="shared" si="44"/>
        <v>1.9198500176358657E-3</v>
      </c>
      <c r="M70" s="30">
        <f t="shared" ref="M70:Q70" si="46">(((M40+Unadj_Op_revenue)/(M67+Unadj_rate_base))-Weighted_cost_debt-Weighted_cost_pref)/Percent_common-Unadj_ROE</f>
        <v>-6.4118706364843514E-6</v>
      </c>
      <c r="N70" s="30">
        <f t="shared" si="46"/>
        <v>2.5970169753312261E-4</v>
      </c>
      <c r="O70" s="30">
        <f t="shared" si="46"/>
        <v>2.5188593731600983E-5</v>
      </c>
      <c r="P70" s="30">
        <f t="shared" si="46"/>
        <v>-7.6100119194746907E-5</v>
      </c>
      <c r="Q70" s="32">
        <f t="shared" si="46"/>
        <v>-2.3812493132602253E-6</v>
      </c>
      <c r="R70" s="31">
        <f t="shared" si="44"/>
        <v>2.8482389519990381E-3</v>
      </c>
      <c r="S70" s="30">
        <f t="shared" si="44"/>
        <v>-1.5333872718301902E-2</v>
      </c>
      <c r="T70" s="32">
        <f t="shared" si="44"/>
        <v>2.0496133009041961E-3</v>
      </c>
      <c r="U70" s="33">
        <f t="shared" si="44"/>
        <v>1.1379193097932339E-6</v>
      </c>
      <c r="V70" s="31">
        <f t="shared" si="44"/>
        <v>-9.3421557863482968E-4</v>
      </c>
      <c r="W70" s="30">
        <f t="shared" si="44"/>
        <v>8.2926199253838956E-4</v>
      </c>
      <c r="X70" s="30">
        <f t="shared" si="44"/>
        <v>2.2511589876451216E-4</v>
      </c>
      <c r="Y70" s="30">
        <f t="shared" si="44"/>
        <v>2.9271894722239511E-4</v>
      </c>
      <c r="Z70" s="30">
        <f t="shared" si="44"/>
        <v>-1.0656188904534514E-3</v>
      </c>
      <c r="AA70" s="30">
        <f t="shared" si="44"/>
        <v>4.9080560715934543E-3</v>
      </c>
      <c r="AB70" s="32">
        <f t="shared" ref="AB70" si="47">(((AB40+Unadj_Op_revenue)/(AB67+Unadj_rate_base))-Weighted_cost_debt-Weighted_cost_pref)/Percent_common-Unadj_ROE</f>
        <v>5.1853447301353217E-5</v>
      </c>
      <c r="AC70" s="31">
        <f t="shared" si="44"/>
        <v>4.4406586049357266E-4</v>
      </c>
      <c r="AD70" s="30">
        <f t="shared" si="44"/>
        <v>-4.3637150845090775E-3</v>
      </c>
      <c r="AE70" s="30">
        <f t="shared" si="44"/>
        <v>-5.7823561270786694E-4</v>
      </c>
      <c r="AF70" s="30">
        <f t="shared" si="44"/>
        <v>4.1082574044976061E-5</v>
      </c>
      <c r="AG70" s="30">
        <f t="shared" si="44"/>
        <v>1.0752004519981595E-4</v>
      </c>
      <c r="AH70" s="30">
        <f t="shared" si="44"/>
        <v>2.473113890608454E-3</v>
      </c>
      <c r="AI70" s="30">
        <f t="shared" si="44"/>
        <v>4.5250114644963813E-4</v>
      </c>
      <c r="AJ70" s="30">
        <f t="shared" si="44"/>
        <v>-1.9300203160451529E-4</v>
      </c>
      <c r="AK70" s="30">
        <f t="shared" si="44"/>
        <v>0</v>
      </c>
      <c r="AL70" s="32">
        <f t="shared" ref="AL70" si="48">(((AL40+Unadj_Op_revenue)/(AL67+Unadj_rate_base))-Weighted_cost_debt-Weighted_cost_pref)/Percent_common-Unadj_ROE</f>
        <v>2.9651313264470597E-4</v>
      </c>
    </row>
    <row r="71" spans="1:38">
      <c r="A71" s="18" t="s">
        <v>53</v>
      </c>
      <c r="B71" s="250">
        <f>SUM(C71:AL71)</f>
        <v>-15588745.025391219</v>
      </c>
      <c r="C71" s="47">
        <f t="shared" ref="C71:AK71" si="49">-(C40-(C67*Overall_ROR))/gross_up_factor</f>
        <v>-3330000.45063928</v>
      </c>
      <c r="D71" s="148">
        <f t="shared" si="49"/>
        <v>-14774643.922415871</v>
      </c>
      <c r="E71" s="148">
        <f t="shared" ref="E71" si="50">-(E40-(E67*Overall_ROR))/gross_up_factor</f>
        <v>-935417.90116079303</v>
      </c>
      <c r="F71" s="148">
        <f t="shared" si="49"/>
        <v>399529.60235150263</v>
      </c>
      <c r="G71" s="251">
        <f t="shared" si="49"/>
        <v>-80846.936815468696</v>
      </c>
      <c r="H71" s="47">
        <f t="shared" si="49"/>
        <v>-138698.71954977981</v>
      </c>
      <c r="I71" s="148">
        <f t="shared" si="49"/>
        <v>-114309.17360911609</v>
      </c>
      <c r="J71" s="148">
        <f t="shared" si="49"/>
        <v>105718.88086153039</v>
      </c>
      <c r="K71" s="148">
        <f t="shared" si="49"/>
        <v>0</v>
      </c>
      <c r="L71" s="148">
        <f t="shared" si="49"/>
        <v>-1151290.2876902022</v>
      </c>
      <c r="M71" s="148">
        <f t="shared" ref="M71:Q71" si="51">-(M40-(M67*Overall_ROR))/gross_up_factor</f>
        <v>3845.0526457230208</v>
      </c>
      <c r="N71" s="148">
        <f t="shared" si="51"/>
        <v>-158987.6490515141</v>
      </c>
      <c r="O71" s="148">
        <f t="shared" si="51"/>
        <v>-15105.025422494502</v>
      </c>
      <c r="P71" s="148">
        <f t="shared" si="51"/>
        <v>45635.506584453542</v>
      </c>
      <c r="Q71" s="251">
        <f t="shared" si="51"/>
        <v>1427.9809265025481</v>
      </c>
      <c r="R71" s="47">
        <f t="shared" si="49"/>
        <v>-1708023.966630179</v>
      </c>
      <c r="S71" s="148">
        <f t="shared" si="49"/>
        <v>9195373.8943617698</v>
      </c>
      <c r="T71" s="251">
        <f t="shared" si="49"/>
        <v>-1569125.4055676637</v>
      </c>
      <c r="U71" s="127">
        <f t="shared" si="49"/>
        <v>-1016.5664890909197</v>
      </c>
      <c r="V71" s="47">
        <f t="shared" si="49"/>
        <v>560227.78467644064</v>
      </c>
      <c r="W71" s="148">
        <f t="shared" si="49"/>
        <v>-506274.84632854431</v>
      </c>
      <c r="X71" s="148">
        <f t="shared" si="49"/>
        <v>-134996.87239702835</v>
      </c>
      <c r="Y71" s="148">
        <f t="shared" si="49"/>
        <v>-260783.48625843614</v>
      </c>
      <c r="Z71" s="148">
        <f t="shared" si="49"/>
        <v>639027.35509986349</v>
      </c>
      <c r="AA71" s="148">
        <f t="shared" si="49"/>
        <v>-2907829.9888750953</v>
      </c>
      <c r="AB71" s="251">
        <f t="shared" ref="AB71" si="52">-(AB40-(AB67*Overall_ROR))/gross_up_factor</f>
        <v>-62790.001593599445</v>
      </c>
      <c r="AC71" s="47">
        <f t="shared" si="49"/>
        <v>-400159.85963975976</v>
      </c>
      <c r="AD71" s="148">
        <f t="shared" si="49"/>
        <v>4066071.6763758534</v>
      </c>
      <c r="AE71" s="148">
        <f t="shared" si="49"/>
        <v>342725.91052380059</v>
      </c>
      <c r="AF71" s="148">
        <f t="shared" si="49"/>
        <v>-36687.494844410263</v>
      </c>
      <c r="AG71" s="148">
        <f t="shared" si="49"/>
        <v>-81795.395593875903</v>
      </c>
      <c r="AH71" s="148">
        <f t="shared" si="49"/>
        <v>-2158935.0328046023</v>
      </c>
      <c r="AI71" s="148">
        <f t="shared" si="49"/>
        <v>-402527.39933228493</v>
      </c>
      <c r="AJ71" s="148">
        <f t="shared" si="49"/>
        <v>115738.91837883776</v>
      </c>
      <c r="AK71" s="148">
        <f t="shared" si="49"/>
        <v>0</v>
      </c>
      <c r="AL71" s="251">
        <f t="shared" ref="AL71" si="53">-(AL40-(AL67*Overall_ROR))/gross_up_factor</f>
        <v>-133821.20546840716</v>
      </c>
    </row>
    <row r="72" spans="1:38">
      <c r="A72" s="18"/>
      <c r="B72" s="24"/>
      <c r="C72" s="22"/>
      <c r="D72" s="21"/>
      <c r="E72" s="21"/>
      <c r="F72" s="21"/>
      <c r="G72" s="23"/>
      <c r="H72" s="22"/>
      <c r="I72" s="21"/>
      <c r="J72" s="21"/>
      <c r="K72" s="21"/>
      <c r="L72" s="21"/>
      <c r="M72" s="21"/>
      <c r="N72" s="21"/>
      <c r="O72" s="21"/>
      <c r="P72" s="21"/>
      <c r="Q72" s="23"/>
      <c r="R72" s="22"/>
      <c r="S72" s="21"/>
      <c r="T72" s="23"/>
      <c r="U72" s="24"/>
      <c r="V72" s="22"/>
      <c r="W72" s="21"/>
      <c r="X72" s="21"/>
      <c r="Y72" s="21"/>
      <c r="Z72" s="21"/>
      <c r="AA72" s="21"/>
      <c r="AB72" s="23"/>
      <c r="AC72" s="22"/>
      <c r="AD72" s="21"/>
      <c r="AE72" s="21"/>
      <c r="AF72" s="21"/>
      <c r="AG72" s="21"/>
      <c r="AH72" s="21"/>
      <c r="AI72" s="21"/>
      <c r="AJ72" s="21"/>
      <c r="AK72" s="21"/>
      <c r="AL72" s="23"/>
    </row>
    <row r="73" spans="1:38">
      <c r="A73" s="18" t="s">
        <v>108</v>
      </c>
      <c r="B73" s="127"/>
      <c r="C73" s="39"/>
      <c r="D73" s="16"/>
      <c r="E73" s="16"/>
      <c r="F73" s="16"/>
      <c r="G73" s="125"/>
      <c r="H73" s="39"/>
      <c r="I73" s="16"/>
      <c r="J73" s="16"/>
      <c r="K73" s="16"/>
      <c r="L73" s="16"/>
      <c r="M73" s="16"/>
      <c r="N73" s="16"/>
      <c r="O73" s="16"/>
      <c r="P73" s="16"/>
      <c r="Q73" s="125"/>
      <c r="R73" s="39"/>
      <c r="S73" s="16"/>
      <c r="T73" s="125"/>
      <c r="U73" s="127"/>
      <c r="V73" s="39"/>
      <c r="W73" s="16"/>
      <c r="X73" s="16"/>
      <c r="Y73" s="16"/>
      <c r="Z73" s="16"/>
      <c r="AA73" s="16"/>
      <c r="AB73" s="125"/>
      <c r="AC73" s="39"/>
      <c r="AD73" s="16"/>
      <c r="AE73" s="16"/>
      <c r="AF73" s="16"/>
      <c r="AG73" s="16"/>
      <c r="AH73" s="16"/>
      <c r="AI73" s="16"/>
      <c r="AJ73" s="16"/>
      <c r="AK73" s="16"/>
      <c r="AL73" s="125"/>
    </row>
    <row r="74" spans="1:38">
      <c r="A74" s="18" t="s">
        <v>109</v>
      </c>
      <c r="B74" s="250">
        <f t="shared" ref="B74:B80" si="54">SUM(C74:AL74)</f>
        <v>10125496.330785835</v>
      </c>
      <c r="C74" s="47">
        <f t="shared" ref="C74:AL74" si="55">C16-C29-C30-C31-C32-C37</f>
        <v>3177486.4300000006</v>
      </c>
      <c r="D74" s="148">
        <f t="shared" si="55"/>
        <v>13055703.999999991</v>
      </c>
      <c r="E74" s="148">
        <f t="shared" si="55"/>
        <v>695990.1299664448</v>
      </c>
      <c r="F74" s="148">
        <f t="shared" si="55"/>
        <v>-381231.14656380378</v>
      </c>
      <c r="G74" s="251">
        <f t="shared" si="55"/>
        <v>77144.147109320213</v>
      </c>
      <c r="H74" s="47">
        <f>H16-H29-H30-H31-H32-H37</f>
        <v>132346.31819439988</v>
      </c>
      <c r="I74" s="148">
        <f t="shared" si="55"/>
        <v>109073.81345781857</v>
      </c>
      <c r="J74" s="148">
        <f t="shared" si="55"/>
        <v>-94179.484143901253</v>
      </c>
      <c r="K74" s="148">
        <f t="shared" si="55"/>
        <v>0</v>
      </c>
      <c r="L74" s="148">
        <f t="shared" si="55"/>
        <v>0</v>
      </c>
      <c r="M74" s="148">
        <f t="shared" ref="M74:Q74" si="56">M16-M29-M30-M31-M32-M37</f>
        <v>-3668.9492345489057</v>
      </c>
      <c r="N74" s="148">
        <f t="shared" si="56"/>
        <v>-29289.111501199019</v>
      </c>
      <c r="O74" s="148">
        <f t="shared" si="56"/>
        <v>14413.215258144253</v>
      </c>
      <c r="P74" s="148">
        <f t="shared" si="56"/>
        <v>-43545.400382885564</v>
      </c>
      <c r="Q74" s="251">
        <f t="shared" si="56"/>
        <v>-1362.579400068731</v>
      </c>
      <c r="R74" s="47">
        <f t="shared" si="55"/>
        <v>1629796.4689585164</v>
      </c>
      <c r="S74" s="148">
        <f t="shared" si="55"/>
        <v>-8774225.7699999996</v>
      </c>
      <c r="T74" s="251">
        <f t="shared" si="55"/>
        <v>455171.77855457249</v>
      </c>
      <c r="U74" s="127">
        <f t="shared" si="55"/>
        <v>0</v>
      </c>
      <c r="V74" s="47">
        <f t="shared" si="55"/>
        <v>0</v>
      </c>
      <c r="W74" s="148">
        <f t="shared" si="55"/>
        <v>0</v>
      </c>
      <c r="X74" s="148">
        <f t="shared" si="55"/>
        <v>0</v>
      </c>
      <c r="Y74" s="148">
        <f t="shared" si="55"/>
        <v>0</v>
      </c>
      <c r="Z74" s="148">
        <f t="shared" si="55"/>
        <v>0</v>
      </c>
      <c r="AA74" s="148">
        <f t="shared" si="55"/>
        <v>0</v>
      </c>
      <c r="AB74" s="251">
        <f t="shared" si="55"/>
        <v>0</v>
      </c>
      <c r="AC74" s="47">
        <f t="shared" si="55"/>
        <v>-10074.098181818181</v>
      </c>
      <c r="AD74" s="148">
        <f t="shared" si="55"/>
        <v>0</v>
      </c>
      <c r="AE74" s="148">
        <f t="shared" si="55"/>
        <v>-76772.861659234259</v>
      </c>
      <c r="AF74" s="148">
        <f t="shared" si="55"/>
        <v>0</v>
      </c>
      <c r="AG74" s="148">
        <f t="shared" si="55"/>
        <v>17990.552799178593</v>
      </c>
      <c r="AH74" s="148">
        <f t="shared" si="55"/>
        <v>0</v>
      </c>
      <c r="AI74" s="148">
        <f t="shared" si="55"/>
        <v>0</v>
      </c>
      <c r="AJ74" s="148">
        <f t="shared" si="55"/>
        <v>0</v>
      </c>
      <c r="AK74" s="148">
        <f t="shared" si="55"/>
        <v>0</v>
      </c>
      <c r="AL74" s="251">
        <f t="shared" si="55"/>
        <v>174728.87755490927</v>
      </c>
    </row>
    <row r="75" spans="1:38">
      <c r="A75" s="18" t="s">
        <v>110</v>
      </c>
      <c r="B75" s="142">
        <f>SUM(C75:AL75)</f>
        <v>0</v>
      </c>
      <c r="C75" s="39"/>
      <c r="D75" s="16"/>
      <c r="E75" s="16"/>
      <c r="F75" s="16"/>
      <c r="G75" s="125"/>
      <c r="H75" s="39"/>
      <c r="I75" s="16"/>
      <c r="J75" s="16"/>
      <c r="K75" s="16"/>
      <c r="L75" s="16"/>
      <c r="M75" s="16"/>
      <c r="N75" s="16"/>
      <c r="O75" s="16"/>
      <c r="P75" s="16"/>
      <c r="Q75" s="125"/>
      <c r="R75" s="39"/>
      <c r="S75" s="16"/>
      <c r="T75" s="125"/>
      <c r="U75" s="127"/>
      <c r="V75" s="39"/>
      <c r="W75" s="16"/>
      <c r="X75" s="16"/>
      <c r="Y75" s="16"/>
      <c r="Z75" s="16"/>
      <c r="AA75" s="16"/>
      <c r="AB75" s="125"/>
      <c r="AC75" s="39"/>
      <c r="AD75" s="16"/>
      <c r="AE75" s="16"/>
      <c r="AF75" s="16"/>
      <c r="AG75" s="16"/>
      <c r="AH75" s="16"/>
      <c r="AI75" s="16"/>
      <c r="AJ75" s="16"/>
      <c r="AK75" s="16"/>
      <c r="AL75" s="125"/>
    </row>
    <row r="76" spans="1:38">
      <c r="A76" s="18" t="s">
        <v>111</v>
      </c>
      <c r="B76" s="142">
        <f>SUM(C76:AL76)</f>
        <v>239226.0290480254</v>
      </c>
      <c r="C76" s="40"/>
      <c r="D76" s="129"/>
      <c r="E76" s="129"/>
      <c r="F76" s="129"/>
      <c r="G76" s="130"/>
      <c r="H76" s="40"/>
      <c r="I76" s="129"/>
      <c r="J76" s="129"/>
      <c r="K76" s="129"/>
      <c r="L76" s="129"/>
      <c r="M76" s="129"/>
      <c r="N76" s="129"/>
      <c r="O76" s="129"/>
      <c r="P76" s="129"/>
      <c r="Q76" s="130"/>
      <c r="R76" s="40"/>
      <c r="S76" s="129"/>
      <c r="T76" s="130"/>
      <c r="U76" s="142"/>
      <c r="V76" s="40"/>
      <c r="W76" s="129"/>
      <c r="X76" s="129">
        <f>'[39]Lead Sheet'!$I$9</f>
        <v>239226.0290480254</v>
      </c>
      <c r="Y76" s="129"/>
      <c r="Z76" s="129"/>
      <c r="AA76" s="129"/>
      <c r="AB76" s="130"/>
      <c r="AC76" s="40"/>
      <c r="AD76" s="129"/>
      <c r="AE76" s="129"/>
      <c r="AF76" s="129"/>
      <c r="AG76" s="129"/>
      <c r="AH76" s="16"/>
      <c r="AI76" s="129"/>
      <c r="AJ76" s="129"/>
      <c r="AK76" s="129"/>
      <c r="AL76" s="130"/>
    </row>
    <row r="77" spans="1:38">
      <c r="A77" s="18" t="s">
        <v>112</v>
      </c>
      <c r="B77" s="142">
        <f>SUM(C77:AL77)</f>
        <v>-992771.65397105366</v>
      </c>
      <c r="C77" s="40"/>
      <c r="D77" s="129"/>
      <c r="E77" s="129"/>
      <c r="F77" s="129"/>
      <c r="G77" s="130"/>
      <c r="H77" s="40"/>
      <c r="I77" s="129"/>
      <c r="J77" s="129"/>
      <c r="K77" s="129"/>
      <c r="L77" s="129"/>
      <c r="M77" s="129"/>
      <c r="N77" s="129"/>
      <c r="O77" s="129"/>
      <c r="P77" s="129"/>
      <c r="Q77" s="130"/>
      <c r="R77" s="40"/>
      <c r="S77" s="129"/>
      <c r="T77" s="130"/>
      <c r="U77" s="142"/>
      <c r="V77" s="40">
        <f>'Interest Calc'!C16</f>
        <v>-992771.65397105366</v>
      </c>
      <c r="W77" s="129"/>
      <c r="X77" s="129"/>
      <c r="Y77" s="129"/>
      <c r="Z77" s="129"/>
      <c r="AA77" s="129"/>
      <c r="AB77" s="130"/>
      <c r="AC77" s="40"/>
      <c r="AD77" s="129"/>
      <c r="AE77" s="129"/>
      <c r="AF77" s="129"/>
      <c r="AG77" s="129"/>
      <c r="AH77" s="16"/>
      <c r="AI77" s="129"/>
      <c r="AJ77" s="129"/>
      <c r="AK77" s="129"/>
      <c r="AL77" s="130"/>
    </row>
    <row r="78" spans="1:38">
      <c r="A78" s="18" t="s">
        <v>113</v>
      </c>
      <c r="B78" s="142">
        <f>SUM(C78:AL78)</f>
        <v>-4945929.2323369179</v>
      </c>
      <c r="C78" s="40"/>
      <c r="D78" s="129">
        <v>-1935628</v>
      </c>
      <c r="E78" s="129">
        <v>9486.9878802918884</v>
      </c>
      <c r="F78" s="129"/>
      <c r="G78" s="130"/>
      <c r="H78" s="40"/>
      <c r="I78" s="129"/>
      <c r="J78" s="129"/>
      <c r="K78" s="129"/>
      <c r="L78" s="129">
        <f>'[15]Lead Sheet'!$I$29</f>
        <v>-2040185.0718116981</v>
      </c>
      <c r="M78" s="129"/>
      <c r="N78" s="129">
        <f>'[23]4.9'!$I$22</f>
        <v>-318524</v>
      </c>
      <c r="O78" s="129"/>
      <c r="P78" s="129"/>
      <c r="Q78" s="130"/>
      <c r="R78" s="40"/>
      <c r="S78" s="129"/>
      <c r="T78" s="130">
        <f>'[27]Lead Sheet'!$I$26</f>
        <v>-52188</v>
      </c>
      <c r="U78" s="142"/>
      <c r="V78" s="40"/>
      <c r="W78" s="129"/>
      <c r="X78" s="129"/>
      <c r="Y78" s="129"/>
      <c r="Z78" s="129"/>
      <c r="AA78" s="129"/>
      <c r="AB78" s="130"/>
      <c r="AC78" s="40"/>
      <c r="AD78" s="129"/>
      <c r="AE78" s="129">
        <f>'[26]Lead Sheet'!$I$25+'[26]Lead Sheet'!$I$29</f>
        <v>-33515.653435835949</v>
      </c>
      <c r="AF78" s="129"/>
      <c r="AG78" s="129"/>
      <c r="AH78" s="16"/>
      <c r="AI78" s="129"/>
      <c r="AJ78" s="129">
        <f>'[36]Pg 2 of Lead Sheet AMA'!$I$10+'[36]Pg 2 of Lead Sheet AMA'!$I$12+'[36]Pg 2 of Lead Sheet AMA'!$I$16</f>
        <v>-148467.21915515378</v>
      </c>
      <c r="AK78" s="129"/>
      <c r="AL78" s="130">
        <f>'[29]Lead Sheet'!$I$25</f>
        <v>-426908.27581452177</v>
      </c>
    </row>
    <row r="79" spans="1:38">
      <c r="A79" s="18" t="s">
        <v>114</v>
      </c>
      <c r="B79" s="142">
        <f>SUM(C79:AL79)</f>
        <v>116992.72253218386</v>
      </c>
      <c r="C79" s="150"/>
      <c r="D79" s="141"/>
      <c r="E79" s="16">
        <v>912561.86790620477</v>
      </c>
      <c r="F79" s="141"/>
      <c r="G79" s="149"/>
      <c r="H79" s="150"/>
      <c r="I79" s="138"/>
      <c r="J79" s="138"/>
      <c r="K79" s="138"/>
      <c r="L79" s="138"/>
      <c r="M79" s="138"/>
      <c r="N79" s="138"/>
      <c r="O79" s="138"/>
      <c r="P79" s="138"/>
      <c r="Q79" s="151"/>
      <c r="R79" s="150"/>
      <c r="S79" s="138"/>
      <c r="T79" s="151">
        <f>'[27]Lead Sheet'!$I$12</f>
        <v>299183.70853287209</v>
      </c>
      <c r="U79" s="152"/>
      <c r="V79" s="48"/>
      <c r="W79" s="141"/>
      <c r="X79" s="141"/>
      <c r="Y79" s="141"/>
      <c r="Z79" s="141"/>
      <c r="AA79" s="141"/>
      <c r="AB79" s="149"/>
      <c r="AC79" s="48"/>
      <c r="AD79" s="141"/>
      <c r="AE79" s="141">
        <f>'[26]Lead Sheet'!$I$23</f>
        <v>-483411.90370489907</v>
      </c>
      <c r="AF79" s="141"/>
      <c r="AG79" s="141">
        <f>'[28]Lead Sheet'!$I$13</f>
        <v>17990.552799178593</v>
      </c>
      <c r="AH79" s="141"/>
      <c r="AI79" s="141"/>
      <c r="AJ79" s="141">
        <f>'[36]Pg 2 of Lead Sheet AMA'!$I$14</f>
        <v>-353566.50300117244</v>
      </c>
      <c r="AK79" s="141"/>
      <c r="AL79" s="149">
        <f>'[29]Lead Sheet'!$I$26</f>
        <v>-275765</v>
      </c>
    </row>
    <row r="80" spans="1:38">
      <c r="A80" s="18" t="s">
        <v>115</v>
      </c>
      <c r="B80" s="260">
        <f t="shared" si="54"/>
        <v>5816120.0008397633</v>
      </c>
      <c r="C80" s="261">
        <f t="shared" ref="C80:AL80" si="57">C74-C76-C77+C78-C79</f>
        <v>3177486.4300000006</v>
      </c>
      <c r="D80" s="17">
        <f t="shared" si="57"/>
        <v>11120075.999999991</v>
      </c>
      <c r="E80" s="166">
        <f t="shared" si="57"/>
        <v>-207084.75005946809</v>
      </c>
      <c r="F80" s="17">
        <f t="shared" si="57"/>
        <v>-381231.14656380378</v>
      </c>
      <c r="G80" s="262">
        <f t="shared" si="57"/>
        <v>77144.147109320213</v>
      </c>
      <c r="H80" s="261">
        <f t="shared" si="57"/>
        <v>132346.31819439988</v>
      </c>
      <c r="I80" s="17">
        <f t="shared" si="57"/>
        <v>109073.81345781857</v>
      </c>
      <c r="J80" s="17">
        <f t="shared" si="57"/>
        <v>-94179.484143901253</v>
      </c>
      <c r="K80" s="17">
        <f t="shared" si="57"/>
        <v>0</v>
      </c>
      <c r="L80" s="17">
        <f t="shared" ref="L80:Q80" si="58">L74-L76-L77+L78-L79</f>
        <v>-2040185.0718116981</v>
      </c>
      <c r="M80" s="17">
        <f t="shared" si="58"/>
        <v>-3668.9492345489057</v>
      </c>
      <c r="N80" s="17">
        <f t="shared" si="58"/>
        <v>-347813.11150119902</v>
      </c>
      <c r="O80" s="17">
        <f t="shared" si="58"/>
        <v>14413.215258144253</v>
      </c>
      <c r="P80" s="17">
        <f t="shared" si="58"/>
        <v>-43545.400382885564</v>
      </c>
      <c r="Q80" s="262">
        <f t="shared" si="58"/>
        <v>-1362.579400068731</v>
      </c>
      <c r="R80" s="261">
        <f t="shared" ref="R80:T80" si="59">R74-R76-R77+R78-R79</f>
        <v>1629796.4689585164</v>
      </c>
      <c r="S80" s="17">
        <f t="shared" si="59"/>
        <v>-8774225.7699999996</v>
      </c>
      <c r="T80" s="262">
        <f t="shared" si="59"/>
        <v>103800.07002170041</v>
      </c>
      <c r="U80" s="260">
        <f t="shared" si="57"/>
        <v>0</v>
      </c>
      <c r="V80" s="261">
        <f t="shared" si="57"/>
        <v>992771.65397105366</v>
      </c>
      <c r="W80" s="17">
        <f t="shared" si="57"/>
        <v>0</v>
      </c>
      <c r="X80" s="17">
        <f t="shared" si="57"/>
        <v>-239226.0290480254</v>
      </c>
      <c r="Y80" s="17">
        <f t="shared" si="57"/>
        <v>0</v>
      </c>
      <c r="Z80" s="17">
        <f t="shared" si="57"/>
        <v>0</v>
      </c>
      <c r="AA80" s="17">
        <f t="shared" ref="AA80:AB80" si="60">AA74-AA76-AA77+AA78-AA79</f>
        <v>0</v>
      </c>
      <c r="AB80" s="262">
        <f t="shared" si="60"/>
        <v>0</v>
      </c>
      <c r="AC80" s="261">
        <f t="shared" si="57"/>
        <v>-10074.098181818181</v>
      </c>
      <c r="AD80" s="17">
        <f t="shared" si="57"/>
        <v>0</v>
      </c>
      <c r="AE80" s="17">
        <f t="shared" si="57"/>
        <v>373123.38860982889</v>
      </c>
      <c r="AF80" s="17">
        <f t="shared" si="57"/>
        <v>0</v>
      </c>
      <c r="AG80" s="17">
        <f t="shared" ref="AG80" si="61">AG74-AG76-AG77+AG78-AG79</f>
        <v>0</v>
      </c>
      <c r="AH80" s="17">
        <f t="shared" si="57"/>
        <v>0</v>
      </c>
      <c r="AI80" s="17">
        <f t="shared" si="57"/>
        <v>0</v>
      </c>
      <c r="AJ80" s="17">
        <f t="shared" si="57"/>
        <v>205099.28384601866</v>
      </c>
      <c r="AK80" s="17">
        <f t="shared" si="57"/>
        <v>0</v>
      </c>
      <c r="AL80" s="262">
        <f t="shared" si="57"/>
        <v>23585.601740387501</v>
      </c>
    </row>
    <row r="81" spans="1:38">
      <c r="A81" s="18"/>
      <c r="B81" s="127"/>
      <c r="C81" s="39"/>
      <c r="D81" s="16"/>
      <c r="E81" s="16"/>
      <c r="F81" s="16"/>
      <c r="G81" s="125"/>
      <c r="H81" s="39"/>
      <c r="I81" s="16"/>
      <c r="J81" s="16"/>
      <c r="K81" s="16"/>
      <c r="L81" s="16"/>
      <c r="M81" s="16"/>
      <c r="N81" s="16"/>
      <c r="O81" s="16"/>
      <c r="P81" s="16"/>
      <c r="Q81" s="125"/>
      <c r="R81" s="39"/>
      <c r="S81" s="16"/>
      <c r="T81" s="125"/>
      <c r="U81" s="127"/>
      <c r="V81" s="39"/>
      <c r="W81" s="16"/>
      <c r="X81" s="16"/>
      <c r="Y81" s="16"/>
      <c r="Z81" s="16"/>
      <c r="AA81" s="16"/>
      <c r="AB81" s="125"/>
      <c r="AC81" s="39"/>
      <c r="AD81" s="16"/>
      <c r="AE81" s="16"/>
      <c r="AF81" s="16"/>
      <c r="AG81" s="16"/>
      <c r="AH81" s="16"/>
      <c r="AI81" s="16"/>
      <c r="AJ81" s="16"/>
      <c r="AK81" s="16"/>
      <c r="AL81" s="125"/>
    </row>
    <row r="82" spans="1:38">
      <c r="A82" s="18" t="s">
        <v>116</v>
      </c>
      <c r="B82" s="254"/>
      <c r="C82" s="39"/>
      <c r="D82" s="16"/>
      <c r="E82" s="16"/>
      <c r="F82" s="16"/>
      <c r="G82" s="125"/>
      <c r="H82" s="39"/>
      <c r="I82" s="16"/>
      <c r="J82" s="16"/>
      <c r="K82" s="16"/>
      <c r="L82" s="16"/>
      <c r="M82" s="16"/>
      <c r="N82" s="16"/>
      <c r="O82" s="16"/>
      <c r="P82" s="16"/>
      <c r="Q82" s="125"/>
      <c r="R82" s="39"/>
      <c r="S82" s="16"/>
      <c r="T82" s="125"/>
      <c r="U82" s="127"/>
      <c r="V82" s="49"/>
      <c r="W82" s="2"/>
      <c r="X82" s="2"/>
      <c r="Y82" s="2"/>
      <c r="Z82" s="2"/>
      <c r="AA82" s="2"/>
      <c r="AB82" s="136"/>
      <c r="AC82" s="49"/>
      <c r="AD82" s="2"/>
      <c r="AE82" s="2"/>
      <c r="AF82" s="2"/>
      <c r="AG82" s="2"/>
      <c r="AH82" s="2"/>
      <c r="AI82" s="2"/>
      <c r="AJ82" s="2"/>
      <c r="AL82" s="136"/>
    </row>
    <row r="83" spans="1:38">
      <c r="A83" s="18" t="s">
        <v>117</v>
      </c>
      <c r="B83" s="254">
        <f>SUM(C83:AL83)</f>
        <v>5816120.0008397633</v>
      </c>
      <c r="C83" s="39">
        <f>C80-C82</f>
        <v>3177486.4300000006</v>
      </c>
      <c r="D83" s="16">
        <f t="shared" ref="D83:AL83" si="62">D80-D82</f>
        <v>11120075.999999991</v>
      </c>
      <c r="E83" s="16">
        <f t="shared" si="62"/>
        <v>-207084.75005946809</v>
      </c>
      <c r="F83" s="16">
        <f t="shared" si="62"/>
        <v>-381231.14656380378</v>
      </c>
      <c r="G83" s="125">
        <f t="shared" si="62"/>
        <v>77144.147109320213</v>
      </c>
      <c r="H83" s="39">
        <f t="shared" si="62"/>
        <v>132346.31819439988</v>
      </c>
      <c r="I83" s="16">
        <f t="shared" si="62"/>
        <v>109073.81345781857</v>
      </c>
      <c r="J83" s="16">
        <f t="shared" si="62"/>
        <v>-94179.484143901253</v>
      </c>
      <c r="K83" s="16">
        <f t="shared" si="62"/>
        <v>0</v>
      </c>
      <c r="L83" s="16">
        <f t="shared" si="62"/>
        <v>-2040185.0718116981</v>
      </c>
      <c r="M83" s="16">
        <f t="shared" ref="M83:Q83" si="63">M80-M82</f>
        <v>-3668.9492345489057</v>
      </c>
      <c r="N83" s="16">
        <f t="shared" si="63"/>
        <v>-347813.11150119902</v>
      </c>
      <c r="O83" s="16">
        <f t="shared" si="63"/>
        <v>14413.215258144253</v>
      </c>
      <c r="P83" s="16">
        <f t="shared" si="63"/>
        <v>-43545.400382885564</v>
      </c>
      <c r="Q83" s="125">
        <f t="shared" si="63"/>
        <v>-1362.579400068731</v>
      </c>
      <c r="R83" s="39">
        <f t="shared" si="62"/>
        <v>1629796.4689585164</v>
      </c>
      <c r="S83" s="16">
        <f t="shared" si="62"/>
        <v>-8774225.7699999996</v>
      </c>
      <c r="T83" s="125">
        <f t="shared" si="62"/>
        <v>103800.07002170041</v>
      </c>
      <c r="U83" s="127">
        <f t="shared" si="62"/>
        <v>0</v>
      </c>
      <c r="V83" s="49">
        <f t="shared" si="62"/>
        <v>992771.65397105366</v>
      </c>
      <c r="W83" s="2">
        <f t="shared" si="62"/>
        <v>0</v>
      </c>
      <c r="X83" s="2">
        <f t="shared" si="62"/>
        <v>-239226.0290480254</v>
      </c>
      <c r="Y83" s="2">
        <f t="shared" si="62"/>
        <v>0</v>
      </c>
      <c r="Z83" s="2">
        <f t="shared" si="62"/>
        <v>0</v>
      </c>
      <c r="AA83" s="2">
        <f t="shared" si="62"/>
        <v>0</v>
      </c>
      <c r="AB83" s="136">
        <f t="shared" ref="AB83" si="64">AB80-AB82</f>
        <v>0</v>
      </c>
      <c r="AC83" s="49">
        <f t="shared" si="62"/>
        <v>-10074.098181818181</v>
      </c>
      <c r="AD83" s="2">
        <f t="shared" si="62"/>
        <v>0</v>
      </c>
      <c r="AE83" s="2">
        <f t="shared" si="62"/>
        <v>373123.38860982889</v>
      </c>
      <c r="AF83" s="2">
        <f t="shared" si="62"/>
        <v>0</v>
      </c>
      <c r="AG83" s="2">
        <f t="shared" si="62"/>
        <v>0</v>
      </c>
      <c r="AH83" s="2">
        <f t="shared" si="62"/>
        <v>0</v>
      </c>
      <c r="AI83" s="2">
        <f t="shared" si="62"/>
        <v>0</v>
      </c>
      <c r="AJ83" s="2">
        <f t="shared" si="62"/>
        <v>205099.28384601866</v>
      </c>
      <c r="AK83" s="2">
        <f t="shared" si="62"/>
        <v>0</v>
      </c>
      <c r="AL83" s="136">
        <f t="shared" si="62"/>
        <v>23585.601740387501</v>
      </c>
    </row>
    <row r="84" spans="1:38">
      <c r="A84" s="18"/>
      <c r="B84" s="254"/>
      <c r="C84" s="39"/>
      <c r="D84" s="16"/>
      <c r="E84" s="16"/>
      <c r="F84" s="16"/>
      <c r="G84" s="125"/>
      <c r="H84" s="39"/>
      <c r="I84" s="16"/>
      <c r="J84" s="16"/>
      <c r="K84" s="16"/>
      <c r="L84" s="16"/>
      <c r="M84" s="16"/>
      <c r="N84" s="16"/>
      <c r="O84" s="16"/>
      <c r="P84" s="16"/>
      <c r="Q84" s="125"/>
      <c r="R84" s="39"/>
      <c r="S84" s="16"/>
      <c r="T84" s="125"/>
      <c r="U84" s="127"/>
      <c r="V84" s="49"/>
      <c r="W84" s="2"/>
      <c r="X84" s="2"/>
      <c r="Y84" s="2"/>
      <c r="Z84" s="2"/>
      <c r="AA84" s="2"/>
      <c r="AB84" s="136"/>
      <c r="AC84" s="49"/>
      <c r="AD84" s="2"/>
      <c r="AE84" s="2"/>
      <c r="AF84" s="2"/>
      <c r="AG84" s="2"/>
      <c r="AH84" s="2"/>
      <c r="AI84" s="2"/>
      <c r="AJ84" s="2"/>
      <c r="AL84" s="136"/>
    </row>
    <row r="85" spans="1:38">
      <c r="A85" s="18" t="s">
        <v>166</v>
      </c>
      <c r="B85" s="254">
        <f>SUM(C85:AL85)</f>
        <v>2035642.0002939173</v>
      </c>
      <c r="C85" s="39">
        <f>C83*0.35</f>
        <v>1112120.2505000001</v>
      </c>
      <c r="D85" s="16">
        <f t="shared" ref="D85:AL85" si="65">D83*0.35</f>
        <v>3892026.5999999964</v>
      </c>
      <c r="E85" s="16">
        <f t="shared" si="65"/>
        <v>-72479.662520813828</v>
      </c>
      <c r="F85" s="16">
        <f t="shared" si="65"/>
        <v>-133430.90129733132</v>
      </c>
      <c r="G85" s="125">
        <f t="shared" si="65"/>
        <v>27000.451488262072</v>
      </c>
      <c r="H85" s="39">
        <f t="shared" si="65"/>
        <v>46321.211368039956</v>
      </c>
      <c r="I85" s="16">
        <f t="shared" si="65"/>
        <v>38175.834710236501</v>
      </c>
      <c r="J85" s="16">
        <f t="shared" si="65"/>
        <v>-32962.819450365438</v>
      </c>
      <c r="K85" s="16">
        <f t="shared" si="65"/>
        <v>0</v>
      </c>
      <c r="L85" s="16">
        <f t="shared" si="65"/>
        <v>-714064.77513409429</v>
      </c>
      <c r="M85" s="16">
        <f t="shared" ref="M85:Q85" si="66">M83*0.35</f>
        <v>-1284.132232092117</v>
      </c>
      <c r="N85" s="16">
        <f t="shared" si="66"/>
        <v>-121734.58902541964</v>
      </c>
      <c r="O85" s="16">
        <f t="shared" si="66"/>
        <v>5044.6253403504879</v>
      </c>
      <c r="P85" s="16">
        <f t="shared" si="66"/>
        <v>-15240.890134009946</v>
      </c>
      <c r="Q85" s="125">
        <f t="shared" si="66"/>
        <v>-476.90279002405583</v>
      </c>
      <c r="R85" s="39">
        <f t="shared" si="65"/>
        <v>570428.76413548074</v>
      </c>
      <c r="S85" s="16">
        <f t="shared" si="65"/>
        <v>-3070979.0194999995</v>
      </c>
      <c r="T85" s="125">
        <f t="shared" si="65"/>
        <v>36330.024507595139</v>
      </c>
      <c r="U85" s="127">
        <f t="shared" si="65"/>
        <v>0</v>
      </c>
      <c r="V85" s="49">
        <f t="shared" si="65"/>
        <v>347470.07888986875</v>
      </c>
      <c r="W85" s="2">
        <f t="shared" si="65"/>
        <v>0</v>
      </c>
      <c r="X85" s="2">
        <f t="shared" si="65"/>
        <v>-83729.110166808881</v>
      </c>
      <c r="Y85" s="2">
        <f t="shared" si="65"/>
        <v>0</v>
      </c>
      <c r="Z85" s="2">
        <f t="shared" si="65"/>
        <v>0</v>
      </c>
      <c r="AA85" s="2">
        <f t="shared" si="65"/>
        <v>0</v>
      </c>
      <c r="AB85" s="136">
        <f t="shared" ref="AB85" si="67">AB83*0.35</f>
        <v>0</v>
      </c>
      <c r="AC85" s="49">
        <f t="shared" si="65"/>
        <v>-3525.9343636363633</v>
      </c>
      <c r="AD85" s="2">
        <f t="shared" si="65"/>
        <v>0</v>
      </c>
      <c r="AE85" s="2">
        <f t="shared" si="65"/>
        <v>130593.18601344011</v>
      </c>
      <c r="AF85" s="2">
        <f t="shared" si="65"/>
        <v>0</v>
      </c>
      <c r="AG85" s="2">
        <f t="shared" si="65"/>
        <v>0</v>
      </c>
      <c r="AH85" s="2">
        <f t="shared" si="65"/>
        <v>0</v>
      </c>
      <c r="AI85" s="2">
        <f t="shared" si="65"/>
        <v>0</v>
      </c>
      <c r="AJ85" s="2">
        <f t="shared" si="65"/>
        <v>71784.749346106531</v>
      </c>
      <c r="AK85" s="2">
        <f t="shared" si="65"/>
        <v>0</v>
      </c>
      <c r="AL85" s="136">
        <f t="shared" si="65"/>
        <v>8254.9606091356254</v>
      </c>
    </row>
    <row r="86" spans="1:38">
      <c r="A86" s="18" t="s">
        <v>167</v>
      </c>
      <c r="B86" s="142">
        <f>SUM(C86:AL86)</f>
        <v>0</v>
      </c>
      <c r="C86" s="39"/>
      <c r="D86" s="16"/>
      <c r="E86" s="16"/>
      <c r="F86" s="16"/>
      <c r="G86" s="125"/>
      <c r="H86" s="39"/>
      <c r="I86" s="16"/>
      <c r="J86" s="16"/>
      <c r="K86" s="16"/>
      <c r="L86" s="16"/>
      <c r="M86" s="16"/>
      <c r="N86" s="16"/>
      <c r="O86" s="16"/>
      <c r="P86" s="16"/>
      <c r="Q86" s="125"/>
      <c r="R86" s="39"/>
      <c r="S86" s="16"/>
      <c r="T86" s="125"/>
      <c r="U86" s="127"/>
      <c r="V86" s="49"/>
      <c r="W86" s="2"/>
      <c r="X86" s="2"/>
      <c r="Y86" s="2"/>
      <c r="Z86" s="2"/>
      <c r="AA86" s="2"/>
      <c r="AB86" s="136"/>
      <c r="AC86" s="49"/>
      <c r="AD86" s="2"/>
      <c r="AE86" s="2"/>
      <c r="AF86" s="2"/>
      <c r="AG86" s="2"/>
      <c r="AH86" s="2"/>
      <c r="AI86" s="2"/>
      <c r="AJ86" s="2"/>
      <c r="AL86" s="136"/>
    </row>
    <row r="87" spans="1:38" s="2" customFormat="1" ht="13.5" thickBot="1">
      <c r="A87" s="18" t="s">
        <v>168</v>
      </c>
      <c r="B87" s="255">
        <f>SUM(C87:AL87)</f>
        <v>2035642.0002939173</v>
      </c>
      <c r="C87" s="155">
        <f>C85+C86</f>
        <v>1112120.2505000001</v>
      </c>
      <c r="D87" s="153">
        <f t="shared" ref="D87:AL87" si="68">D85+D86</f>
        <v>3892026.5999999964</v>
      </c>
      <c r="E87" s="153">
        <f t="shared" si="68"/>
        <v>-72479.662520813828</v>
      </c>
      <c r="F87" s="153">
        <f t="shared" si="68"/>
        <v>-133430.90129733132</v>
      </c>
      <c r="G87" s="154">
        <f t="shared" si="68"/>
        <v>27000.451488262072</v>
      </c>
      <c r="H87" s="155">
        <f t="shared" si="68"/>
        <v>46321.211368039956</v>
      </c>
      <c r="I87" s="153">
        <f t="shared" si="68"/>
        <v>38175.834710236501</v>
      </c>
      <c r="J87" s="153">
        <f t="shared" si="68"/>
        <v>-32962.819450365438</v>
      </c>
      <c r="K87" s="153">
        <f t="shared" si="68"/>
        <v>0</v>
      </c>
      <c r="L87" s="153">
        <f t="shared" si="68"/>
        <v>-714064.77513409429</v>
      </c>
      <c r="M87" s="153">
        <f t="shared" ref="M87:Q87" si="69">M85+M86</f>
        <v>-1284.132232092117</v>
      </c>
      <c r="N87" s="153">
        <f t="shared" si="69"/>
        <v>-121734.58902541964</v>
      </c>
      <c r="O87" s="153">
        <f t="shared" si="69"/>
        <v>5044.6253403504879</v>
      </c>
      <c r="P87" s="153">
        <f t="shared" si="69"/>
        <v>-15240.890134009946</v>
      </c>
      <c r="Q87" s="154">
        <f t="shared" si="69"/>
        <v>-476.90279002405583</v>
      </c>
      <c r="R87" s="155">
        <f t="shared" si="68"/>
        <v>570428.76413548074</v>
      </c>
      <c r="S87" s="153">
        <f t="shared" si="68"/>
        <v>-3070979.0194999995</v>
      </c>
      <c r="T87" s="154">
        <f t="shared" si="68"/>
        <v>36330.024507595139</v>
      </c>
      <c r="U87" s="256">
        <f t="shared" si="68"/>
        <v>0</v>
      </c>
      <c r="V87" s="50">
        <f t="shared" si="68"/>
        <v>347470.07888986875</v>
      </c>
      <c r="W87" s="257">
        <f t="shared" si="68"/>
        <v>0</v>
      </c>
      <c r="X87" s="257">
        <f t="shared" si="68"/>
        <v>-83729.110166808881</v>
      </c>
      <c r="Y87" s="257">
        <f t="shared" si="68"/>
        <v>0</v>
      </c>
      <c r="Z87" s="257">
        <f t="shared" si="68"/>
        <v>0</v>
      </c>
      <c r="AA87" s="257">
        <f t="shared" si="68"/>
        <v>0</v>
      </c>
      <c r="AB87" s="263">
        <f t="shared" ref="AB87" si="70">AB85+AB86</f>
        <v>0</v>
      </c>
      <c r="AC87" s="50">
        <f t="shared" si="68"/>
        <v>-3525.9343636363633</v>
      </c>
      <c r="AD87" s="257">
        <f t="shared" si="68"/>
        <v>0</v>
      </c>
      <c r="AE87" s="257">
        <f t="shared" si="68"/>
        <v>130593.18601344011</v>
      </c>
      <c r="AF87" s="257">
        <f t="shared" si="68"/>
        <v>0</v>
      </c>
      <c r="AG87" s="257">
        <f t="shared" si="68"/>
        <v>0</v>
      </c>
      <c r="AH87" s="257">
        <f t="shared" si="68"/>
        <v>0</v>
      </c>
      <c r="AI87" s="257">
        <f t="shared" si="68"/>
        <v>0</v>
      </c>
      <c r="AJ87" s="257">
        <f t="shared" si="68"/>
        <v>71784.749346106531</v>
      </c>
      <c r="AK87" s="257">
        <f t="shared" si="68"/>
        <v>0</v>
      </c>
      <c r="AL87" s="263">
        <f t="shared" si="68"/>
        <v>8254.9606091356254</v>
      </c>
    </row>
    <row r="88" spans="1:38" s="2" customFormat="1">
      <c r="A88" s="18"/>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row>
    <row r="89" spans="1:38" s="2" customForma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row>
    <row r="90" spans="1:38" s="2" customFormat="1">
      <c r="A90" s="258"/>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row>
    <row r="91" spans="1:38" s="2" customFormat="1">
      <c r="A91" s="18"/>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row>
    <row r="92" spans="1:38" s="2" customFormat="1">
      <c r="A92" s="18"/>
    </row>
    <row r="93" spans="1:38" s="2" customFormat="1">
      <c r="A93" s="259"/>
    </row>
  </sheetData>
  <mergeCells count="6">
    <mergeCell ref="AI7:AL7"/>
    <mergeCell ref="V7:AB7"/>
    <mergeCell ref="C7:G7"/>
    <mergeCell ref="H7:N7"/>
    <mergeCell ref="O7:Q7"/>
    <mergeCell ref="AC7:AH7"/>
  </mergeCells>
  <phoneticPr fontId="4" type="noConversion"/>
  <pageMargins left="1" right="0.5" top="0.75" bottom="0.5" header="0.4" footer="0.5"/>
  <pageSetup scale="63" firstPageNumber="14" fitToWidth="6" orientation="portrait" useFirstPageNumber="1" r:id="rId1"/>
  <headerFooter alignWithMargins="0">
    <oddHeader xml:space="preserve">&amp;L&amp;12PacifiCorp
Washington General Rate Case - December 2010
Summary of Restating Adjustments&amp;10
&amp;R&amp;12Page 1.&amp;P
&amp;10
</oddHeader>
  </headerFooter>
  <colBreaks count="2" manualBreakCount="2">
    <brk id="7" min="4" max="87" man="1"/>
    <brk id="34" min="4" max="87" man="1"/>
  </colBreaks>
</worksheet>
</file>

<file path=xl/worksheets/sheet2.xml><?xml version="1.0" encoding="utf-8"?>
<worksheet xmlns="http://schemas.openxmlformats.org/spreadsheetml/2006/main" xmlns:r="http://schemas.openxmlformats.org/officeDocument/2006/relationships">
  <sheetPr codeName="Sheet2">
    <pageSetUpPr fitToPage="1"/>
  </sheetPr>
  <dimension ref="A1:N147"/>
  <sheetViews>
    <sheetView zoomScale="85" zoomScaleNormal="85" workbookViewId="0">
      <selection sqref="A1:XFD3"/>
    </sheetView>
  </sheetViews>
  <sheetFormatPr defaultRowHeight="12.75"/>
  <cols>
    <col min="1" max="1" width="31.140625" style="25" customWidth="1"/>
    <col min="2" max="2" width="13.7109375" style="25" customWidth="1"/>
    <col min="3" max="3" width="0.7109375" style="25" customWidth="1"/>
    <col min="4" max="4" width="13.7109375" style="25" customWidth="1"/>
    <col min="5" max="5" width="0.7109375" style="25" customWidth="1"/>
    <col min="6" max="6" width="15.7109375" style="25" customWidth="1"/>
    <col min="7" max="7" width="0.7109375" style="25" customWidth="1"/>
    <col min="8" max="8" width="14.5703125" style="25" customWidth="1"/>
    <col min="9" max="9" width="0.7109375" style="25" customWidth="1"/>
    <col min="10" max="10" width="14.7109375" style="25" customWidth="1"/>
    <col min="11" max="11" width="0.7109375" style="25" customWidth="1"/>
    <col min="12" max="12" width="13.5703125" style="25" customWidth="1"/>
    <col min="13" max="13" width="0.7109375" style="25" customWidth="1"/>
    <col min="14" max="14" width="15.85546875" style="25" customWidth="1"/>
    <col min="15" max="16384" width="9.140625" style="25"/>
  </cols>
  <sheetData>
    <row r="1" spans="1:14">
      <c r="A1" s="317" t="s">
        <v>52</v>
      </c>
      <c r="B1" s="318"/>
      <c r="C1" s="318"/>
      <c r="D1" s="318"/>
      <c r="E1" s="318"/>
      <c r="F1" s="318"/>
      <c r="G1" s="318"/>
      <c r="H1" s="318"/>
      <c r="I1" s="318"/>
      <c r="J1" s="318"/>
      <c r="K1" s="318"/>
      <c r="L1" s="318"/>
      <c r="M1" s="318"/>
      <c r="N1" s="318"/>
    </row>
    <row r="2" spans="1:14">
      <c r="A2" s="317" t="s">
        <v>225</v>
      </c>
      <c r="B2" s="318"/>
      <c r="C2" s="318"/>
      <c r="D2" s="318"/>
      <c r="E2" s="318"/>
      <c r="F2" s="318"/>
      <c r="G2" s="318"/>
      <c r="H2" s="318"/>
      <c r="I2" s="318"/>
      <c r="J2" s="318"/>
      <c r="K2" s="318"/>
      <c r="L2" s="318"/>
      <c r="M2" s="318"/>
      <c r="N2" s="318"/>
    </row>
    <row r="3" spans="1:14">
      <c r="A3" s="317" t="s">
        <v>345</v>
      </c>
      <c r="B3" s="318"/>
      <c r="C3" s="318"/>
      <c r="D3" s="318"/>
      <c r="E3" s="318"/>
      <c r="F3" s="318"/>
      <c r="G3" s="318"/>
      <c r="H3" s="318"/>
      <c r="I3" s="318"/>
      <c r="J3" s="318"/>
      <c r="K3" s="318"/>
      <c r="L3" s="318"/>
      <c r="M3" s="318"/>
      <c r="N3" s="318"/>
    </row>
    <row r="4" spans="1:14">
      <c r="A4" s="1"/>
    </row>
    <row r="5" spans="1:14">
      <c r="A5" s="1"/>
      <c r="B5" s="56" t="s">
        <v>145</v>
      </c>
      <c r="C5" s="57"/>
      <c r="D5" s="56" t="s">
        <v>146</v>
      </c>
      <c r="E5" s="57"/>
      <c r="F5" s="56" t="s">
        <v>147</v>
      </c>
      <c r="G5" s="58"/>
      <c r="H5" s="56" t="s">
        <v>148</v>
      </c>
      <c r="I5" s="58"/>
      <c r="J5" s="56" t="s">
        <v>149</v>
      </c>
      <c r="K5" s="58"/>
      <c r="L5" s="56" t="s">
        <v>150</v>
      </c>
      <c r="M5" s="58"/>
      <c r="N5" s="56" t="s">
        <v>171</v>
      </c>
    </row>
    <row r="6" spans="1:14">
      <c r="A6" s="1"/>
      <c r="B6" s="67" t="s">
        <v>154</v>
      </c>
      <c r="C6" s="68"/>
      <c r="D6" s="68"/>
      <c r="F6" s="68" t="s">
        <v>152</v>
      </c>
      <c r="H6" s="68"/>
      <c r="J6" s="69" t="s">
        <v>153</v>
      </c>
      <c r="L6" s="69"/>
      <c r="N6" s="69" t="s">
        <v>183</v>
      </c>
    </row>
    <row r="7" spans="1:14" ht="43.5" customHeight="1">
      <c r="A7" s="26"/>
      <c r="B7" s="55" t="s">
        <v>151</v>
      </c>
      <c r="C7" s="55"/>
      <c r="D7" s="55" t="s">
        <v>141</v>
      </c>
      <c r="E7" s="55"/>
      <c r="F7" s="55" t="s">
        <v>142</v>
      </c>
      <c r="G7" s="55"/>
      <c r="H7" s="55" t="s">
        <v>143</v>
      </c>
      <c r="I7" s="55"/>
      <c r="J7" s="55" t="s">
        <v>144</v>
      </c>
      <c r="K7" s="55"/>
      <c r="L7" s="55" t="s">
        <v>169</v>
      </c>
      <c r="M7" s="55"/>
      <c r="N7" s="55" t="s">
        <v>170</v>
      </c>
    </row>
    <row r="8" spans="1:14">
      <c r="A8" s="15" t="s">
        <v>56</v>
      </c>
      <c r="B8" s="13"/>
      <c r="C8" s="13"/>
      <c r="D8" s="13"/>
      <c r="F8" s="13"/>
      <c r="H8" s="13"/>
      <c r="J8" s="13"/>
      <c r="L8" s="13"/>
      <c r="N8" s="13"/>
    </row>
    <row r="9" spans="1:14">
      <c r="A9" s="15" t="s">
        <v>57</v>
      </c>
      <c r="B9" s="13">
        <f>[2]Results!C11</f>
        <v>256639553.00999802</v>
      </c>
      <c r="C9" s="13"/>
      <c r="D9" s="13">
        <f>'Restating Adj'!B12</f>
        <v>16233190.429999992</v>
      </c>
      <c r="F9" s="13">
        <f>B9+D9</f>
        <v>272872743.43999803</v>
      </c>
      <c r="H9" s="13">
        <f>'Pro Forma Adj'!B12</f>
        <v>33183479.159999996</v>
      </c>
      <c r="J9" s="13">
        <f>F9+H9</f>
        <v>306056222.599998</v>
      </c>
      <c r="L9" s="13">
        <f>-(J37-(J64*Overall_ROR))/gross_up_factor</f>
        <v>-807723.59571619297</v>
      </c>
      <c r="N9" s="13">
        <f>J9+L9</f>
        <v>305248499.00428182</v>
      </c>
    </row>
    <row r="10" spans="1:14">
      <c r="A10" s="15" t="s">
        <v>58</v>
      </c>
      <c r="B10" s="13">
        <f>[2]Results!C12</f>
        <v>0</v>
      </c>
      <c r="C10" s="13"/>
      <c r="D10" s="13">
        <f>'Restating Adj'!B13</f>
        <v>0</v>
      </c>
      <c r="F10" s="13">
        <f t="shared" ref="F10:F12" si="0">B10+D10</f>
        <v>0</v>
      </c>
      <c r="H10" s="13">
        <f>'Pro Forma Adj'!B13</f>
        <v>0</v>
      </c>
      <c r="J10" s="13">
        <f t="shared" ref="J10:J12" si="1">F10+H10</f>
        <v>0</v>
      </c>
      <c r="L10" s="13"/>
      <c r="N10" s="13">
        <f t="shared" ref="N10:N12" si="2">J10+L10</f>
        <v>0</v>
      </c>
    </row>
    <row r="11" spans="1:14">
      <c r="A11" s="15" t="s">
        <v>59</v>
      </c>
      <c r="B11" s="13">
        <f>[2]Results!C13</f>
        <v>74513001.340099305</v>
      </c>
      <c r="C11" s="13"/>
      <c r="D11" s="13">
        <f>'Restating Adj'!B14</f>
        <v>941247.8810121459</v>
      </c>
      <c r="F11" s="13">
        <f t="shared" si="0"/>
        <v>75454249.221111447</v>
      </c>
      <c r="H11" s="13">
        <f>'Pro Forma Adj'!B14</f>
        <v>-33733520.419695824</v>
      </c>
      <c r="J11" s="13">
        <f t="shared" si="1"/>
        <v>41720728.801415622</v>
      </c>
      <c r="L11" s="13"/>
      <c r="N11" s="13">
        <f t="shared" si="2"/>
        <v>41720728.801415622</v>
      </c>
    </row>
    <row r="12" spans="1:14">
      <c r="A12" s="15" t="s">
        <v>60</v>
      </c>
      <c r="B12" s="13">
        <f>[2]Results!C14</f>
        <v>25032633.964374781</v>
      </c>
      <c r="C12" s="13"/>
      <c r="D12" s="13">
        <f>'Restating Adj'!B15</f>
        <v>-9224242.3703400642</v>
      </c>
      <c r="F12" s="13">
        <f t="shared" si="0"/>
        <v>15808391.594034716</v>
      </c>
      <c r="H12" s="13">
        <f>'Pro Forma Adj'!B15</f>
        <v>-7914206.1998940334</v>
      </c>
      <c r="J12" s="13">
        <f t="shared" si="1"/>
        <v>7894185.3941406831</v>
      </c>
      <c r="L12" s="13"/>
      <c r="N12" s="13">
        <f t="shared" si="2"/>
        <v>7894185.3941406831</v>
      </c>
    </row>
    <row r="13" spans="1:14" ht="13.5" thickBot="1">
      <c r="A13" s="15" t="s">
        <v>61</v>
      </c>
      <c r="B13" s="14">
        <f>SUM(B9:B12)</f>
        <v>356185188.31447208</v>
      </c>
      <c r="C13" s="13"/>
      <c r="D13" s="14">
        <f>SUM(D9:D12)</f>
        <v>7950195.9406720735</v>
      </c>
      <c r="F13" s="14">
        <f>SUM(F9:F12)</f>
        <v>364135384.25514418</v>
      </c>
      <c r="H13" s="14">
        <f>SUM(H9:H12)</f>
        <v>-8464247.4595898613</v>
      </c>
      <c r="J13" s="14">
        <f>SUM(J9:J12)</f>
        <v>355671136.79555428</v>
      </c>
      <c r="L13" s="14">
        <f>SUM(L9:L12)</f>
        <v>-807723.59571619297</v>
      </c>
      <c r="N13" s="14">
        <f>SUM(N9:N12)</f>
        <v>354863413.1998381</v>
      </c>
    </row>
    <row r="14" spans="1:14" ht="13.5" thickTop="1">
      <c r="A14" s="15"/>
      <c r="B14" s="13"/>
      <c r="C14" s="13"/>
      <c r="D14" s="13"/>
      <c r="F14" s="13"/>
      <c r="H14" s="13"/>
      <c r="J14" s="13"/>
      <c r="L14" s="13"/>
      <c r="N14" s="13"/>
    </row>
    <row r="15" spans="1:14">
      <c r="A15" s="15" t="s">
        <v>62</v>
      </c>
      <c r="B15" s="13"/>
      <c r="C15" s="13"/>
      <c r="D15" s="13"/>
      <c r="F15" s="13"/>
      <c r="H15" s="13"/>
      <c r="J15" s="13"/>
      <c r="L15" s="13">
        <f>L13-[3]Summary!$L$13</f>
        <v>-13754933.466714868</v>
      </c>
      <c r="N15" s="13"/>
    </row>
    <row r="16" spans="1:14">
      <c r="A16" s="15" t="s">
        <v>63</v>
      </c>
      <c r="B16" s="13">
        <f>[2]Results!C18</f>
        <v>54286269.73826427</v>
      </c>
      <c r="C16" s="13"/>
      <c r="D16" s="13">
        <f>'Restating Adj'!B19</f>
        <v>-1565216.2053174789</v>
      </c>
      <c r="F16" s="13">
        <f t="shared" ref="F16:F25" si="3">B16+D16</f>
        <v>52721053.532946788</v>
      </c>
      <c r="H16" s="13">
        <f>'Pro Forma Adj'!B19</f>
        <v>1407801.9860914284</v>
      </c>
      <c r="J16" s="13">
        <f t="shared" ref="J16:J25" si="4">F16+H16</f>
        <v>54128855.519038215</v>
      </c>
      <c r="L16" s="13"/>
      <c r="N16" s="13">
        <f t="shared" ref="N16:N25" si="5">J16+L16</f>
        <v>54128855.519038215</v>
      </c>
    </row>
    <row r="17" spans="1:14">
      <c r="A17" s="15" t="s">
        <v>64</v>
      </c>
      <c r="B17" s="13">
        <f>[2]Results!C19</f>
        <v>0</v>
      </c>
      <c r="C17" s="13"/>
      <c r="D17" s="13">
        <f>'Restating Adj'!B20</f>
        <v>0</v>
      </c>
      <c r="F17" s="13">
        <f t="shared" si="3"/>
        <v>0</v>
      </c>
      <c r="H17" s="13">
        <f>'Pro Forma Adj'!B20</f>
        <v>0</v>
      </c>
      <c r="J17" s="13">
        <f t="shared" si="4"/>
        <v>0</v>
      </c>
      <c r="L17" s="13"/>
      <c r="N17" s="13">
        <f t="shared" si="5"/>
        <v>0</v>
      </c>
    </row>
    <row r="18" spans="1:14">
      <c r="A18" s="15" t="s">
        <v>65</v>
      </c>
      <c r="B18" s="13">
        <f>[2]Results!C20</f>
        <v>7051085.3167272415</v>
      </c>
      <c r="C18" s="13"/>
      <c r="D18" s="13">
        <f>'Restating Adj'!B21</f>
        <v>7511.6307386317376</v>
      </c>
      <c r="F18" s="13">
        <f t="shared" si="3"/>
        <v>7058596.9474658733</v>
      </c>
      <c r="H18" s="13">
        <f>'Pro Forma Adj'!B21</f>
        <v>-229179.88482946434</v>
      </c>
      <c r="J18" s="13">
        <f t="shared" si="4"/>
        <v>6829417.062636409</v>
      </c>
      <c r="L18" s="13"/>
      <c r="N18" s="13">
        <f t="shared" si="5"/>
        <v>6829417.062636409</v>
      </c>
    </row>
    <row r="19" spans="1:14">
      <c r="A19" s="15" t="s">
        <v>66</v>
      </c>
      <c r="B19" s="13">
        <f>[2]Results!C21</f>
        <v>118807031.55930433</v>
      </c>
      <c r="C19" s="13"/>
      <c r="D19" s="13">
        <f>'Restating Adj'!B22</f>
        <v>9517861.9663389288</v>
      </c>
      <c r="F19" s="13">
        <f t="shared" si="3"/>
        <v>128324893.52564326</v>
      </c>
      <c r="H19" s="13">
        <f>'Pro Forma Adj'!B22</f>
        <v>-19995413.363707144</v>
      </c>
      <c r="J19" s="13">
        <f t="shared" si="4"/>
        <v>108329480.16193612</v>
      </c>
      <c r="L19" s="13"/>
      <c r="N19" s="13">
        <f t="shared" si="5"/>
        <v>108329480.16193612</v>
      </c>
    </row>
    <row r="20" spans="1:14">
      <c r="A20" s="15" t="s">
        <v>67</v>
      </c>
      <c r="B20" s="13">
        <f>[2]Results!C22</f>
        <v>29119799.086048592</v>
      </c>
      <c r="C20" s="13"/>
      <c r="D20" s="13">
        <f>'Restating Adj'!B23</f>
        <v>-71947.033751535782</v>
      </c>
      <c r="F20" s="13">
        <f t="shared" si="3"/>
        <v>29047852.052297056</v>
      </c>
      <c r="H20" s="13">
        <f>'Pro Forma Adj'!B23</f>
        <v>-3764609.2675194046</v>
      </c>
      <c r="J20" s="13">
        <f t="shared" si="4"/>
        <v>25283242.784777652</v>
      </c>
      <c r="L20" s="13"/>
      <c r="N20" s="13">
        <f t="shared" si="5"/>
        <v>25283242.784777652</v>
      </c>
    </row>
    <row r="21" spans="1:14">
      <c r="A21" s="15" t="s">
        <v>68</v>
      </c>
      <c r="B21" s="13">
        <f>[2]Results!C23</f>
        <v>11983586.234546719</v>
      </c>
      <c r="C21" s="13"/>
      <c r="D21" s="13">
        <f>'Restating Adj'!B24</f>
        <v>-21040.271414005907</v>
      </c>
      <c r="F21" s="13">
        <f t="shared" si="3"/>
        <v>11962545.963132713</v>
      </c>
      <c r="H21" s="13">
        <f>'Pro Forma Adj'!B24</f>
        <v>365620.68538776349</v>
      </c>
      <c r="J21" s="13">
        <f t="shared" si="4"/>
        <v>12328166.648520477</v>
      </c>
      <c r="L21" s="13"/>
      <c r="N21" s="13">
        <f t="shared" si="5"/>
        <v>12328166.648520477</v>
      </c>
    </row>
    <row r="22" spans="1:14">
      <c r="A22" s="15" t="s">
        <v>69</v>
      </c>
      <c r="B22" s="13">
        <f>[2]Results!C24</f>
        <v>8088803.4130521202</v>
      </c>
      <c r="C22" s="13"/>
      <c r="D22" s="13">
        <f>'Restating Adj'!B25</f>
        <v>-17798.775906085644</v>
      </c>
      <c r="F22" s="13">
        <f t="shared" si="3"/>
        <v>8071004.6371460343</v>
      </c>
      <c r="H22" s="13">
        <f>'Pro Forma Adj'!B25</f>
        <v>-1107198.5813119351</v>
      </c>
      <c r="J22" s="13">
        <f t="shared" si="4"/>
        <v>6963806.0558340997</v>
      </c>
      <c r="L22" s="13">
        <f>L9*uncollectible_perc</f>
        <v>-4095.1586302810983</v>
      </c>
      <c r="N22" s="13">
        <f t="shared" si="5"/>
        <v>6959710.8972038189</v>
      </c>
    </row>
    <row r="23" spans="1:14">
      <c r="A23" s="15" t="s">
        <v>70</v>
      </c>
      <c r="B23" s="13">
        <f>[2]Results!C25</f>
        <v>9439582.4307300914</v>
      </c>
      <c r="C23" s="13"/>
      <c r="D23" s="13">
        <f>'Restating Adj'!B26</f>
        <v>-8808315.0298450738</v>
      </c>
      <c r="F23" s="13">
        <f t="shared" si="3"/>
        <v>631267.40088501759</v>
      </c>
      <c r="H23" s="13">
        <f>'Pro Forma Adj'!B26</f>
        <v>0</v>
      </c>
      <c r="J23" s="13">
        <f t="shared" si="4"/>
        <v>631267.40088501759</v>
      </c>
      <c r="L23" s="13"/>
      <c r="N23" s="13">
        <f t="shared" si="5"/>
        <v>631267.40088501759</v>
      </c>
    </row>
    <row r="24" spans="1:14">
      <c r="A24" s="15" t="s">
        <v>71</v>
      </c>
      <c r="B24" s="13">
        <f>[2]Results!C26</f>
        <v>0</v>
      </c>
      <c r="C24" s="13"/>
      <c r="D24" s="13">
        <f>'Restating Adj'!B27</f>
        <v>0</v>
      </c>
      <c r="F24" s="13">
        <f t="shared" si="3"/>
        <v>0</v>
      </c>
      <c r="H24" s="13">
        <f>'Pro Forma Adj'!B27</f>
        <v>0</v>
      </c>
      <c r="J24" s="13">
        <f t="shared" si="4"/>
        <v>0</v>
      </c>
      <c r="L24" s="13"/>
      <c r="N24" s="13">
        <f t="shared" si="5"/>
        <v>0</v>
      </c>
    </row>
    <row r="25" spans="1:14">
      <c r="A25" s="15" t="s">
        <v>72</v>
      </c>
      <c r="B25" s="13">
        <f>[2]Results!C27</f>
        <v>10269546.584633965</v>
      </c>
      <c r="C25" s="13"/>
      <c r="D25" s="13">
        <f>'Restating Adj'!B28</f>
        <v>117450.56973614397</v>
      </c>
      <c r="F25" s="13">
        <f t="shared" si="3"/>
        <v>10386997.154370109</v>
      </c>
      <c r="H25" s="13">
        <f>'Pro Forma Adj'!B28</f>
        <v>-771362.78533639375</v>
      </c>
      <c r="J25" s="13">
        <f t="shared" si="4"/>
        <v>9615634.3690337148</v>
      </c>
      <c r="L25" s="13"/>
      <c r="N25" s="13">
        <f t="shared" si="5"/>
        <v>9615634.3690337148</v>
      </c>
    </row>
    <row r="26" spans="1:14">
      <c r="A26" s="15" t="s">
        <v>73</v>
      </c>
      <c r="B26" s="11">
        <f>SUM(B16:B25)</f>
        <v>249045704.36330736</v>
      </c>
      <c r="C26" s="13"/>
      <c r="D26" s="11">
        <f>SUM(D16:D25)</f>
        <v>-841493.14942047617</v>
      </c>
      <c r="F26" s="11">
        <f>SUM(F16:F25)</f>
        <v>248204211.21388683</v>
      </c>
      <c r="H26" s="11">
        <f>SUM(H16:H25)</f>
        <v>-24094341.211225148</v>
      </c>
      <c r="J26" s="11">
        <f>SUM(J16:J25)</f>
        <v>224109870.00266171</v>
      </c>
      <c r="L26" s="11">
        <f>SUM(L16:L25)</f>
        <v>-4095.1586302810983</v>
      </c>
      <c r="N26" s="11">
        <f>SUM(N16:N25)</f>
        <v>224105774.84403142</v>
      </c>
    </row>
    <row r="27" spans="1:14">
      <c r="A27" s="15" t="s">
        <v>74</v>
      </c>
      <c r="B27" s="13">
        <f>[2]Results!C29</f>
        <v>37836762.427732483</v>
      </c>
      <c r="C27" s="13"/>
      <c r="D27" s="13">
        <f>'Restating Adj'!B30</f>
        <v>-426874.27289466589</v>
      </c>
      <c r="F27" s="13">
        <f t="shared" ref="F27:F29" si="6">B27+D27</f>
        <v>37409888.154837817</v>
      </c>
      <c r="H27" s="13">
        <f>'Pro Forma Adj'!B30</f>
        <v>-361953.08500578615</v>
      </c>
      <c r="J27" s="13">
        <f t="shared" ref="J27:J29" si="7">F27+H27</f>
        <v>37047935.069832034</v>
      </c>
      <c r="L27" s="13"/>
      <c r="N27" s="13">
        <f t="shared" ref="N27:N34" si="8">J27+L27</f>
        <v>37047935.069832034</v>
      </c>
    </row>
    <row r="28" spans="1:14">
      <c r="A28" s="15" t="s">
        <v>75</v>
      </c>
      <c r="B28" s="13">
        <f>[2]Results!C30</f>
        <v>4000829.4733088263</v>
      </c>
      <c r="C28" s="13"/>
      <c r="D28" s="13">
        <f>'Restating Adj'!B31</f>
        <v>-174728.87755490927</v>
      </c>
      <c r="F28" s="13">
        <f t="shared" si="6"/>
        <v>3826100.595753917</v>
      </c>
      <c r="H28" s="13">
        <f>'Pro Forma Adj'!B31</f>
        <v>-402431.60954907537</v>
      </c>
      <c r="J28" s="13">
        <f t="shared" si="7"/>
        <v>3423668.9862048416</v>
      </c>
      <c r="L28" s="13"/>
      <c r="N28" s="13">
        <f t="shared" si="8"/>
        <v>3423668.9862048416</v>
      </c>
    </row>
    <row r="29" spans="1:14">
      <c r="A29" s="15" t="s">
        <v>76</v>
      </c>
      <c r="B29" s="13">
        <f>[2]Results!C31</f>
        <v>17194582.105629764</v>
      </c>
      <c r="C29" s="13"/>
      <c r="D29" s="13">
        <f>'Restating Adj'!B32</f>
        <v>-46288.058459085209</v>
      </c>
      <c r="F29" s="13">
        <f t="shared" si="6"/>
        <v>17148294.04717068</v>
      </c>
      <c r="H29" s="13">
        <f>'Pro Forma Adj'!B32</f>
        <v>1741720.3599999994</v>
      </c>
      <c r="J29" s="13">
        <f t="shared" si="7"/>
        <v>18890014.407170679</v>
      </c>
      <c r="L29" s="13">
        <f>L9*(WUTC_reg_fee_perc+WA_rev_tax_perc)</f>
        <v>-32898.582053520542</v>
      </c>
      <c r="N29" s="13">
        <f t="shared" si="8"/>
        <v>18857115.82511716</v>
      </c>
    </row>
    <row r="30" spans="1:14">
      <c r="A30" s="15" t="s">
        <v>77</v>
      </c>
      <c r="B30" s="13">
        <f>B84</f>
        <v>-13444798.478551678</v>
      </c>
      <c r="C30" s="13"/>
      <c r="D30" s="13">
        <f>D84</f>
        <v>2035642.0002939156</v>
      </c>
      <c r="F30" s="13">
        <f>F84</f>
        <v>-11409156.478257738</v>
      </c>
      <c r="H30" s="13">
        <f>H84</f>
        <v>3807757.4270533863</v>
      </c>
      <c r="J30" s="13">
        <f>J84</f>
        <v>-7601399.0512043759</v>
      </c>
      <c r="L30" s="13">
        <f>L84</f>
        <v>-269755.44926133699</v>
      </c>
      <c r="N30" s="13">
        <f>N84</f>
        <v>-7871154.5004656995</v>
      </c>
    </row>
    <row r="31" spans="1:14">
      <c r="A31" s="15" t="s">
        <v>78</v>
      </c>
      <c r="B31" s="13">
        <f>B79</f>
        <v>0</v>
      </c>
      <c r="C31" s="13"/>
      <c r="D31" s="13">
        <f>D79</f>
        <v>0</v>
      </c>
      <c r="F31" s="13">
        <f>F79</f>
        <v>0</v>
      </c>
      <c r="H31" s="13">
        <f>H79</f>
        <v>0</v>
      </c>
      <c r="J31" s="13">
        <f>J79</f>
        <v>0</v>
      </c>
      <c r="L31" s="13">
        <f>L79</f>
        <v>0</v>
      </c>
      <c r="N31" s="13">
        <f>N79</f>
        <v>0</v>
      </c>
    </row>
    <row r="32" spans="1:14">
      <c r="A32" s="15" t="s">
        <v>79</v>
      </c>
      <c r="B32" s="13">
        <f>[2]Results!C34</f>
        <v>22579758.194182646</v>
      </c>
      <c r="C32" s="13"/>
      <c r="D32" s="13">
        <f>'Restating Adj'!B35</f>
        <v>-1287871.7903143498</v>
      </c>
      <c r="F32" s="13">
        <f t="shared" ref="F32:F34" si="9">B32+D32</f>
        <v>21291886.403868295</v>
      </c>
      <c r="H32" s="13">
        <f>'Pro Forma Adj'!B35</f>
        <v>974090.70055956382</v>
      </c>
      <c r="J32" s="13">
        <f t="shared" ref="J32:J34" si="10">F32+H32</f>
        <v>22265977.104427859</v>
      </c>
      <c r="L32" s="13"/>
      <c r="N32" s="13">
        <f t="shared" si="8"/>
        <v>22265977.104427859</v>
      </c>
    </row>
    <row r="33" spans="1:14">
      <c r="A33" s="15" t="s">
        <v>80</v>
      </c>
      <c r="B33" s="13">
        <f>[2]Results!C35</f>
        <v>0</v>
      </c>
      <c r="C33" s="13"/>
      <c r="D33" s="13">
        <f>'Restating Adj'!B36</f>
        <v>0</v>
      </c>
      <c r="F33" s="13">
        <f t="shared" si="9"/>
        <v>0</v>
      </c>
      <c r="H33" s="13">
        <f>'Pro Forma Adj'!B36</f>
        <v>0</v>
      </c>
      <c r="J33" s="13">
        <f t="shared" si="10"/>
        <v>0</v>
      </c>
      <c r="L33" s="13"/>
      <c r="N33" s="13">
        <f t="shared" si="8"/>
        <v>0</v>
      </c>
    </row>
    <row r="34" spans="1:14">
      <c r="A34" s="15" t="s">
        <v>81</v>
      </c>
      <c r="B34" s="13">
        <f>[2]Results!C36</f>
        <v>-384317.73504529492</v>
      </c>
      <c r="C34" s="13"/>
      <c r="D34" s="13">
        <f>'Restating Adj'!B37</f>
        <v>-685916.03178462666</v>
      </c>
      <c r="F34" s="13">
        <f t="shared" si="9"/>
        <v>-1070233.7668299216</v>
      </c>
      <c r="H34" s="13">
        <f>'Pro Forma Adj'!B37</f>
        <v>15951.581451000529</v>
      </c>
      <c r="J34" s="13">
        <f t="shared" si="10"/>
        <v>-1054282.1853789212</v>
      </c>
      <c r="L34" s="13"/>
      <c r="N34" s="13">
        <f t="shared" si="8"/>
        <v>-1054282.1853789212</v>
      </c>
    </row>
    <row r="35" spans="1:14">
      <c r="A35" s="15" t="s">
        <v>82</v>
      </c>
      <c r="B35" s="11">
        <f>SUM(B26:B34)</f>
        <v>316828520.350564</v>
      </c>
      <c r="C35" s="13"/>
      <c r="D35" s="11">
        <f>SUM(D26:D34)</f>
        <v>-1427530.1801341975</v>
      </c>
      <c r="F35" s="11">
        <f>SUM(F26:F34)</f>
        <v>315400990.17042994</v>
      </c>
      <c r="H35" s="11">
        <f>SUM(H26:H34)</f>
        <v>-18319205.836716063</v>
      </c>
      <c r="J35" s="11">
        <f>SUM(J26:J34)</f>
        <v>297081784.33371383</v>
      </c>
      <c r="L35" s="11">
        <f>SUM(L26:L34)</f>
        <v>-306749.18994513864</v>
      </c>
      <c r="N35" s="11">
        <f>SUM(N26:N34)</f>
        <v>296775035.14376873</v>
      </c>
    </row>
    <row r="36" spans="1:14">
      <c r="A36" s="15"/>
      <c r="B36" s="13"/>
      <c r="C36" s="13"/>
      <c r="D36" s="13"/>
      <c r="F36" s="13"/>
      <c r="H36" s="13"/>
      <c r="J36" s="13"/>
      <c r="L36" s="13"/>
      <c r="N36" s="13"/>
    </row>
    <row r="37" spans="1:14" ht="13.5" thickBot="1">
      <c r="A37" s="15" t="s">
        <v>83</v>
      </c>
      <c r="B37" s="14">
        <f>B13-B35</f>
        <v>39356667.963908076</v>
      </c>
      <c r="C37" s="13"/>
      <c r="D37" s="14">
        <f>D13-D35</f>
        <v>9377726.1208062712</v>
      </c>
      <c r="F37" s="14">
        <f>F13-F35</f>
        <v>48734394.084714234</v>
      </c>
      <c r="H37" s="14">
        <f>H13-H35</f>
        <v>9854958.377126202</v>
      </c>
      <c r="J37" s="14">
        <f>J13-J35</f>
        <v>58589352.461840451</v>
      </c>
      <c r="L37" s="14">
        <f>L13-L35</f>
        <v>-500974.40577105433</v>
      </c>
      <c r="N37" s="14">
        <f>N13-N35</f>
        <v>58088378.056069374</v>
      </c>
    </row>
    <row r="38" spans="1:14" ht="13.5" thickTop="1">
      <c r="A38" s="15"/>
      <c r="B38" s="13"/>
      <c r="C38" s="13"/>
      <c r="D38" s="13"/>
      <c r="F38" s="13"/>
      <c r="H38" s="13"/>
      <c r="J38" s="13"/>
      <c r="L38" s="13"/>
      <c r="N38" s="13"/>
    </row>
    <row r="39" spans="1:14">
      <c r="A39" s="15" t="s">
        <v>84</v>
      </c>
      <c r="B39" s="13"/>
      <c r="C39" s="13"/>
      <c r="D39" s="13"/>
      <c r="F39" s="13"/>
      <c r="H39" s="13"/>
      <c r="J39" s="13"/>
      <c r="L39" s="13"/>
      <c r="N39" s="13"/>
    </row>
    <row r="40" spans="1:14">
      <c r="A40" s="15" t="s">
        <v>85</v>
      </c>
      <c r="B40" s="13">
        <f>[2]Results!C42</f>
        <v>1463726641.7773561</v>
      </c>
      <c r="C40" s="13"/>
      <c r="D40" s="13">
        <f>'Restating Adj'!B43</f>
        <v>31647606.57965333</v>
      </c>
      <c r="F40" s="13">
        <f t="shared" ref="F40:F50" si="11">B40+D40</f>
        <v>1495374248.3570094</v>
      </c>
      <c r="H40" s="13">
        <f>'Pro Forma Adj'!B43</f>
        <v>-15715508.538425047</v>
      </c>
      <c r="J40" s="13">
        <f t="shared" ref="J40:J50" si="12">F40+H40</f>
        <v>1479658739.8185844</v>
      </c>
      <c r="L40" s="13"/>
      <c r="N40" s="13">
        <f t="shared" ref="N40:N50" si="13">J40+L40</f>
        <v>1479658739.8185844</v>
      </c>
    </row>
    <row r="41" spans="1:14">
      <c r="A41" s="15" t="s">
        <v>86</v>
      </c>
      <c r="B41" s="13">
        <f>[2]Results!C43</f>
        <v>37964.182804253716</v>
      </c>
      <c r="C41" s="13"/>
      <c r="D41" s="13">
        <f>'Restating Adj'!B44</f>
        <v>0</v>
      </c>
      <c r="F41" s="13">
        <f t="shared" si="11"/>
        <v>37964.182804253716</v>
      </c>
      <c r="H41" s="13">
        <f>'Pro Forma Adj'!B44</f>
        <v>0</v>
      </c>
      <c r="J41" s="13">
        <f t="shared" si="12"/>
        <v>37964.182804253716</v>
      </c>
      <c r="L41" s="13"/>
      <c r="N41" s="13">
        <f t="shared" si="13"/>
        <v>37964.182804253716</v>
      </c>
    </row>
    <row r="42" spans="1:14">
      <c r="A42" s="15" t="s">
        <v>87</v>
      </c>
      <c r="B42" s="13">
        <f>[2]Results!C44</f>
        <v>21830245.365903828</v>
      </c>
      <c r="C42" s="13"/>
      <c r="D42" s="13">
        <f>'Restating Adj'!B45</f>
        <v>-2373510.0345394304</v>
      </c>
      <c r="F42" s="13">
        <f t="shared" si="11"/>
        <v>19456735.331364397</v>
      </c>
      <c r="H42" s="13">
        <f>'Pro Forma Adj'!B45</f>
        <v>-3261120.6293837503</v>
      </c>
      <c r="J42" s="13">
        <f t="shared" si="12"/>
        <v>16195614.701980647</v>
      </c>
      <c r="L42" s="13"/>
      <c r="N42" s="13">
        <f t="shared" si="13"/>
        <v>16195614.701980647</v>
      </c>
    </row>
    <row r="43" spans="1:14">
      <c r="A43" s="15" t="s">
        <v>88</v>
      </c>
      <c r="B43" s="13">
        <f>[2]Results!C45</f>
        <v>0</v>
      </c>
      <c r="C43" s="13"/>
      <c r="D43" s="13">
        <f>'Restating Adj'!B46</f>
        <v>0</v>
      </c>
      <c r="F43" s="13">
        <f t="shared" si="11"/>
        <v>0</v>
      </c>
      <c r="H43" s="13">
        <f>'Pro Forma Adj'!B46</f>
        <v>0</v>
      </c>
      <c r="J43" s="13">
        <f t="shared" si="12"/>
        <v>0</v>
      </c>
      <c r="L43" s="13"/>
      <c r="N43" s="13">
        <f t="shared" si="13"/>
        <v>0</v>
      </c>
    </row>
    <row r="44" spans="1:14">
      <c r="A44" s="15" t="s">
        <v>89</v>
      </c>
      <c r="B44" s="13">
        <f>[2]Results!C46</f>
        <v>0</v>
      </c>
      <c r="C44" s="13"/>
      <c r="D44" s="13">
        <f>'Restating Adj'!B47</f>
        <v>0</v>
      </c>
      <c r="F44" s="13">
        <f t="shared" si="11"/>
        <v>0</v>
      </c>
      <c r="H44" s="13">
        <f>'Pro Forma Adj'!B47</f>
        <v>0</v>
      </c>
      <c r="J44" s="13">
        <f t="shared" si="12"/>
        <v>0</v>
      </c>
      <c r="L44" s="13"/>
      <c r="N44" s="13">
        <f t="shared" si="13"/>
        <v>0</v>
      </c>
    </row>
    <row r="45" spans="1:14">
      <c r="A45" s="15" t="s">
        <v>90</v>
      </c>
      <c r="B45" s="13">
        <f>[2]Results!C47</f>
        <v>2240510.2031514402</v>
      </c>
      <c r="C45" s="13"/>
      <c r="D45" s="13">
        <f>'Restating Adj'!B48</f>
        <v>-2240510.2035326045</v>
      </c>
      <c r="F45" s="13">
        <f t="shared" si="11"/>
        <v>-3.8116425275802612E-4</v>
      </c>
      <c r="H45" s="13">
        <f>'Pro Forma Adj'!B48</f>
        <v>0</v>
      </c>
      <c r="J45" s="13">
        <f t="shared" si="12"/>
        <v>-3.8116425275802612E-4</v>
      </c>
      <c r="L45" s="13"/>
      <c r="N45" s="13">
        <f t="shared" si="13"/>
        <v>-3.8116425275802612E-4</v>
      </c>
    </row>
    <row r="46" spans="1:14">
      <c r="A46" s="15" t="s">
        <v>91</v>
      </c>
      <c r="B46" s="13">
        <f>[2]Results!C48</f>
        <v>4907986.4739838019</v>
      </c>
      <c r="C46" s="13"/>
      <c r="D46" s="13">
        <f>'Restating Adj'!B49</f>
        <v>-4907986.4739838867</v>
      </c>
      <c r="F46" s="13">
        <f t="shared" si="11"/>
        <v>-8.4750354290008545E-8</v>
      </c>
      <c r="H46" s="13">
        <f>'Pro Forma Adj'!B49</f>
        <v>0</v>
      </c>
      <c r="J46" s="13">
        <f t="shared" si="12"/>
        <v>-8.4750354290008545E-8</v>
      </c>
      <c r="L46" s="13"/>
      <c r="N46" s="13">
        <f t="shared" si="13"/>
        <v>-8.4750354290008545E-8</v>
      </c>
    </row>
    <row r="47" spans="1:14">
      <c r="A47" s="15" t="s">
        <v>92</v>
      </c>
      <c r="B47" s="13">
        <f>[2]Results!C49</f>
        <v>7435680.6044854177</v>
      </c>
      <c r="C47" s="13"/>
      <c r="D47" s="13">
        <f>'Restating Adj'!B50</f>
        <v>-7435680.6054583685</v>
      </c>
      <c r="F47" s="13">
        <f t="shared" si="11"/>
        <v>-9.7295083105564117E-4</v>
      </c>
      <c r="H47" s="13">
        <f>'Pro Forma Adj'!B50</f>
        <v>0</v>
      </c>
      <c r="J47" s="13">
        <f t="shared" si="12"/>
        <v>-9.7295083105564117E-4</v>
      </c>
      <c r="L47" s="13"/>
      <c r="N47" s="13">
        <f t="shared" si="13"/>
        <v>-9.7295083105564117E-4</v>
      </c>
    </row>
    <row r="48" spans="1:14">
      <c r="A48" s="15" t="s">
        <v>93</v>
      </c>
      <c r="B48" s="13">
        <f>[2]Results!C50</f>
        <v>3098080.8131170203</v>
      </c>
      <c r="C48" s="13"/>
      <c r="D48" s="13">
        <f>'Restating Adj'!B51</f>
        <v>-3098080.8131170203</v>
      </c>
      <c r="F48" s="13">
        <f t="shared" si="11"/>
        <v>0</v>
      </c>
      <c r="H48" s="13">
        <f>'Pro Forma Adj'!B51</f>
        <v>0</v>
      </c>
      <c r="J48" s="13">
        <f t="shared" si="12"/>
        <v>0</v>
      </c>
      <c r="L48" s="13"/>
      <c r="N48" s="13">
        <f t="shared" si="13"/>
        <v>0</v>
      </c>
    </row>
    <row r="49" spans="1:14">
      <c r="A49" s="15" t="s">
        <v>94</v>
      </c>
      <c r="B49" s="13">
        <f>[2]Results!C51</f>
        <v>2010463.629199035</v>
      </c>
      <c r="C49" s="13"/>
      <c r="D49" s="13">
        <f>'Restating Adj'!B52</f>
        <v>0</v>
      </c>
      <c r="F49" s="13">
        <f t="shared" si="11"/>
        <v>2010463.629199035</v>
      </c>
      <c r="H49" s="13">
        <f>'Pro Forma Adj'!B52</f>
        <v>0</v>
      </c>
      <c r="J49" s="13">
        <f t="shared" si="12"/>
        <v>2010463.629199035</v>
      </c>
      <c r="L49" s="13"/>
      <c r="N49" s="13">
        <f t="shared" si="13"/>
        <v>2010463.629199035</v>
      </c>
    </row>
    <row r="50" spans="1:14">
      <c r="A50" s="15" t="s">
        <v>95</v>
      </c>
      <c r="B50" s="13">
        <f>[2]Results!C52</f>
        <v>102468.75195101222</v>
      </c>
      <c r="C50" s="13"/>
      <c r="D50" s="13">
        <f>'Restating Adj'!B53</f>
        <v>-102468.75195108727</v>
      </c>
      <c r="F50" s="13">
        <f t="shared" si="11"/>
        <v>-7.5044226832687855E-8</v>
      </c>
      <c r="H50" s="13">
        <f>'Pro Forma Adj'!B53</f>
        <v>0</v>
      </c>
      <c r="J50" s="13">
        <f t="shared" si="12"/>
        <v>-7.5044226832687855E-8</v>
      </c>
      <c r="L50" s="13"/>
      <c r="N50" s="13">
        <f t="shared" si="13"/>
        <v>-7.5044226832687855E-8</v>
      </c>
    </row>
    <row r="51" spans="1:14" ht="13.5" thickBot="1">
      <c r="A51" s="15" t="s">
        <v>96</v>
      </c>
      <c r="B51" s="14">
        <f>SUM(B40:B50)</f>
        <v>1505390041.8019521</v>
      </c>
      <c r="C51" s="13"/>
      <c r="D51" s="14">
        <f>SUM(D40:D50)</f>
        <v>11489369.69707093</v>
      </c>
      <c r="F51" s="14">
        <f>SUM(F40:F50)</f>
        <v>1516879411.499023</v>
      </c>
      <c r="H51" s="14">
        <f>SUM(H40:H50)</f>
        <v>-18976629.167808797</v>
      </c>
      <c r="J51" s="14">
        <f>SUM(J40:J50)</f>
        <v>1497902782.3312142</v>
      </c>
      <c r="L51" s="14">
        <f>SUM(L40:L50)</f>
        <v>0</v>
      </c>
      <c r="N51" s="14">
        <f>SUM(N40:N50)</f>
        <v>1497902782.3312142</v>
      </c>
    </row>
    <row r="52" spans="1:14" ht="13.5" thickTop="1">
      <c r="A52" s="15"/>
      <c r="B52" s="13"/>
      <c r="C52" s="13"/>
      <c r="D52" s="13"/>
      <c r="F52" s="13"/>
      <c r="H52" s="13"/>
      <c r="J52" s="13"/>
      <c r="L52" s="13"/>
      <c r="N52" s="13"/>
    </row>
    <row r="53" spans="1:14">
      <c r="A53" s="15" t="s">
        <v>97</v>
      </c>
      <c r="B53" s="13"/>
      <c r="C53" s="13"/>
      <c r="D53" s="13"/>
      <c r="F53" s="13"/>
      <c r="H53" s="13"/>
      <c r="J53" s="13"/>
      <c r="L53" s="13"/>
      <c r="N53" s="13"/>
    </row>
    <row r="54" spans="1:14">
      <c r="A54" s="15" t="s">
        <v>98</v>
      </c>
      <c r="B54" s="13">
        <f>[2]Results!C56</f>
        <v>-533422815.50845498</v>
      </c>
      <c r="C54" s="13"/>
      <c r="D54" s="13">
        <f>'Restating Adj'!B57</f>
        <v>-10099130.621185265</v>
      </c>
      <c r="F54" s="13">
        <f t="shared" ref="F54:F60" si="14">B54+D54</f>
        <v>-543521946.12964022</v>
      </c>
      <c r="H54" s="13">
        <f>'Pro Forma Adj'!B57</f>
        <v>15685302.595786646</v>
      </c>
      <c r="J54" s="13">
        <f t="shared" ref="J54:J60" si="15">F54+H54</f>
        <v>-527836643.53385359</v>
      </c>
      <c r="L54" s="13"/>
      <c r="N54" s="13">
        <f t="shared" ref="N54:N61" si="16">J54+L54</f>
        <v>-527836643.53385359</v>
      </c>
    </row>
    <row r="55" spans="1:14">
      <c r="A55" s="15" t="s">
        <v>99</v>
      </c>
      <c r="B55" s="13">
        <f>[2]Results!C57</f>
        <v>-36329777.851548776</v>
      </c>
      <c r="C55" s="13"/>
      <c r="D55" s="13">
        <f>'Restating Adj'!B58</f>
        <v>0</v>
      </c>
      <c r="F55" s="13">
        <f t="shared" si="14"/>
        <v>-36329777.851548776</v>
      </c>
      <c r="H55" s="13">
        <f>'Pro Forma Adj'!B58</f>
        <v>0</v>
      </c>
      <c r="J55" s="13">
        <f t="shared" si="15"/>
        <v>-36329777.851548776</v>
      </c>
      <c r="L55" s="13"/>
      <c r="N55" s="13">
        <f t="shared" si="16"/>
        <v>-36329777.851548776</v>
      </c>
    </row>
    <row r="56" spans="1:14">
      <c r="A56" s="15" t="s">
        <v>100</v>
      </c>
      <c r="B56" s="13">
        <f>[2]Results!C58</f>
        <v>-172602482.97219428</v>
      </c>
      <c r="C56" s="13"/>
      <c r="D56" s="13">
        <f>'Restating Adj'!B59</f>
        <v>311142.77519654424</v>
      </c>
      <c r="F56" s="13">
        <f t="shared" si="14"/>
        <v>-172291340.19699773</v>
      </c>
      <c r="H56" s="13">
        <f>'Pro Forma Adj'!B59</f>
        <v>-21661.504834290361</v>
      </c>
      <c r="J56" s="13">
        <f t="shared" si="15"/>
        <v>-172313001.70183203</v>
      </c>
      <c r="L56" s="13"/>
      <c r="N56" s="13">
        <f t="shared" si="16"/>
        <v>-172313001.70183203</v>
      </c>
    </row>
    <row r="57" spans="1:14">
      <c r="A57" s="15" t="s">
        <v>101</v>
      </c>
      <c r="B57" s="13">
        <f>[2]Results!C59</f>
        <v>-876652.79522800003</v>
      </c>
      <c r="C57" s="13"/>
      <c r="D57" s="13">
        <f>'Restating Adj'!B60</f>
        <v>103982.22360000001</v>
      </c>
      <c r="F57" s="13">
        <f t="shared" si="14"/>
        <v>-772670.57162800001</v>
      </c>
      <c r="H57" s="13">
        <f>'Pro Forma Adj'!B60</f>
        <v>0</v>
      </c>
      <c r="J57" s="13">
        <f t="shared" si="15"/>
        <v>-772670.57162800001</v>
      </c>
      <c r="L57" s="13"/>
      <c r="N57" s="13">
        <f t="shared" si="16"/>
        <v>-772670.57162800001</v>
      </c>
    </row>
    <row r="58" spans="1:14">
      <c r="A58" s="15" t="s">
        <v>102</v>
      </c>
      <c r="B58" s="13">
        <f>[2]Results!C60</f>
        <v>-752.18065947094203</v>
      </c>
      <c r="C58" s="13"/>
      <c r="D58" s="13">
        <f>'Restating Adj'!B61</f>
        <v>-293988.17735592474</v>
      </c>
      <c r="F58" s="13">
        <f t="shared" si="14"/>
        <v>-294740.3580153957</v>
      </c>
      <c r="H58" s="13">
        <f>'Pro Forma Adj'!B61</f>
        <v>0</v>
      </c>
      <c r="J58" s="13">
        <f t="shared" si="15"/>
        <v>-294740.3580153957</v>
      </c>
      <c r="L58" s="13"/>
      <c r="N58" s="13">
        <f t="shared" si="16"/>
        <v>-294740.3580153957</v>
      </c>
    </row>
    <row r="59" spans="1:14">
      <c r="A59" s="15" t="s">
        <v>103</v>
      </c>
      <c r="B59" s="13">
        <f>[2]Results!C61</f>
        <v>0</v>
      </c>
      <c r="C59" s="13"/>
      <c r="D59" s="13">
        <f>'Restating Adj'!B62</f>
        <v>-3291205.6015833332</v>
      </c>
      <c r="F59" s="13">
        <f t="shared" si="14"/>
        <v>-3291205.6015833332</v>
      </c>
      <c r="H59" s="13">
        <f>'Pro Forma Adj'!B62</f>
        <v>0</v>
      </c>
      <c r="J59" s="13">
        <f t="shared" si="15"/>
        <v>-3291205.6015833332</v>
      </c>
      <c r="L59" s="13"/>
      <c r="N59" s="13">
        <f t="shared" si="16"/>
        <v>-3291205.6015833332</v>
      </c>
    </row>
    <row r="60" spans="1:14">
      <c r="A60" s="15" t="s">
        <v>104</v>
      </c>
      <c r="B60" s="13">
        <f>[2]Results!C62</f>
        <v>-4646783.9713116912</v>
      </c>
      <c r="C60" s="13"/>
      <c r="D60" s="13">
        <f>'Restating Adj'!B63</f>
        <v>-1978325.4157962431</v>
      </c>
      <c r="F60" s="13">
        <f t="shared" si="14"/>
        <v>-6625109.3871079348</v>
      </c>
      <c r="H60" s="13">
        <f>'Pro Forma Adj'!B63</f>
        <v>56207.192047362681</v>
      </c>
      <c r="J60" s="13">
        <f t="shared" si="15"/>
        <v>-6568902.1950605717</v>
      </c>
      <c r="L60" s="13"/>
      <c r="N60" s="13">
        <f t="shared" si="16"/>
        <v>-6568902.1950605717</v>
      </c>
    </row>
    <row r="61" spans="1:14">
      <c r="A61" s="15"/>
      <c r="B61" s="13"/>
      <c r="C61" s="13"/>
      <c r="D61" s="13"/>
      <c r="F61" s="13"/>
      <c r="H61" s="13"/>
      <c r="J61" s="13"/>
      <c r="L61" s="13"/>
      <c r="N61" s="13">
        <f t="shared" si="16"/>
        <v>0</v>
      </c>
    </row>
    <row r="62" spans="1:14" ht="13.5" thickBot="1">
      <c r="A62" s="15" t="s">
        <v>105</v>
      </c>
      <c r="B62" s="14">
        <f>SUM(B54:B60)</f>
        <v>-747879265.27939713</v>
      </c>
      <c r="C62" s="13"/>
      <c r="D62" s="14">
        <f>SUM(D54:D60)</f>
        <v>-15247524.817124221</v>
      </c>
      <c r="F62" s="14">
        <f>SUM(F54:F60)</f>
        <v>-763126790.0965215</v>
      </c>
      <c r="H62" s="14">
        <f>SUM(H54:H60)</f>
        <v>15719848.282999719</v>
      </c>
      <c r="J62" s="14">
        <f>SUM(J54:J60)</f>
        <v>-747406941.81352174</v>
      </c>
      <c r="L62" s="14">
        <f>SUM(L54:L60)</f>
        <v>0</v>
      </c>
      <c r="N62" s="14">
        <f>SUM(N54:N60)</f>
        <v>-747406941.81352174</v>
      </c>
    </row>
    <row r="63" spans="1:14" ht="13.5" thickTop="1">
      <c r="A63" s="15"/>
      <c r="B63" s="13"/>
      <c r="C63" s="13"/>
      <c r="D63" s="13"/>
      <c r="F63" s="13"/>
      <c r="H63" s="13"/>
      <c r="J63" s="13"/>
      <c r="L63" s="13"/>
      <c r="N63" s="13"/>
    </row>
    <row r="64" spans="1:14" ht="13.5" thickBot="1">
      <c r="A64" s="15" t="s">
        <v>106</v>
      </c>
      <c r="B64" s="14">
        <f>B51+B62</f>
        <v>757510776.52255499</v>
      </c>
      <c r="C64" s="13"/>
      <c r="D64" s="14">
        <f>D51+D62</f>
        <v>-3758155.1200532913</v>
      </c>
      <c r="F64" s="14">
        <f>F51+F62</f>
        <v>753752621.40250146</v>
      </c>
      <c r="H64" s="14">
        <f>H51+H62</f>
        <v>-3256780.8848090786</v>
      </c>
      <c r="J64" s="14">
        <f>J51+J62</f>
        <v>750495840.51769245</v>
      </c>
      <c r="L64" s="14">
        <f>L51+L62</f>
        <v>0</v>
      </c>
      <c r="N64" s="14">
        <f>N51+N62</f>
        <v>750495840.51769245</v>
      </c>
    </row>
    <row r="65" spans="1:14" ht="13.5" thickTop="1">
      <c r="A65" s="15"/>
      <c r="B65" s="13"/>
      <c r="C65" s="13"/>
      <c r="D65" s="13"/>
      <c r="F65" s="13"/>
      <c r="H65" s="13"/>
      <c r="J65" s="13"/>
      <c r="L65" s="13"/>
      <c r="N65" s="13"/>
    </row>
    <row r="66" spans="1:14">
      <c r="A66" s="15" t="s">
        <v>55</v>
      </c>
      <c r="B66" s="29">
        <f>B37/B64</f>
        <v>5.1955258174120805E-2</v>
      </c>
      <c r="C66" s="29"/>
      <c r="D66" s="29">
        <f>F66-B66</f>
        <v>1.2700429515607611E-2</v>
      </c>
      <c r="F66" s="29">
        <f>F37/F64</f>
        <v>6.4655687689728417E-2</v>
      </c>
      <c r="H66" s="29">
        <f>J66-F66</f>
        <v>1.3411836870335078E-2</v>
      </c>
      <c r="J66" s="29">
        <f>J37/J64</f>
        <v>7.8067524560063495E-2</v>
      </c>
      <c r="L66" s="29">
        <f>N66-J66</f>
        <v>-6.6752456006352601E-4</v>
      </c>
      <c r="N66" s="29">
        <f>N37/N64</f>
        <v>7.7399999999999969E-2</v>
      </c>
    </row>
    <row r="67" spans="1:14">
      <c r="A67" s="15" t="s">
        <v>107</v>
      </c>
      <c r="B67" s="29">
        <f>(B66-Weighted_cost_debt-Weighted_cost_pref)/Percent_common</f>
        <v>4.6123743735480255E-2</v>
      </c>
      <c r="C67" s="29"/>
      <c r="D67" s="29">
        <f>F67-B67</f>
        <v>2.5866455225270077E-2</v>
      </c>
      <c r="F67" s="29">
        <f>(F66-Weighted_cost_debt-Weighted_cost_pref)/Percent_common</f>
        <v>7.1990198960750332E-2</v>
      </c>
      <c r="H67" s="29">
        <f>J67-F67</f>
        <v>2.7315350041415651E-2</v>
      </c>
      <c r="J67" s="29">
        <f>(J66-Weighted_cost_debt-Weighted_cost_pref)/Percent_common</f>
        <v>9.9305549002165983E-2</v>
      </c>
      <c r="L67" s="29">
        <f>N67-J67</f>
        <v>-1.3055490021659788E-3</v>
      </c>
      <c r="N67" s="29">
        <f>ROUND((N66-Weighted_cost_debt-Weighted_cost_pref)/Percent_common,3)</f>
        <v>9.8000000000000004E-2</v>
      </c>
    </row>
    <row r="68" spans="1:14" hidden="1">
      <c r="A68" s="15" t="s">
        <v>53</v>
      </c>
      <c r="B68" s="13">
        <f>-(B37-(B64*Overall_ROR))/gross_up_factor</f>
        <v>31076642.759843405</v>
      </c>
      <c r="C68" s="13"/>
      <c r="D68" s="13">
        <f>-(D37-(D64*Overall_ROR))/gross_up_factor</f>
        <v>-15588745.025391221</v>
      </c>
      <c r="F68" s="13">
        <f>-(F37-(F64*Overall_ROR))/gross_up_factor</f>
        <v>15487897.734452348</v>
      </c>
      <c r="H68" s="13">
        <f>-(H37-(H64*Overall_ROR))/gross_up_factor</f>
        <v>-16295621.330168527</v>
      </c>
      <c r="J68" s="13">
        <f>-(J37-(J64*Overall_ROR))/gross_up_factor</f>
        <v>-807723.59571619297</v>
      </c>
      <c r="L68" s="13"/>
      <c r="N68" s="13"/>
    </row>
    <row r="69" spans="1:14" hidden="1">
      <c r="A69" s="15"/>
      <c r="B69" s="27"/>
      <c r="C69" s="27"/>
      <c r="D69" s="27"/>
      <c r="F69" s="27"/>
      <c r="H69" s="27"/>
      <c r="J69" s="27"/>
      <c r="L69" s="27"/>
      <c r="N69" s="27"/>
    </row>
    <row r="70" spans="1:14" hidden="1">
      <c r="A70" s="15" t="s">
        <v>108</v>
      </c>
      <c r="B70" s="13"/>
      <c r="C70" s="13"/>
      <c r="D70" s="13"/>
      <c r="F70" s="13"/>
      <c r="H70" s="13"/>
      <c r="J70" s="13"/>
      <c r="L70" s="13"/>
      <c r="N70" s="13"/>
    </row>
    <row r="71" spans="1:14" hidden="1">
      <c r="A71" s="15" t="s">
        <v>109</v>
      </c>
      <c r="B71" s="13">
        <f t="shared" ref="B71:N71" si="17">B13-B26-B27-B28-B29-B34</f>
        <v>48491627.679538943</v>
      </c>
      <c r="C71" s="13"/>
      <c r="D71" s="13">
        <f t="shared" si="17"/>
        <v>10125496.330785833</v>
      </c>
      <c r="F71" s="13">
        <f t="shared" si="17"/>
        <v>58617124.010324851</v>
      </c>
      <c r="H71" s="13">
        <f t="shared" si="17"/>
        <v>14636806.504739149</v>
      </c>
      <c r="J71" s="13">
        <f t="shared" si="17"/>
        <v>73253930.515063941</v>
      </c>
      <c r="L71" s="13">
        <f t="shared" si="17"/>
        <v>-770729.85503239138</v>
      </c>
      <c r="N71" s="13">
        <f t="shared" si="17"/>
        <v>72483200.660031572</v>
      </c>
    </row>
    <row r="72" spans="1:14" hidden="1">
      <c r="A72" s="15" t="s">
        <v>110</v>
      </c>
      <c r="B72" s="13">
        <f>[2]Results!$C73</f>
        <v>0</v>
      </c>
      <c r="C72" s="13"/>
      <c r="D72" s="13"/>
      <c r="F72" s="13">
        <f t="shared" ref="F72:F76" si="18">B72+D72</f>
        <v>0</v>
      </c>
      <c r="H72" s="13"/>
      <c r="J72" s="13"/>
      <c r="L72" s="13"/>
      <c r="N72" s="13"/>
    </row>
    <row r="73" spans="1:14" hidden="1">
      <c r="A73" s="15" t="s">
        <v>111</v>
      </c>
      <c r="B73" s="13">
        <f>[2]Results!$C74</f>
        <v>-5402816.7261669245</v>
      </c>
      <c r="C73" s="13"/>
      <c r="D73" s="13">
        <f>'Restating Adj'!B76</f>
        <v>239226.0290480254</v>
      </c>
      <c r="F73" s="13">
        <f t="shared" si="18"/>
        <v>-5163590.6971188989</v>
      </c>
      <c r="H73" s="13">
        <f>'Pro Forma Adj'!B76</f>
        <v>0</v>
      </c>
      <c r="J73" s="13">
        <f t="shared" ref="J73:J76" si="19">F73+H73</f>
        <v>-5163590.6971188989</v>
      </c>
      <c r="L73" s="13"/>
      <c r="N73" s="13">
        <f t="shared" ref="N73:N76" si="20">J73+L73</f>
        <v>-5163590.6971188989</v>
      </c>
    </row>
    <row r="74" spans="1:14" hidden="1">
      <c r="A74" s="15" t="s">
        <v>112</v>
      </c>
      <c r="B74" s="13">
        <f>[2]Results!$C75</f>
        <v>22961344.056319799</v>
      </c>
      <c r="C74" s="13"/>
      <c r="D74" s="13">
        <f>'Restating Adj'!B77</f>
        <v>-992771.65397105366</v>
      </c>
      <c r="F74" s="13">
        <f t="shared" si="18"/>
        <v>21968572.402348746</v>
      </c>
      <c r="H74" s="13">
        <f>'Pro Forma Adj'!B77</f>
        <v>-94920.83295628801</v>
      </c>
      <c r="J74" s="13">
        <f t="shared" si="19"/>
        <v>21873651.569392458</v>
      </c>
      <c r="L74" s="13"/>
      <c r="N74" s="13">
        <f t="shared" si="20"/>
        <v>21873651.569392458</v>
      </c>
    </row>
    <row r="75" spans="1:14" hidden="1">
      <c r="A75" s="15" t="s">
        <v>113</v>
      </c>
      <c r="B75" s="13">
        <f>[2]Results!$C76</f>
        <v>69682519.662425429</v>
      </c>
      <c r="C75" s="13"/>
      <c r="D75" s="13">
        <f>'Restating Adj'!B78</f>
        <v>-4945929.2323369179</v>
      </c>
      <c r="E75" s="26"/>
      <c r="F75" s="13">
        <f t="shared" si="18"/>
        <v>64736590.430088513</v>
      </c>
      <c r="G75" s="26"/>
      <c r="H75" s="13">
        <f>'Pro Forma Adj'!B78</f>
        <v>682548.26504344889</v>
      </c>
      <c r="J75" s="13">
        <f t="shared" si="19"/>
        <v>65419138.695131965</v>
      </c>
      <c r="L75" s="13"/>
      <c r="N75" s="13">
        <f t="shared" si="20"/>
        <v>65419138.695131965</v>
      </c>
    </row>
    <row r="76" spans="1:14" hidden="1">
      <c r="A76" s="15" t="s">
        <v>114</v>
      </c>
      <c r="B76" s="12">
        <f>[2]Results!$C77</f>
        <v>126084593.94117269</v>
      </c>
      <c r="C76" s="13"/>
      <c r="D76" s="12">
        <f>'Restating Adj'!B79</f>
        <v>116992.72253218386</v>
      </c>
      <c r="E76" s="26"/>
      <c r="F76" s="12">
        <f t="shared" si="18"/>
        <v>126201586.66370487</v>
      </c>
      <c r="G76" s="26"/>
      <c r="H76" s="12">
        <f>'Pro Forma Adj'!B79</f>
        <v>1375958.3254740317</v>
      </c>
      <c r="J76" s="12">
        <f t="shared" si="19"/>
        <v>127577544.98917891</v>
      </c>
      <c r="L76" s="12"/>
      <c r="N76" s="12">
        <f t="shared" si="20"/>
        <v>127577544.98917891</v>
      </c>
    </row>
    <row r="77" spans="1:14" hidden="1">
      <c r="A77" s="15" t="s">
        <v>115</v>
      </c>
      <c r="B77" s="13">
        <f t="shared" ref="B77:N77" si="21">B71-B73-B74+B75-B76</f>
        <v>-25468973.929361194</v>
      </c>
      <c r="C77" s="13"/>
      <c r="D77" s="13">
        <f t="shared" si="21"/>
        <v>5816120.0008397596</v>
      </c>
      <c r="E77" s="26"/>
      <c r="F77" s="13">
        <f t="shared" si="21"/>
        <v>-19652853.928521365</v>
      </c>
      <c r="G77" s="26"/>
      <c r="H77" s="13">
        <f t="shared" si="21"/>
        <v>14038317.277264854</v>
      </c>
      <c r="J77" s="13">
        <f t="shared" si="21"/>
        <v>-5614536.6512565762</v>
      </c>
      <c r="L77" s="13">
        <f t="shared" si="21"/>
        <v>-770729.85503239138</v>
      </c>
      <c r="N77" s="13">
        <f t="shared" si="21"/>
        <v>-6385266.5062889308</v>
      </c>
    </row>
    <row r="78" spans="1:14" hidden="1">
      <c r="A78" s="15"/>
      <c r="B78" s="13"/>
      <c r="C78" s="13"/>
      <c r="D78" s="13"/>
      <c r="E78" s="26"/>
      <c r="F78" s="13"/>
      <c r="G78" s="26"/>
      <c r="H78" s="13"/>
      <c r="J78" s="13"/>
      <c r="L78" s="13"/>
      <c r="N78" s="13"/>
    </row>
    <row r="79" spans="1:14" hidden="1">
      <c r="A79" s="15" t="s">
        <v>116</v>
      </c>
      <c r="B79" s="13">
        <v>0</v>
      </c>
      <c r="C79" s="13"/>
      <c r="D79" s="13">
        <v>0</v>
      </c>
      <c r="E79" s="26"/>
      <c r="F79" s="13">
        <v>0</v>
      </c>
      <c r="G79" s="26"/>
      <c r="H79" s="13">
        <v>0</v>
      </c>
      <c r="J79" s="13">
        <v>0</v>
      </c>
      <c r="L79" s="13">
        <v>0</v>
      </c>
      <c r="N79" s="13">
        <v>0</v>
      </c>
    </row>
    <row r="80" spans="1:14" hidden="1">
      <c r="A80" s="15" t="s">
        <v>117</v>
      </c>
      <c r="B80" s="13">
        <f>B77-B79</f>
        <v>-25468973.929361194</v>
      </c>
      <c r="C80" s="13"/>
      <c r="D80" s="13">
        <f>D77-D79</f>
        <v>5816120.0008397596</v>
      </c>
      <c r="E80" s="26"/>
      <c r="F80" s="13">
        <f>F77-F79</f>
        <v>-19652853.928521365</v>
      </c>
      <c r="G80" s="26"/>
      <c r="H80" s="13">
        <f>H77-H79</f>
        <v>14038317.277264854</v>
      </c>
      <c r="J80" s="13">
        <f>J77-J79</f>
        <v>-5614536.6512565762</v>
      </c>
      <c r="L80" s="13">
        <f>L77-L79</f>
        <v>-770729.85503239138</v>
      </c>
      <c r="N80" s="13">
        <f>N77-N79</f>
        <v>-6385266.5062889308</v>
      </c>
    </row>
    <row r="81" spans="1:14" hidden="1">
      <c r="A81" s="15"/>
      <c r="B81" s="13"/>
      <c r="C81" s="13"/>
      <c r="D81" s="13"/>
      <c r="E81" s="26"/>
      <c r="F81" s="13"/>
      <c r="G81" s="26"/>
      <c r="H81" s="13"/>
      <c r="J81" s="13"/>
      <c r="L81" s="13"/>
      <c r="N81" s="13"/>
    </row>
    <row r="82" spans="1:14" hidden="1">
      <c r="A82" s="15" t="s">
        <v>166</v>
      </c>
      <c r="B82" s="13">
        <f>B80*0.35</f>
        <v>-8914140.8752764165</v>
      </c>
      <c r="C82" s="13"/>
      <c r="D82" s="13">
        <f>D80*0.35</f>
        <v>2035642.0002939156</v>
      </c>
      <c r="E82" s="26"/>
      <c r="F82" s="13">
        <f>F80*0.35</f>
        <v>-6878498.8749824772</v>
      </c>
      <c r="G82" s="26"/>
      <c r="H82" s="13">
        <f>H80*0.35</f>
        <v>4913411.0470426986</v>
      </c>
      <c r="J82" s="13">
        <f>J80*0.35</f>
        <v>-1965087.8279398016</v>
      </c>
      <c r="L82" s="13">
        <f>L80*0.35</f>
        <v>-269755.44926133699</v>
      </c>
      <c r="N82" s="13">
        <f>N80*0.35</f>
        <v>-2234843.2772011254</v>
      </c>
    </row>
    <row r="83" spans="1:14" hidden="1">
      <c r="A83" s="15" t="s">
        <v>167</v>
      </c>
      <c r="B83" s="13">
        <f>[2]Results!$C$264</f>
        <v>-4530657.6032752618</v>
      </c>
      <c r="C83" s="13"/>
      <c r="D83" s="13">
        <f>'Restating Adj'!B86</f>
        <v>0</v>
      </c>
      <c r="E83" s="26"/>
      <c r="F83" s="13">
        <f t="shared" ref="F83" si="22">B83+D83</f>
        <v>-4530657.6032752618</v>
      </c>
      <c r="G83" s="26"/>
      <c r="H83" s="13">
        <f>'Pro Forma Adj'!B86</f>
        <v>-1105653.619989312</v>
      </c>
      <c r="J83" s="13">
        <f t="shared" ref="J83" si="23">F83+H83</f>
        <v>-5636311.2232645741</v>
      </c>
      <c r="L83" s="13"/>
      <c r="N83" s="13">
        <f t="shared" ref="N83" si="24">J83+L83</f>
        <v>-5636311.2232645741</v>
      </c>
    </row>
    <row r="84" spans="1:14" hidden="1">
      <c r="A84" s="15" t="s">
        <v>168</v>
      </c>
      <c r="B84" s="13">
        <f>B82+B83</f>
        <v>-13444798.478551678</v>
      </c>
      <c r="C84" s="13"/>
      <c r="D84" s="13">
        <f>D82+D83</f>
        <v>2035642.0002939156</v>
      </c>
      <c r="E84" s="26"/>
      <c r="F84" s="13">
        <f>F82+F83</f>
        <v>-11409156.478257738</v>
      </c>
      <c r="G84" s="26"/>
      <c r="H84" s="13">
        <f>H82+H83</f>
        <v>3807757.4270533863</v>
      </c>
      <c r="J84" s="13">
        <f>J82+J83</f>
        <v>-7601399.0512043759</v>
      </c>
      <c r="L84" s="13">
        <f>L82+L83</f>
        <v>-269755.44926133699</v>
      </c>
      <c r="N84" s="13">
        <f>N82+N83</f>
        <v>-7871154.5004656995</v>
      </c>
    </row>
    <row r="85" spans="1:14" hidden="1">
      <c r="A85" s="15"/>
      <c r="B85" s="13"/>
      <c r="C85" s="13"/>
      <c r="D85" s="13"/>
      <c r="F85" s="13"/>
      <c r="H85" s="13"/>
      <c r="J85" s="13"/>
      <c r="L85" s="13"/>
      <c r="N85" s="13"/>
    </row>
    <row r="86" spans="1:14">
      <c r="A86" s="15"/>
      <c r="B86" s="13"/>
      <c r="C86" s="13"/>
      <c r="D86" s="13"/>
      <c r="E86" s="26"/>
      <c r="F86" s="13"/>
      <c r="G86" s="26"/>
      <c r="H86" s="13"/>
      <c r="J86" s="13"/>
      <c r="L86" s="13"/>
      <c r="N86" s="13"/>
    </row>
    <row r="87" spans="1:14">
      <c r="A87" s="15"/>
      <c r="B87" s="13"/>
      <c r="C87" s="13"/>
      <c r="D87" s="13"/>
      <c r="E87" s="26"/>
      <c r="F87" s="13"/>
      <c r="G87" s="26"/>
      <c r="H87" s="13"/>
      <c r="J87" s="13"/>
      <c r="L87" s="13"/>
      <c r="N87" s="13"/>
    </row>
    <row r="88" spans="1:14">
      <c r="A88" s="15"/>
      <c r="B88" s="13"/>
      <c r="C88" s="13"/>
      <c r="D88" s="13"/>
      <c r="E88" s="26"/>
      <c r="F88" s="13"/>
      <c r="G88" s="26"/>
      <c r="H88" s="13"/>
      <c r="J88" s="13"/>
      <c r="L88" s="13"/>
      <c r="N88" s="13"/>
    </row>
    <row r="89" spans="1:14">
      <c r="A89" s="15"/>
      <c r="B89" s="13"/>
      <c r="C89" s="13"/>
      <c r="D89" s="13"/>
      <c r="E89" s="26"/>
      <c r="F89" s="13"/>
      <c r="G89" s="26"/>
      <c r="H89" s="13"/>
      <c r="J89" s="13"/>
      <c r="L89" s="13"/>
      <c r="N89" s="13"/>
    </row>
    <row r="90" spans="1:14">
      <c r="A90" s="28"/>
      <c r="B90" s="13"/>
      <c r="C90" s="13"/>
      <c r="D90" s="13"/>
      <c r="E90" s="26"/>
      <c r="F90" s="13"/>
      <c r="G90" s="26"/>
      <c r="H90" s="13"/>
      <c r="J90" s="13"/>
      <c r="L90" s="13"/>
      <c r="N90" s="13"/>
    </row>
    <row r="91" spans="1:14">
      <c r="A91" s="26"/>
      <c r="B91" s="10"/>
      <c r="C91" s="10"/>
      <c r="D91" s="10"/>
      <c r="F91" s="10"/>
      <c r="H91" s="10"/>
      <c r="J91" s="10"/>
      <c r="L91" s="10"/>
      <c r="N91" s="10"/>
    </row>
    <row r="92" spans="1:14">
      <c r="A92" s="26"/>
    </row>
    <row r="93" spans="1:14">
      <c r="A93" s="26"/>
    </row>
    <row r="94" spans="1:14">
      <c r="A94" s="26"/>
    </row>
    <row r="95" spans="1:14">
      <c r="A95" s="26"/>
    </row>
    <row r="96" spans="1:14">
      <c r="A96" s="26"/>
    </row>
    <row r="97" spans="1:1">
      <c r="A97" s="26"/>
    </row>
    <row r="98" spans="1:1">
      <c r="A98" s="26"/>
    </row>
    <row r="99" spans="1:1">
      <c r="A99" s="26"/>
    </row>
    <row r="100" spans="1:1">
      <c r="A100" s="26"/>
    </row>
    <row r="101" spans="1:1">
      <c r="A101" s="26"/>
    </row>
    <row r="102" spans="1:1">
      <c r="A102" s="26"/>
    </row>
    <row r="103" spans="1:1">
      <c r="A103" s="26"/>
    </row>
    <row r="104" spans="1:1">
      <c r="A104" s="26"/>
    </row>
    <row r="105" spans="1:1">
      <c r="A105" s="26"/>
    </row>
    <row r="106" spans="1:1">
      <c r="A106" s="26"/>
    </row>
    <row r="107" spans="1:1">
      <c r="A107" s="26"/>
    </row>
    <row r="108" spans="1:1">
      <c r="A108" s="26"/>
    </row>
    <row r="109" spans="1:1">
      <c r="A109" s="26"/>
    </row>
    <row r="110" spans="1:1">
      <c r="A110" s="26"/>
    </row>
    <row r="111" spans="1:1">
      <c r="A111" s="26"/>
    </row>
    <row r="112" spans="1:1">
      <c r="A112" s="26"/>
    </row>
    <row r="113" spans="1:1">
      <c r="A113" s="26"/>
    </row>
    <row r="114" spans="1:1">
      <c r="A114" s="26"/>
    </row>
    <row r="115" spans="1:1">
      <c r="A115" s="26"/>
    </row>
    <row r="116" spans="1:1">
      <c r="A116" s="26"/>
    </row>
    <row r="117" spans="1:1">
      <c r="A117" s="26"/>
    </row>
    <row r="118" spans="1:1">
      <c r="A118" s="26"/>
    </row>
    <row r="119" spans="1:1">
      <c r="A119" s="26"/>
    </row>
    <row r="120" spans="1:1">
      <c r="A120" s="26"/>
    </row>
    <row r="121" spans="1:1">
      <c r="A121" s="26"/>
    </row>
    <row r="122" spans="1:1">
      <c r="A122" s="26"/>
    </row>
    <row r="123" spans="1:1">
      <c r="A123" s="26"/>
    </row>
    <row r="124" spans="1:1">
      <c r="A124" s="26"/>
    </row>
    <row r="125" spans="1:1">
      <c r="A125" s="26"/>
    </row>
    <row r="126" spans="1:1">
      <c r="A126" s="26"/>
    </row>
    <row r="127" spans="1:1">
      <c r="A127" s="26"/>
    </row>
    <row r="128" spans="1:1">
      <c r="A128" s="26"/>
    </row>
    <row r="129" spans="1:1">
      <c r="A129" s="26"/>
    </row>
    <row r="130" spans="1:1">
      <c r="A130" s="26"/>
    </row>
    <row r="131" spans="1:1">
      <c r="A131" s="26"/>
    </row>
    <row r="132" spans="1:1">
      <c r="A132" s="26"/>
    </row>
    <row r="133" spans="1:1">
      <c r="A133" s="26"/>
    </row>
    <row r="134" spans="1:1">
      <c r="A134" s="26"/>
    </row>
    <row r="135" spans="1:1">
      <c r="A135" s="26"/>
    </row>
    <row r="136" spans="1:1">
      <c r="A136" s="26"/>
    </row>
    <row r="137" spans="1:1">
      <c r="A137" s="26"/>
    </row>
    <row r="138" spans="1:1">
      <c r="A138" s="26"/>
    </row>
    <row r="139" spans="1:1">
      <c r="A139" s="26"/>
    </row>
    <row r="140" spans="1:1">
      <c r="A140" s="26"/>
    </row>
    <row r="141" spans="1:1">
      <c r="A141" s="26"/>
    </row>
    <row r="142" spans="1:1">
      <c r="A142" s="26"/>
    </row>
    <row r="143" spans="1:1">
      <c r="A143" s="26"/>
    </row>
    <row r="144" spans="1:1">
      <c r="A144" s="26"/>
    </row>
    <row r="145" spans="1:1">
      <c r="A145" s="26"/>
    </row>
    <row r="146" spans="1:1">
      <c r="A146" s="26"/>
    </row>
    <row r="147" spans="1:1">
      <c r="A147" s="26"/>
    </row>
  </sheetData>
  <phoneticPr fontId="4" type="noConversion"/>
  <pageMargins left="0.5" right="0.5" top="0.91" bottom="0.5" header="0.5" footer="0.5"/>
  <pageSetup scale="70" orientation="portrait" r:id="rId1"/>
  <headerFooter alignWithMargins="0"/>
</worksheet>
</file>

<file path=xl/worksheets/sheet20.xml><?xml version="1.0" encoding="utf-8"?>
<worksheet xmlns="http://schemas.openxmlformats.org/spreadsheetml/2006/main" xmlns:r="http://schemas.openxmlformats.org/officeDocument/2006/relationships">
  <sheetPr codeName="Sheet5"/>
  <dimension ref="A1:W94"/>
  <sheetViews>
    <sheetView view="pageBreakPreview" zoomScale="85" zoomScaleNormal="85" zoomScaleSheetLayoutView="85" workbookViewId="0">
      <pane xSplit="1" ySplit="9" topLeftCell="P10" activePane="bottomRight" state="frozen"/>
      <selection activeCell="C3" sqref="C3"/>
      <selection pane="topRight" activeCell="C3" sqref="C3"/>
      <selection pane="bottomLeft" activeCell="C3" sqref="C3"/>
      <selection pane="bottomRight" activeCell="L22" sqref="L22:L24"/>
    </sheetView>
  </sheetViews>
  <sheetFormatPr defaultRowHeight="12.75"/>
  <cols>
    <col min="1" max="1" width="37" style="19" customWidth="1"/>
    <col min="2" max="6" width="13.7109375" style="19" customWidth="1"/>
    <col min="7" max="7" width="13.7109375" style="2" customWidth="1"/>
    <col min="8" max="8" width="16" style="19" customWidth="1"/>
    <col min="9" max="9" width="13.7109375" style="19" customWidth="1"/>
    <col min="10" max="10" width="13.7109375" style="2" customWidth="1"/>
    <col min="11" max="19" width="13.7109375" style="19" customWidth="1"/>
    <col min="20" max="20" width="13.7109375" style="2" customWidth="1"/>
    <col min="21" max="23" width="13.7109375" style="19" customWidth="1"/>
    <col min="24" max="16384" width="9.140625" style="19"/>
  </cols>
  <sheetData>
    <row r="1" spans="1:23">
      <c r="A1" s="239" t="s">
        <v>52</v>
      </c>
    </row>
    <row r="2" spans="1:23">
      <c r="A2" s="236" t="s">
        <v>225</v>
      </c>
    </row>
    <row r="3" spans="1:23">
      <c r="A3" s="237" t="s">
        <v>268</v>
      </c>
    </row>
    <row r="4" spans="1:23">
      <c r="A4" s="238"/>
    </row>
    <row r="5" spans="1:23">
      <c r="A5" s="236"/>
    </row>
    <row r="6" spans="1:23" ht="13.5" thickBot="1">
      <c r="B6" s="2"/>
      <c r="M6" s="84"/>
      <c r="P6" s="84"/>
      <c r="Q6" s="84"/>
      <c r="V6" s="84"/>
      <c r="W6" s="84"/>
    </row>
    <row r="7" spans="1:23" ht="13.5" thickBot="1">
      <c r="A7" s="239"/>
      <c r="B7" s="264"/>
      <c r="C7" s="6" t="s">
        <v>39</v>
      </c>
      <c r="D7" s="7"/>
      <c r="E7" s="7"/>
      <c r="F7" s="7"/>
      <c r="G7" s="9"/>
      <c r="H7" s="6" t="s">
        <v>40</v>
      </c>
      <c r="I7" s="265"/>
      <c r="J7" s="265"/>
      <c r="K7" s="265"/>
      <c r="L7" s="265"/>
      <c r="M7" s="6" t="s">
        <v>41</v>
      </c>
      <c r="N7" s="9"/>
      <c r="O7" s="266" t="s">
        <v>37</v>
      </c>
      <c r="P7" s="865" t="s">
        <v>42</v>
      </c>
      <c r="Q7" s="866"/>
      <c r="R7" s="867"/>
      <c r="S7" s="865" t="s">
        <v>43</v>
      </c>
      <c r="T7" s="866"/>
      <c r="U7" s="867"/>
      <c r="V7" s="6" t="s">
        <v>54</v>
      </c>
      <c r="W7" s="160"/>
    </row>
    <row r="8" spans="1:23">
      <c r="B8" s="119"/>
      <c r="C8" s="120" t="s">
        <v>3</v>
      </c>
      <c r="D8" s="115" t="s">
        <v>4</v>
      </c>
      <c r="E8" s="115" t="s">
        <v>5</v>
      </c>
      <c r="F8" s="115" t="s">
        <v>6</v>
      </c>
      <c r="G8" s="116" t="s">
        <v>228</v>
      </c>
      <c r="H8" s="120" t="s">
        <v>8</v>
      </c>
      <c r="I8" s="115" t="s">
        <v>9</v>
      </c>
      <c r="J8" s="115" t="s">
        <v>11</v>
      </c>
      <c r="K8" s="115" t="s">
        <v>232</v>
      </c>
      <c r="L8" s="115" t="s">
        <v>252</v>
      </c>
      <c r="M8" s="120" t="s">
        <v>255</v>
      </c>
      <c r="N8" s="116" t="s">
        <v>50</v>
      </c>
      <c r="O8" s="119" t="s">
        <v>14</v>
      </c>
      <c r="P8" s="120" t="s">
        <v>15</v>
      </c>
      <c r="Q8" s="115" t="s">
        <v>16</v>
      </c>
      <c r="R8" s="116" t="s">
        <v>18</v>
      </c>
      <c r="S8" s="120" t="s">
        <v>27</v>
      </c>
      <c r="T8" s="115" t="s">
        <v>28</v>
      </c>
      <c r="U8" s="116" t="s">
        <v>275</v>
      </c>
      <c r="V8" s="120" t="s">
        <v>30</v>
      </c>
      <c r="W8" s="116" t="s">
        <v>51</v>
      </c>
    </row>
    <row r="9" spans="1:23" s="239" customFormat="1" ht="77.25" customHeight="1">
      <c r="B9" s="267" t="s">
        <v>279</v>
      </c>
      <c r="C9" s="156" t="s">
        <v>134</v>
      </c>
      <c r="D9" s="168" t="s">
        <v>251</v>
      </c>
      <c r="E9" s="168" t="s">
        <v>227</v>
      </c>
      <c r="F9" s="311" t="s">
        <v>121</v>
      </c>
      <c r="G9" s="314" t="s">
        <v>229</v>
      </c>
      <c r="H9" s="315" t="s">
        <v>278</v>
      </c>
      <c r="I9" s="168" t="s">
        <v>254</v>
      </c>
      <c r="J9" s="168" t="s">
        <v>136</v>
      </c>
      <c r="K9" s="168" t="s">
        <v>233</v>
      </c>
      <c r="L9" s="311" t="s">
        <v>253</v>
      </c>
      <c r="M9" s="315" t="s">
        <v>257</v>
      </c>
      <c r="N9" s="161" t="s">
        <v>135</v>
      </c>
      <c r="O9" s="267" t="s">
        <v>126</v>
      </c>
      <c r="P9" s="159" t="s">
        <v>127</v>
      </c>
      <c r="Q9" s="168" t="s">
        <v>269</v>
      </c>
      <c r="R9" s="161" t="s">
        <v>258</v>
      </c>
      <c r="S9" s="156" t="s">
        <v>137</v>
      </c>
      <c r="T9" s="168" t="s">
        <v>256</v>
      </c>
      <c r="U9" s="161" t="s">
        <v>276</v>
      </c>
      <c r="V9" s="315" t="s">
        <v>139</v>
      </c>
      <c r="W9" s="320" t="s">
        <v>140</v>
      </c>
    </row>
    <row r="10" spans="1:23">
      <c r="A10" s="2"/>
      <c r="B10" s="127"/>
      <c r="C10" s="39"/>
      <c r="D10" s="16"/>
      <c r="E10" s="16"/>
      <c r="F10" s="16"/>
      <c r="G10" s="125"/>
      <c r="H10" s="128"/>
      <c r="I10" s="16"/>
      <c r="J10" s="80"/>
      <c r="K10" s="80"/>
      <c r="L10" s="80"/>
      <c r="M10" s="128"/>
      <c r="N10" s="125"/>
      <c r="O10" s="127"/>
      <c r="P10" s="128"/>
      <c r="Q10" s="80"/>
      <c r="R10" s="126"/>
      <c r="S10" s="39"/>
      <c r="T10" s="80"/>
      <c r="U10" s="126"/>
      <c r="V10" s="39"/>
      <c r="W10" s="126"/>
    </row>
    <row r="11" spans="1:23">
      <c r="A11" s="18" t="s">
        <v>56</v>
      </c>
      <c r="B11" s="127"/>
      <c r="C11" s="39"/>
      <c r="D11" s="16"/>
      <c r="E11" s="16"/>
      <c r="F11" s="16"/>
      <c r="G11" s="125"/>
      <c r="H11" s="39"/>
      <c r="I11" s="16"/>
      <c r="J11" s="16"/>
      <c r="K11" s="16"/>
      <c r="L11" s="16"/>
      <c r="M11" s="39"/>
      <c r="N11" s="125"/>
      <c r="O11" s="127"/>
      <c r="P11" s="39"/>
      <c r="Q11" s="16"/>
      <c r="R11" s="125"/>
      <c r="S11" s="39"/>
      <c r="T11" s="16"/>
      <c r="U11" s="125"/>
      <c r="V11" s="39"/>
      <c r="W11" s="125"/>
    </row>
    <row r="12" spans="1:23">
      <c r="A12" s="18" t="s">
        <v>57</v>
      </c>
      <c r="B12" s="142">
        <f>SUM(C12:W12)</f>
        <v>33183479.159999996</v>
      </c>
      <c r="C12" s="40">
        <v>33183479.159999996</v>
      </c>
      <c r="D12" s="129"/>
      <c r="E12" s="129"/>
      <c r="F12" s="129"/>
      <c r="G12" s="130"/>
      <c r="H12" s="41"/>
      <c r="I12" s="129"/>
      <c r="J12" s="129"/>
      <c r="K12" s="129"/>
      <c r="L12" s="129"/>
      <c r="M12" s="41"/>
      <c r="N12" s="133"/>
      <c r="O12" s="132"/>
      <c r="P12" s="41"/>
      <c r="Q12" s="131"/>
      <c r="R12" s="133"/>
      <c r="S12" s="40"/>
      <c r="T12" s="129"/>
      <c r="U12" s="130"/>
      <c r="V12" s="40"/>
      <c r="W12" s="130"/>
    </row>
    <row r="13" spans="1:23">
      <c r="A13" s="18" t="s">
        <v>58</v>
      </c>
      <c r="B13" s="132">
        <f>SUM(C13:W13)</f>
        <v>0</v>
      </c>
      <c r="C13" s="41"/>
      <c r="D13" s="131"/>
      <c r="E13" s="131"/>
      <c r="F13" s="131"/>
      <c r="G13" s="133"/>
      <c r="H13" s="41"/>
      <c r="I13" s="131"/>
      <c r="J13" s="131"/>
      <c r="K13" s="131"/>
      <c r="L13" s="131"/>
      <c r="M13" s="41"/>
      <c r="N13" s="133"/>
      <c r="O13" s="132"/>
      <c r="P13" s="41"/>
      <c r="Q13" s="131"/>
      <c r="R13" s="133"/>
      <c r="S13" s="41"/>
      <c r="T13" s="129"/>
      <c r="U13" s="130"/>
      <c r="V13" s="41"/>
      <c r="W13" s="130"/>
    </row>
    <row r="14" spans="1:23">
      <c r="A14" s="18" t="s">
        <v>59</v>
      </c>
      <c r="B14" s="132">
        <f>SUM(C14:W14)</f>
        <v>-33733520.419695824</v>
      </c>
      <c r="C14" s="41"/>
      <c r="D14" s="131"/>
      <c r="E14" s="131"/>
      <c r="F14" s="131"/>
      <c r="G14" s="133"/>
      <c r="H14" s="41"/>
      <c r="I14" s="131"/>
      <c r="J14" s="131"/>
      <c r="K14" s="131"/>
      <c r="L14" s="131"/>
      <c r="M14" s="316">
        <f>'[11]Lead Sheet - Proforma'!$I$12</f>
        <v>-32991267.499196757</v>
      </c>
      <c r="N14" s="133"/>
      <c r="O14" s="132"/>
      <c r="P14" s="41"/>
      <c r="Q14" s="131"/>
      <c r="R14" s="133"/>
      <c r="S14" s="41"/>
      <c r="T14" s="129"/>
      <c r="U14" s="130"/>
      <c r="V14" s="41"/>
      <c r="W14" s="130">
        <f>'[40]Lead Sheet'!$I$45</f>
        <v>-742252.92049907148</v>
      </c>
    </row>
    <row r="15" spans="1:23">
      <c r="A15" s="18" t="s">
        <v>60</v>
      </c>
      <c r="B15" s="132">
        <f>SUM(C15:W15)</f>
        <v>-7914206.1998940334</v>
      </c>
      <c r="C15" s="41"/>
      <c r="D15" s="131"/>
      <c r="E15" s="131">
        <v>-7852630.6646779515</v>
      </c>
      <c r="F15" s="312">
        <f>'[41]Lead Sheet WCA'!$I$11+'[41]Lead Sheet WCA'!$I$12+'[41]Lead Sheet WCA'!$I$13</f>
        <v>849551.79428265383</v>
      </c>
      <c r="G15" s="313">
        <f>'[42]Lead Sheet'!$I$9</f>
        <v>1007573.5681837318</v>
      </c>
      <c r="H15" s="41"/>
      <c r="I15" s="131"/>
      <c r="J15" s="131"/>
      <c r="K15" s="131"/>
      <c r="L15" s="131"/>
      <c r="M15" s="41"/>
      <c r="N15" s="133">
        <f>'[43]Lead Sheet WA'!$H$9</f>
        <v>1100536.4799877179</v>
      </c>
      <c r="O15" s="132"/>
      <c r="P15" s="41"/>
      <c r="Q15" s="131"/>
      <c r="R15" s="133"/>
      <c r="S15" s="41"/>
      <c r="T15" s="129">
        <f>'[44]Lead Sheet - WA '!$I$10</f>
        <v>-3000000</v>
      </c>
      <c r="U15" s="130"/>
      <c r="V15" s="41"/>
      <c r="W15" s="130">
        <f>'[40]Lead Sheet'!$I$55</f>
        <v>-19237.377670185408</v>
      </c>
    </row>
    <row r="16" spans="1:23">
      <c r="A16" s="18" t="s">
        <v>61</v>
      </c>
      <c r="B16" s="244">
        <f>SUM(C16:W16)</f>
        <v>-8464247.4595898669</v>
      </c>
      <c r="C16" s="42">
        <f t="shared" ref="C16:V16" si="0">SUM(C12:C15)</f>
        <v>33183479.159999996</v>
      </c>
      <c r="D16" s="134">
        <f t="shared" si="0"/>
        <v>0</v>
      </c>
      <c r="E16" s="134">
        <f t="shared" si="0"/>
        <v>-7852630.6646779515</v>
      </c>
      <c r="F16" s="134">
        <f t="shared" si="0"/>
        <v>849551.79428265383</v>
      </c>
      <c r="G16" s="135">
        <f t="shared" si="0"/>
        <v>1007573.5681837318</v>
      </c>
      <c r="H16" s="42">
        <f t="shared" si="0"/>
        <v>0</v>
      </c>
      <c r="I16" s="134">
        <f t="shared" si="0"/>
        <v>0</v>
      </c>
      <c r="J16" s="134">
        <f t="shared" si="0"/>
        <v>0</v>
      </c>
      <c r="K16" s="134">
        <f t="shared" si="0"/>
        <v>0</v>
      </c>
      <c r="L16" s="134">
        <f t="shared" si="0"/>
        <v>0</v>
      </c>
      <c r="M16" s="42">
        <f t="shared" si="0"/>
        <v>-32991267.499196757</v>
      </c>
      <c r="N16" s="135">
        <f t="shared" si="0"/>
        <v>1100536.4799877179</v>
      </c>
      <c r="O16" s="244">
        <f t="shared" si="0"/>
        <v>0</v>
      </c>
      <c r="P16" s="42">
        <f t="shared" si="0"/>
        <v>0</v>
      </c>
      <c r="Q16" s="134"/>
      <c r="R16" s="135">
        <f t="shared" si="0"/>
        <v>0</v>
      </c>
      <c r="S16" s="42">
        <f t="shared" si="0"/>
        <v>0</v>
      </c>
      <c r="T16" s="134">
        <f t="shared" si="0"/>
        <v>-3000000</v>
      </c>
      <c r="U16" s="135">
        <f t="shared" si="0"/>
        <v>0</v>
      </c>
      <c r="V16" s="42">
        <f t="shared" si="0"/>
        <v>0</v>
      </c>
      <c r="W16" s="135">
        <f>SUM(W12:W15)</f>
        <v>-761490.29816925689</v>
      </c>
    </row>
    <row r="17" spans="1:23">
      <c r="A17" s="18"/>
      <c r="B17" s="127"/>
      <c r="C17" s="39"/>
      <c r="D17" s="16"/>
      <c r="E17" s="16"/>
      <c r="F17" s="16"/>
      <c r="G17" s="125"/>
      <c r="H17" s="39"/>
      <c r="I17" s="16"/>
      <c r="J17" s="16"/>
      <c r="K17" s="16"/>
      <c r="L17" s="16"/>
      <c r="M17" s="39"/>
      <c r="N17" s="125"/>
      <c r="O17" s="127"/>
      <c r="P17" s="39"/>
      <c r="Q17" s="16"/>
      <c r="R17" s="125"/>
      <c r="S17" s="39"/>
      <c r="T17" s="16"/>
      <c r="U17" s="125"/>
      <c r="V17" s="39"/>
      <c r="W17" s="125"/>
    </row>
    <row r="18" spans="1:23">
      <c r="A18" s="18" t="s">
        <v>62</v>
      </c>
      <c r="B18" s="127"/>
      <c r="C18" s="39"/>
      <c r="D18" s="16"/>
      <c r="E18" s="16"/>
      <c r="F18" s="16"/>
      <c r="G18" s="125"/>
      <c r="H18" s="39"/>
      <c r="I18" s="16"/>
      <c r="J18" s="16"/>
      <c r="K18" s="16"/>
      <c r="L18" s="16"/>
      <c r="M18" s="39"/>
      <c r="N18" s="125"/>
      <c r="O18" s="127"/>
      <c r="P18" s="40"/>
      <c r="Q18" s="129"/>
      <c r="R18" s="125"/>
      <c r="S18" s="39"/>
      <c r="T18" s="16"/>
      <c r="U18" s="125"/>
      <c r="V18" s="39"/>
      <c r="W18" s="125"/>
    </row>
    <row r="19" spans="1:23">
      <c r="A19" s="18" t="s">
        <v>63</v>
      </c>
      <c r="B19" s="132">
        <f t="shared" ref="B19:B38" si="1">SUM(C19:W19)</f>
        <v>1407801.9860914284</v>
      </c>
      <c r="C19" s="41"/>
      <c r="D19" s="131"/>
      <c r="E19" s="131"/>
      <c r="F19" s="131"/>
      <c r="G19" s="133"/>
      <c r="H19" s="316">
        <f>SUM('[45]4.3'!$H$12:$H$22)</f>
        <v>0</v>
      </c>
      <c r="I19" s="131"/>
      <c r="J19" s="131"/>
      <c r="K19" s="131"/>
      <c r="L19" s="131"/>
      <c r="M19" s="316">
        <f>'[11]Lead Sheet - Proforma'!$I$27</f>
        <v>2371723.0291982596</v>
      </c>
      <c r="N19" s="133"/>
      <c r="O19" s="132"/>
      <c r="P19" s="41"/>
      <c r="Q19" s="131"/>
      <c r="R19" s="133"/>
      <c r="S19" s="41"/>
      <c r="T19" s="129"/>
      <c r="U19" s="130"/>
      <c r="V19" s="41">
        <f>SUM('[40]Lead Sheet'!$I$29:$I$33)</f>
        <v>-230396.0460892538</v>
      </c>
      <c r="W19" s="130">
        <f>'[40]Lead Sheet'!$I$51</f>
        <v>-733524.99701757729</v>
      </c>
    </row>
    <row r="20" spans="1:23">
      <c r="A20" s="18" t="s">
        <v>64</v>
      </c>
      <c r="B20" s="132">
        <f t="shared" si="1"/>
        <v>0</v>
      </c>
      <c r="C20" s="41"/>
      <c r="D20" s="131"/>
      <c r="E20" s="131"/>
      <c r="F20" s="131"/>
      <c r="G20" s="133"/>
      <c r="H20" s="41"/>
      <c r="I20" s="131"/>
      <c r="J20" s="131"/>
      <c r="K20" s="131"/>
      <c r="L20" s="131"/>
      <c r="M20" s="41"/>
      <c r="N20" s="133"/>
      <c r="O20" s="132"/>
      <c r="P20" s="41"/>
      <c r="Q20" s="131"/>
      <c r="R20" s="133"/>
      <c r="S20" s="41"/>
      <c r="T20" s="129"/>
      <c r="U20" s="130"/>
      <c r="V20" s="49"/>
      <c r="W20" s="130"/>
    </row>
    <row r="21" spans="1:23">
      <c r="A21" s="18" t="s">
        <v>65</v>
      </c>
      <c r="B21" s="132">
        <f t="shared" si="1"/>
        <v>-229179.88482946434</v>
      </c>
      <c r="C21" s="41"/>
      <c r="D21" s="131"/>
      <c r="E21" s="131"/>
      <c r="F21" s="131"/>
      <c r="G21" s="133"/>
      <c r="H21" s="316">
        <f>SUM('[45]4.3'!$H$23:$H$26)</f>
        <v>0</v>
      </c>
      <c r="I21" s="131"/>
      <c r="J21" s="131"/>
      <c r="K21" s="131"/>
      <c r="L21" s="131"/>
      <c r="M21" s="41"/>
      <c r="N21" s="133"/>
      <c r="O21" s="132"/>
      <c r="P21" s="41"/>
      <c r="Q21" s="131"/>
      <c r="R21" s="133"/>
      <c r="S21" s="41">
        <f>'[46]Lead Sheet'!$I$15</f>
        <v>-15030.02310173677</v>
      </c>
      <c r="T21" s="129"/>
      <c r="U21" s="130">
        <f>[47]Leadsheet!$I$16</f>
        <v>-92246.506611782112</v>
      </c>
      <c r="V21" s="41">
        <f>'[40]Lead Sheet'!$I$34</f>
        <v>-121903.35511594545</v>
      </c>
      <c r="W21" s="130"/>
    </row>
    <row r="22" spans="1:23">
      <c r="A22" s="18" t="s">
        <v>66</v>
      </c>
      <c r="B22" s="132">
        <f t="shared" si="1"/>
        <v>-19995413.363707144</v>
      </c>
      <c r="C22" s="41"/>
      <c r="D22" s="131"/>
      <c r="E22" s="131"/>
      <c r="F22" s="131"/>
      <c r="G22" s="133"/>
      <c r="H22" s="316">
        <f>SUM('[45]4.3'!$H$27:$H$35)</f>
        <v>0</v>
      </c>
      <c r="I22" s="131"/>
      <c r="J22" s="131"/>
      <c r="K22" s="131"/>
      <c r="L22" s="312">
        <f>'[10]4.11'!$H$40</f>
        <v>82851.118234178648</v>
      </c>
      <c r="M22" s="316">
        <f>'[11]Lead Sheet - Proforma'!$I$19+'[11]Lead Sheet - Proforma'!$I$28</f>
        <v>-18150818.786363181</v>
      </c>
      <c r="N22" s="133"/>
      <c r="O22" s="132"/>
      <c r="P22" s="41"/>
      <c r="Q22" s="131"/>
      <c r="R22" s="133"/>
      <c r="S22" s="41"/>
      <c r="T22" s="129"/>
      <c r="U22" s="130"/>
      <c r="V22" s="41">
        <f>SUM('[40]Lead Sheet'!$I$35:$I$42)</f>
        <v>-153789.95343334693</v>
      </c>
      <c r="W22" s="130">
        <f>SUM('[40]Lead Sheet'!$I$46:$I$48)+'[40]Lead Sheet'!$I$52</f>
        <v>-1773655.7421447977</v>
      </c>
    </row>
    <row r="23" spans="1:23">
      <c r="A23" s="18" t="s">
        <v>67</v>
      </c>
      <c r="B23" s="132">
        <f t="shared" si="1"/>
        <v>-3764609.2675194046</v>
      </c>
      <c r="C23" s="41"/>
      <c r="D23" s="131"/>
      <c r="E23" s="131"/>
      <c r="F23" s="131"/>
      <c r="G23" s="133"/>
      <c r="H23" s="316">
        <f>SUM('[45]4.3'!$H$36:$H$43)</f>
        <v>0</v>
      </c>
      <c r="I23" s="131"/>
      <c r="J23" s="131"/>
      <c r="K23" s="131"/>
      <c r="L23" s="312">
        <f>'[10]4.11'!$H$38</f>
        <v>160518.37103772757</v>
      </c>
      <c r="M23" s="316">
        <f>'[11]Lead Sheet - Proforma'!$I$24</f>
        <v>-3568926.1977596208</v>
      </c>
      <c r="N23" s="133"/>
      <c r="O23" s="132"/>
      <c r="P23" s="41"/>
      <c r="Q23" s="131"/>
      <c r="R23" s="133"/>
      <c r="S23" s="41"/>
      <c r="T23" s="129"/>
      <c r="U23" s="130"/>
      <c r="V23" s="41"/>
      <c r="W23" s="130">
        <f>'[40]Lead Sheet'!$I$49</f>
        <v>-356201.44079751149</v>
      </c>
    </row>
    <row r="24" spans="1:23">
      <c r="A24" s="18" t="s">
        <v>68</v>
      </c>
      <c r="B24" s="132">
        <f t="shared" si="1"/>
        <v>365620.68538776349</v>
      </c>
      <c r="C24" s="41"/>
      <c r="D24" s="131"/>
      <c r="E24" s="131"/>
      <c r="F24" s="131"/>
      <c r="G24" s="133"/>
      <c r="H24" s="316">
        <f>SUM('[45]4.3'!$H$44:$H$47)</f>
        <v>0</v>
      </c>
      <c r="I24" s="131"/>
      <c r="J24" s="131"/>
      <c r="K24" s="131"/>
      <c r="L24" s="312">
        <f>'[10]4.11'!$H$39</f>
        <v>365620.68538776349</v>
      </c>
      <c r="M24" s="41"/>
      <c r="N24" s="133"/>
      <c r="O24" s="132"/>
      <c r="P24" s="41"/>
      <c r="Q24" s="131"/>
      <c r="R24" s="133"/>
      <c r="S24" s="41"/>
      <c r="T24" s="129"/>
      <c r="U24" s="130"/>
      <c r="V24" s="41"/>
      <c r="W24" s="130"/>
    </row>
    <row r="25" spans="1:23">
      <c r="A25" s="18" t="s">
        <v>69</v>
      </c>
      <c r="B25" s="132">
        <f t="shared" si="1"/>
        <v>-1107198.5813119351</v>
      </c>
      <c r="C25" s="41"/>
      <c r="D25" s="131"/>
      <c r="E25" s="131"/>
      <c r="F25" s="131"/>
      <c r="G25" s="133"/>
      <c r="H25" s="316">
        <f>SUM('[45]4.3'!$H$48:$H$49)</f>
        <v>0</v>
      </c>
      <c r="I25" s="131">
        <f>'[48]Lead Sheet'!$I$11</f>
        <v>-1083728.1413119351</v>
      </c>
      <c r="J25" s="131"/>
      <c r="K25" s="131"/>
      <c r="L25" s="131"/>
      <c r="M25" s="41"/>
      <c r="N25" s="133"/>
      <c r="O25" s="132"/>
      <c r="P25" s="41"/>
      <c r="Q25" s="131"/>
      <c r="R25" s="133"/>
      <c r="S25" s="41"/>
      <c r="T25" s="129">
        <f>'[44]Lead Sheet - WA '!$I$11</f>
        <v>-23470.439999999988</v>
      </c>
      <c r="U25" s="130"/>
      <c r="V25" s="41"/>
      <c r="W25" s="130"/>
    </row>
    <row r="26" spans="1:23">
      <c r="A26" s="18" t="s">
        <v>70</v>
      </c>
      <c r="B26" s="132">
        <f t="shared" si="1"/>
        <v>0</v>
      </c>
      <c r="C26" s="41"/>
      <c r="D26" s="131"/>
      <c r="E26" s="131"/>
      <c r="F26" s="131"/>
      <c r="G26" s="133"/>
      <c r="H26" s="316">
        <f>'[45]4.3'!$H$50</f>
        <v>0</v>
      </c>
      <c r="I26" s="131"/>
      <c r="J26" s="131"/>
      <c r="K26" s="131"/>
      <c r="L26" s="131"/>
      <c r="M26" s="41"/>
      <c r="N26" s="133"/>
      <c r="O26" s="132"/>
      <c r="P26" s="41"/>
      <c r="Q26" s="131"/>
      <c r="R26" s="133"/>
      <c r="S26" s="41"/>
      <c r="T26" s="129"/>
      <c r="U26" s="130"/>
      <c r="V26" s="41"/>
      <c r="W26" s="130"/>
    </row>
    <row r="27" spans="1:23">
      <c r="A27" s="18" t="s">
        <v>71</v>
      </c>
      <c r="B27" s="132">
        <f t="shared" si="1"/>
        <v>0</v>
      </c>
      <c r="C27" s="41"/>
      <c r="D27" s="131"/>
      <c r="E27" s="131"/>
      <c r="F27" s="131"/>
      <c r="G27" s="133"/>
      <c r="H27" s="41"/>
      <c r="I27" s="131"/>
      <c r="J27" s="131"/>
      <c r="K27" s="131"/>
      <c r="L27" s="131"/>
      <c r="M27" s="41"/>
      <c r="N27" s="133"/>
      <c r="O27" s="132"/>
      <c r="P27" s="41"/>
      <c r="Q27" s="131"/>
      <c r="R27" s="133"/>
      <c r="S27" s="41"/>
      <c r="T27" s="129"/>
      <c r="U27" s="130"/>
      <c r="V27" s="41"/>
      <c r="W27" s="130"/>
    </row>
    <row r="28" spans="1:23">
      <c r="A28" s="18" t="s">
        <v>72</v>
      </c>
      <c r="B28" s="140">
        <f t="shared" si="1"/>
        <v>-771362.78533639375</v>
      </c>
      <c r="C28" s="43"/>
      <c r="D28" s="137"/>
      <c r="E28" s="137"/>
      <c r="F28" s="137"/>
      <c r="G28" s="139"/>
      <c r="H28" s="323">
        <f>SUM('[45]4.3'!$H$53:$H$56)</f>
        <v>0</v>
      </c>
      <c r="I28" s="137"/>
      <c r="J28" s="137">
        <f>'[49]4.6'!$I$11+'[49]4.6'!$I$12</f>
        <v>-4243.9566412224667</v>
      </c>
      <c r="K28" s="137"/>
      <c r="L28" s="325">
        <f>'[10]4.11'!$H$10+'[10]4.11'!$H$18+'[10]4.11'!$H$24+'[10]4.11'!$H$35</f>
        <v>-767118.82869517128</v>
      </c>
      <c r="M28" s="43"/>
      <c r="N28" s="139"/>
      <c r="O28" s="140"/>
      <c r="P28" s="43"/>
      <c r="Q28" s="137"/>
      <c r="R28" s="139"/>
      <c r="S28" s="43"/>
      <c r="T28" s="138"/>
      <c r="U28" s="151"/>
      <c r="V28" s="43"/>
      <c r="W28" s="151"/>
    </row>
    <row r="29" spans="1:23">
      <c r="A29" s="18" t="s">
        <v>73</v>
      </c>
      <c r="B29" s="127">
        <f t="shared" si="1"/>
        <v>-24094341.211225156</v>
      </c>
      <c r="C29" s="39">
        <f t="shared" ref="C29:V29" si="2">SUM(C19:C28)</f>
        <v>0</v>
      </c>
      <c r="D29" s="165">
        <f t="shared" si="2"/>
        <v>0</v>
      </c>
      <c r="E29" s="165">
        <f t="shared" si="2"/>
        <v>0</v>
      </c>
      <c r="F29" s="16">
        <f t="shared" si="2"/>
        <v>0</v>
      </c>
      <c r="G29" s="125">
        <f t="shared" si="2"/>
        <v>0</v>
      </c>
      <c r="H29" s="39">
        <f t="shared" si="2"/>
        <v>0</v>
      </c>
      <c r="I29" s="16">
        <f t="shared" si="2"/>
        <v>-1083728.1413119351</v>
      </c>
      <c r="J29" s="16">
        <f t="shared" si="2"/>
        <v>-4243.9566412224667</v>
      </c>
      <c r="K29" s="16">
        <f t="shared" si="2"/>
        <v>0</v>
      </c>
      <c r="L29" s="16">
        <f t="shared" si="2"/>
        <v>-158128.65403550165</v>
      </c>
      <c r="M29" s="39">
        <f t="shared" si="2"/>
        <v>-19348021.954924542</v>
      </c>
      <c r="N29" s="125">
        <f t="shared" si="2"/>
        <v>0</v>
      </c>
      <c r="O29" s="127">
        <f t="shared" si="2"/>
        <v>0</v>
      </c>
      <c r="P29" s="39">
        <f t="shared" si="2"/>
        <v>0</v>
      </c>
      <c r="Q29" s="16">
        <f t="shared" si="2"/>
        <v>0</v>
      </c>
      <c r="R29" s="125">
        <f t="shared" si="2"/>
        <v>0</v>
      </c>
      <c r="S29" s="39">
        <f t="shared" si="2"/>
        <v>-15030.02310173677</v>
      </c>
      <c r="T29" s="16">
        <f t="shared" si="2"/>
        <v>-23470.439999999988</v>
      </c>
      <c r="U29" s="125">
        <f t="shared" si="2"/>
        <v>-92246.506611782112</v>
      </c>
      <c r="V29" s="39">
        <f t="shared" si="2"/>
        <v>-506089.35463854618</v>
      </c>
      <c r="W29" s="125">
        <f t="shared" ref="W29" si="3">SUM(W19:W28)</f>
        <v>-2863382.1799598867</v>
      </c>
    </row>
    <row r="30" spans="1:23">
      <c r="A30" s="18" t="s">
        <v>74</v>
      </c>
      <c r="B30" s="132">
        <f t="shared" si="1"/>
        <v>-361953.08500578615</v>
      </c>
      <c r="C30" s="41"/>
      <c r="D30" s="131"/>
      <c r="E30" s="131"/>
      <c r="F30" s="131"/>
      <c r="G30" s="133"/>
      <c r="H30" s="41"/>
      <c r="I30" s="131">
        <f>'[48]Lead Sheet'!$I$23+'[48]Lead Sheet'!$I$24</f>
        <v>-62393.007246632129</v>
      </c>
      <c r="J30" s="131"/>
      <c r="K30" s="131"/>
      <c r="L30" s="131"/>
      <c r="M30" s="41"/>
      <c r="N30" s="133"/>
      <c r="O30" s="132"/>
      <c r="P30" s="41"/>
      <c r="Q30" s="131"/>
      <c r="R30" s="133"/>
      <c r="S30" s="41"/>
      <c r="T30" s="129"/>
      <c r="U30" s="130"/>
      <c r="V30" s="41">
        <f>'[50]Lead Sheet'!$I$27</f>
        <v>-299560.07775915402</v>
      </c>
      <c r="W30" s="130"/>
    </row>
    <row r="31" spans="1:23">
      <c r="A31" s="18" t="s">
        <v>75</v>
      </c>
      <c r="B31" s="132">
        <f t="shared" si="1"/>
        <v>-402431.60954907537</v>
      </c>
      <c r="C31" s="41"/>
      <c r="D31" s="131"/>
      <c r="E31" s="131"/>
      <c r="F31" s="131"/>
      <c r="G31" s="133"/>
      <c r="H31" s="41"/>
      <c r="I31" s="131"/>
      <c r="J31" s="131"/>
      <c r="K31" s="131"/>
      <c r="L31" s="131"/>
      <c r="M31" s="41"/>
      <c r="N31" s="133"/>
      <c r="O31" s="132"/>
      <c r="P31" s="41"/>
      <c r="Q31" s="131"/>
      <c r="R31" s="133"/>
      <c r="S31" s="41">
        <f>'[46]Lead Sheet'!$I$18+'[46]Lead Sheet'!$I$24</f>
        <v>-402431.60954907537</v>
      </c>
      <c r="T31" s="129"/>
      <c r="U31" s="130"/>
      <c r="V31" s="41"/>
      <c r="W31" s="130"/>
    </row>
    <row r="32" spans="1:23">
      <c r="A32" s="18" t="s">
        <v>76</v>
      </c>
      <c r="B32" s="132">
        <f t="shared" si="1"/>
        <v>1741720.3599999994</v>
      </c>
      <c r="C32" s="41"/>
      <c r="D32" s="131"/>
      <c r="E32" s="131"/>
      <c r="F32" s="131"/>
      <c r="G32" s="133"/>
      <c r="H32" s="41"/>
      <c r="I32" s="131"/>
      <c r="J32" s="131"/>
      <c r="K32" s="131"/>
      <c r="L32" s="131"/>
      <c r="M32" s="41"/>
      <c r="N32" s="133"/>
      <c r="O32" s="132"/>
      <c r="P32" s="41"/>
      <c r="Q32" s="131"/>
      <c r="R32" s="133">
        <f>'[51]Lead Sheet '!$I$9</f>
        <v>1741720.3599999994</v>
      </c>
      <c r="S32" s="41"/>
      <c r="T32" s="129"/>
      <c r="U32" s="130"/>
      <c r="V32" s="41"/>
      <c r="W32" s="130"/>
    </row>
    <row r="33" spans="1:23">
      <c r="A33" s="18" t="s">
        <v>77</v>
      </c>
      <c r="B33" s="142">
        <f t="shared" si="1"/>
        <v>3807757.4270533868</v>
      </c>
      <c r="C33" s="40">
        <f>C87</f>
        <v>11614217.705999998</v>
      </c>
      <c r="D33" s="129">
        <f t="shared" ref="D33:E33" si="4">D87</f>
        <v>0</v>
      </c>
      <c r="E33" s="129">
        <f t="shared" si="4"/>
        <v>-2748420.7326372829</v>
      </c>
      <c r="F33" s="129">
        <f t="shared" ref="F33:W33" si="5">F87</f>
        <v>297343.12799892883</v>
      </c>
      <c r="G33" s="130">
        <f t="shared" si="5"/>
        <v>352650.74886430608</v>
      </c>
      <c r="H33" s="40">
        <f t="shared" si="5"/>
        <v>0</v>
      </c>
      <c r="I33" s="129">
        <f t="shared" si="5"/>
        <v>139378.15895917785</v>
      </c>
      <c r="J33" s="129">
        <f t="shared" si="5"/>
        <v>357771.39064885571</v>
      </c>
      <c r="K33" s="129">
        <f t="shared" si="5"/>
        <v>0</v>
      </c>
      <c r="L33" s="129">
        <f t="shared" si="5"/>
        <v>324423.69237473473</v>
      </c>
      <c r="M33" s="40">
        <f t="shared" si="5"/>
        <v>-4775135.940495275</v>
      </c>
      <c r="N33" s="130">
        <f t="shared" si="5"/>
        <v>385187.76799570123</v>
      </c>
      <c r="O33" s="142">
        <f t="shared" si="5"/>
        <v>-932020.24015831109</v>
      </c>
      <c r="P33" s="40">
        <f t="shared" si="5"/>
        <v>33222.291534700802</v>
      </c>
      <c r="Q33" s="129">
        <f t="shared" si="5"/>
        <v>-1205929.156551077</v>
      </c>
      <c r="R33" s="130">
        <f t="shared" si="5"/>
        <v>-609602.1259999997</v>
      </c>
      <c r="S33" s="40">
        <f t="shared" si="5"/>
        <v>480052.51818497508</v>
      </c>
      <c r="T33" s="129">
        <f t="shared" si="5"/>
        <v>-1050000</v>
      </c>
      <c r="U33" s="130">
        <f t="shared" si="5"/>
        <v>32286.277314123738</v>
      </c>
      <c r="V33" s="40">
        <f t="shared" si="5"/>
        <v>281977.30133919505</v>
      </c>
      <c r="W33" s="130">
        <f t="shared" si="5"/>
        <v>830354.64168063516</v>
      </c>
    </row>
    <row r="34" spans="1:23">
      <c r="A34" s="18" t="s">
        <v>78</v>
      </c>
      <c r="B34" s="142">
        <f t="shared" si="1"/>
        <v>0</v>
      </c>
      <c r="C34" s="40"/>
      <c r="D34" s="129"/>
      <c r="E34" s="129"/>
      <c r="F34" s="129"/>
      <c r="G34" s="130"/>
      <c r="H34" s="40"/>
      <c r="I34" s="129"/>
      <c r="J34" s="129"/>
      <c r="K34" s="129"/>
      <c r="L34" s="129"/>
      <c r="M34" s="40"/>
      <c r="N34" s="130"/>
      <c r="O34" s="142"/>
      <c r="P34" s="40"/>
      <c r="Q34" s="129"/>
      <c r="R34" s="130"/>
      <c r="S34" s="40"/>
      <c r="T34" s="129"/>
      <c r="U34" s="130"/>
      <c r="V34" s="40"/>
      <c r="W34" s="130"/>
    </row>
    <row r="35" spans="1:23">
      <c r="A35" s="18" t="s">
        <v>79</v>
      </c>
      <c r="B35" s="132">
        <f t="shared" si="1"/>
        <v>974090.70055956382</v>
      </c>
      <c r="C35" s="41"/>
      <c r="D35" s="131"/>
      <c r="E35" s="131"/>
      <c r="F35" s="131"/>
      <c r="G35" s="133"/>
      <c r="H35" s="41"/>
      <c r="I35" s="131">
        <f>'[48]Lead Sheet'!$I$31</f>
        <v>283835</v>
      </c>
      <c r="J35" s="131">
        <f>'[49]4.6'!$F$18</f>
        <v>-386326</v>
      </c>
      <c r="K35" s="131"/>
      <c r="L35" s="131"/>
      <c r="M35" s="41"/>
      <c r="N35" s="133"/>
      <c r="O35" s="132">
        <f>'[37]Lead Sheet AMA'!$I$22</f>
        <v>1010602.8659636988</v>
      </c>
      <c r="P35" s="41"/>
      <c r="Q35" s="131">
        <f>'[52]Lead Sheet 2010'!$I$15+'[52]Lead Sheet 2010'!$I$16</f>
        <v>419162.75841324474</v>
      </c>
      <c r="R35" s="133"/>
      <c r="S35" s="41">
        <f>'[46]Lead Sheet'!$I$30+'[46]Lead Sheet'!$I$34+'[46]Lead Sheet'!$I$38</f>
        <v>-362096.92381737975</v>
      </c>
      <c r="T35" s="129">
        <f>'[44]Lead Sheet - WA '!$I$23+'[44]Lead Sheet - WA '!$I$27</f>
        <v>8913</v>
      </c>
      <c r="U35" s="130"/>
      <c r="V35" s="41"/>
      <c r="W35" s="130"/>
    </row>
    <row r="36" spans="1:23">
      <c r="A36" s="18" t="s">
        <v>80</v>
      </c>
      <c r="B36" s="132">
        <f t="shared" si="1"/>
        <v>0</v>
      </c>
      <c r="C36" s="41"/>
      <c r="D36" s="131"/>
      <c r="E36" s="131"/>
      <c r="F36" s="131"/>
      <c r="G36" s="133"/>
      <c r="H36" s="41"/>
      <c r="I36" s="131"/>
      <c r="J36" s="131"/>
      <c r="K36" s="131"/>
      <c r="L36" s="131"/>
      <c r="M36" s="41"/>
      <c r="N36" s="133"/>
      <c r="O36" s="132"/>
      <c r="P36" s="41"/>
      <c r="Q36" s="131"/>
      <c r="R36" s="133"/>
      <c r="S36" s="41"/>
      <c r="T36" s="129"/>
      <c r="U36" s="130"/>
      <c r="V36" s="41"/>
      <c r="W36" s="130"/>
    </row>
    <row r="37" spans="1:23">
      <c r="A37" s="18" t="s">
        <v>81</v>
      </c>
      <c r="B37" s="132">
        <f t="shared" si="1"/>
        <v>15951.581451000529</v>
      </c>
      <c r="C37" s="41"/>
      <c r="D37" s="131"/>
      <c r="E37" s="131"/>
      <c r="F37" s="131"/>
      <c r="G37" s="133"/>
      <c r="H37" s="41"/>
      <c r="I37" s="131"/>
      <c r="J37" s="131"/>
      <c r="K37" s="131"/>
      <c r="L37" s="131"/>
      <c r="M37" s="41"/>
      <c r="N37" s="133"/>
      <c r="O37" s="132"/>
      <c r="P37" s="41"/>
      <c r="Q37" s="131"/>
      <c r="R37" s="133"/>
      <c r="S37" s="41"/>
      <c r="T37" s="129"/>
      <c r="U37" s="130"/>
      <c r="V37" s="41"/>
      <c r="W37" s="130">
        <f>'[50]Lead Sheet'!$I$64</f>
        <v>15951.581451000529</v>
      </c>
    </row>
    <row r="38" spans="1:23">
      <c r="A38" s="18" t="s">
        <v>82</v>
      </c>
      <c r="B38" s="244">
        <f t="shared" si="1"/>
        <v>-18319205.836716063</v>
      </c>
      <c r="C38" s="42">
        <f t="shared" ref="C38:V38" si="6">SUM(C29:C37)</f>
        <v>11614217.705999998</v>
      </c>
      <c r="D38" s="134">
        <f t="shared" si="6"/>
        <v>0</v>
      </c>
      <c r="E38" s="134">
        <f t="shared" si="6"/>
        <v>-2748420.7326372829</v>
      </c>
      <c r="F38" s="134">
        <f t="shared" si="6"/>
        <v>297343.12799892883</v>
      </c>
      <c r="G38" s="135">
        <f t="shared" si="6"/>
        <v>352650.74886430608</v>
      </c>
      <c r="H38" s="42">
        <f t="shared" si="6"/>
        <v>0</v>
      </c>
      <c r="I38" s="134">
        <f t="shared" si="6"/>
        <v>-722907.98959938949</v>
      </c>
      <c r="J38" s="134">
        <f t="shared" si="6"/>
        <v>-32798.565992366755</v>
      </c>
      <c r="K38" s="134">
        <f t="shared" si="6"/>
        <v>0</v>
      </c>
      <c r="L38" s="134">
        <f t="shared" si="6"/>
        <v>166295.03833923308</v>
      </c>
      <c r="M38" s="42">
        <f t="shared" si="6"/>
        <v>-24123157.895419817</v>
      </c>
      <c r="N38" s="135">
        <f t="shared" si="6"/>
        <v>385187.76799570123</v>
      </c>
      <c r="O38" s="244">
        <f t="shared" si="6"/>
        <v>78582.625805387739</v>
      </c>
      <c r="P38" s="42">
        <f t="shared" si="6"/>
        <v>33222.291534700802</v>
      </c>
      <c r="Q38" s="134">
        <f t="shared" si="6"/>
        <v>-786766.39813783229</v>
      </c>
      <c r="R38" s="135">
        <f t="shared" si="6"/>
        <v>1132118.2339999997</v>
      </c>
      <c r="S38" s="42">
        <f t="shared" si="6"/>
        <v>-299506.03828321683</v>
      </c>
      <c r="T38" s="134">
        <f t="shared" si="6"/>
        <v>-1064557.44</v>
      </c>
      <c r="U38" s="135">
        <f t="shared" si="6"/>
        <v>-59960.22929765837</v>
      </c>
      <c r="V38" s="42">
        <f t="shared" si="6"/>
        <v>-523672.1310585051</v>
      </c>
      <c r="W38" s="135">
        <f t="shared" ref="W38" si="7">SUM(W29:W37)</f>
        <v>-2017075.956828251</v>
      </c>
    </row>
    <row r="39" spans="1:23">
      <c r="A39" s="18"/>
      <c r="B39" s="127"/>
      <c r="C39" s="39"/>
      <c r="D39" s="16"/>
      <c r="E39" s="16"/>
      <c r="F39" s="16"/>
      <c r="G39" s="125"/>
      <c r="H39" s="39"/>
      <c r="I39" s="16"/>
      <c r="J39" s="16"/>
      <c r="K39" s="16"/>
      <c r="L39" s="16"/>
      <c r="M39" s="39"/>
      <c r="N39" s="125"/>
      <c r="O39" s="127"/>
      <c r="P39" s="39"/>
      <c r="Q39" s="16"/>
      <c r="R39" s="125"/>
      <c r="S39" s="39"/>
      <c r="T39" s="16"/>
      <c r="U39" s="125"/>
      <c r="V39" s="39"/>
      <c r="W39" s="125"/>
    </row>
    <row r="40" spans="1:23" ht="13.5" thickBot="1">
      <c r="A40" s="18" t="s">
        <v>83</v>
      </c>
      <c r="B40" s="246">
        <f>SUM(C40:W40)</f>
        <v>9854958.3771261964</v>
      </c>
      <c r="C40" s="44">
        <f t="shared" ref="C40:V40" si="8">C16-C38</f>
        <v>21569261.453999996</v>
      </c>
      <c r="D40" s="143">
        <f t="shared" si="8"/>
        <v>0</v>
      </c>
      <c r="E40" s="143">
        <f t="shared" si="8"/>
        <v>-5104209.932040669</v>
      </c>
      <c r="F40" s="143">
        <f t="shared" si="8"/>
        <v>552208.66628372506</v>
      </c>
      <c r="G40" s="144">
        <f t="shared" si="8"/>
        <v>654922.81931942562</v>
      </c>
      <c r="H40" s="44">
        <f t="shared" si="8"/>
        <v>0</v>
      </c>
      <c r="I40" s="143">
        <f t="shared" si="8"/>
        <v>722907.98959938949</v>
      </c>
      <c r="J40" s="143">
        <f t="shared" si="8"/>
        <v>32798.565992366755</v>
      </c>
      <c r="K40" s="143">
        <f t="shared" si="8"/>
        <v>0</v>
      </c>
      <c r="L40" s="143">
        <f t="shared" si="8"/>
        <v>-166295.03833923308</v>
      </c>
      <c r="M40" s="44">
        <f t="shared" si="8"/>
        <v>-8868109.6037769392</v>
      </c>
      <c r="N40" s="144">
        <f t="shared" si="8"/>
        <v>715348.71199201676</v>
      </c>
      <c r="O40" s="246">
        <f t="shared" si="8"/>
        <v>-78582.625805387739</v>
      </c>
      <c r="P40" s="44">
        <f t="shared" si="8"/>
        <v>-33222.291534700802</v>
      </c>
      <c r="Q40" s="143">
        <f t="shared" si="8"/>
        <v>786766.39813783229</v>
      </c>
      <c r="R40" s="144">
        <f t="shared" si="8"/>
        <v>-1132118.2339999997</v>
      </c>
      <c r="S40" s="44">
        <f t="shared" si="8"/>
        <v>299506.03828321683</v>
      </c>
      <c r="T40" s="143">
        <f t="shared" si="8"/>
        <v>-1935442.56</v>
      </c>
      <c r="U40" s="144">
        <f t="shared" si="8"/>
        <v>59960.22929765837</v>
      </c>
      <c r="V40" s="44">
        <f t="shared" si="8"/>
        <v>523672.1310585051</v>
      </c>
      <c r="W40" s="144">
        <f t="shared" ref="W40" si="9">W16-W38</f>
        <v>1255585.6586589941</v>
      </c>
    </row>
    <row r="41" spans="1:23" ht="13.5" thickTop="1">
      <c r="A41" s="18"/>
      <c r="B41" s="127"/>
      <c r="C41" s="39"/>
      <c r="D41" s="16"/>
      <c r="E41" s="16"/>
      <c r="F41" s="16"/>
      <c r="G41" s="125"/>
      <c r="H41" s="39"/>
      <c r="I41" s="16"/>
      <c r="J41" s="16"/>
      <c r="K41" s="16"/>
      <c r="L41" s="16"/>
      <c r="M41" s="39"/>
      <c r="N41" s="125"/>
      <c r="O41" s="127"/>
      <c r="P41" s="39"/>
      <c r="Q41" s="16"/>
      <c r="R41" s="125"/>
      <c r="S41" s="39"/>
      <c r="T41" s="16"/>
      <c r="U41" s="125"/>
      <c r="V41" s="39"/>
      <c r="W41" s="125"/>
    </row>
    <row r="42" spans="1:23">
      <c r="A42" s="18" t="s">
        <v>84</v>
      </c>
      <c r="B42" s="127"/>
      <c r="C42" s="39"/>
      <c r="D42" s="16"/>
      <c r="E42" s="16"/>
      <c r="F42" s="16"/>
      <c r="G42" s="125"/>
      <c r="H42" s="39"/>
      <c r="I42" s="16"/>
      <c r="J42" s="16"/>
      <c r="K42" s="16"/>
      <c r="L42" s="16"/>
      <c r="M42" s="39"/>
      <c r="N42" s="125"/>
      <c r="O42" s="127"/>
      <c r="P42" s="39"/>
      <c r="Q42" s="16"/>
      <c r="R42" s="125"/>
      <c r="S42" s="39"/>
      <c r="T42" s="16"/>
      <c r="U42" s="125"/>
      <c r="V42" s="39"/>
      <c r="W42" s="125"/>
    </row>
    <row r="43" spans="1:23">
      <c r="A43" s="18" t="s">
        <v>85</v>
      </c>
      <c r="B43" s="132">
        <f t="shared" ref="B43:B54" si="10">SUM(C43:W43)</f>
        <v>-15715508.538425047</v>
      </c>
      <c r="C43" s="41"/>
      <c r="D43" s="131"/>
      <c r="E43" s="131"/>
      <c r="F43" s="131"/>
      <c r="G43" s="133"/>
      <c r="H43" s="41"/>
      <c r="I43" s="131">
        <f>'[48]Lead Sheet'!$I$17+'[48]Lead Sheet'!$I$19</f>
        <v>-2012269.6840151576</v>
      </c>
      <c r="J43" s="131"/>
      <c r="K43" s="131"/>
      <c r="L43" s="131"/>
      <c r="M43" s="41"/>
      <c r="N43" s="133"/>
      <c r="O43" s="132"/>
      <c r="P43" s="41"/>
      <c r="Q43" s="131"/>
      <c r="R43" s="133"/>
      <c r="S43" s="41"/>
      <c r="T43" s="129"/>
      <c r="U43" s="130">
        <f>[47]Leadsheet!$I$26</f>
        <v>-1557660.9172082131</v>
      </c>
      <c r="V43" s="41">
        <f>'[50]Lead Sheet'!$I$15</f>
        <v>-11114449.246748975</v>
      </c>
      <c r="W43" s="130">
        <f>'[50]Lead Sheet'!$I$58</f>
        <v>-1031128.6904527023</v>
      </c>
    </row>
    <row r="44" spans="1:23">
      <c r="A44" s="18" t="s">
        <v>86</v>
      </c>
      <c r="B44" s="132">
        <f t="shared" si="10"/>
        <v>0</v>
      </c>
      <c r="C44" s="41"/>
      <c r="D44" s="131"/>
      <c r="E44" s="131"/>
      <c r="F44" s="131"/>
      <c r="G44" s="133"/>
      <c r="H44" s="41"/>
      <c r="I44" s="131"/>
      <c r="J44" s="131"/>
      <c r="K44" s="131"/>
      <c r="L44" s="131"/>
      <c r="M44" s="41"/>
      <c r="N44" s="133"/>
      <c r="O44" s="132"/>
      <c r="P44" s="41"/>
      <c r="Q44" s="131"/>
      <c r="R44" s="133"/>
      <c r="S44" s="41"/>
      <c r="T44" s="129"/>
      <c r="U44" s="130"/>
      <c r="V44" s="41"/>
      <c r="W44" s="130"/>
    </row>
    <row r="45" spans="1:23">
      <c r="A45" s="18" t="s">
        <v>87</v>
      </c>
      <c r="B45" s="132">
        <f t="shared" si="10"/>
        <v>-3261120.6293837503</v>
      </c>
      <c r="C45" s="41"/>
      <c r="D45" s="131"/>
      <c r="E45" s="131"/>
      <c r="F45" s="131"/>
      <c r="G45" s="133"/>
      <c r="H45" s="41"/>
      <c r="I45" s="131"/>
      <c r="J45" s="131"/>
      <c r="K45" s="131"/>
      <c r="L45" s="131"/>
      <c r="M45" s="41"/>
      <c r="N45" s="133"/>
      <c r="O45" s="132"/>
      <c r="P45" s="41"/>
      <c r="Q45" s="131"/>
      <c r="R45" s="133"/>
      <c r="S45" s="41">
        <f>SUM('[46]Lead Sheet'!$I$21,'[46]Lead Sheet'!$I$25:$I$27)</f>
        <v>-213316.93399499287</v>
      </c>
      <c r="T45" s="129">
        <f>'[44]Lead Sheet - WA '!$I$14+'[44]Lead Sheet - WA '!$I$15</f>
        <v>-3041073.2716250001</v>
      </c>
      <c r="U45" s="130"/>
      <c r="V45" s="41"/>
      <c r="W45" s="130">
        <f>'[50]Lead Sheet'!$I$59</f>
        <v>-6730.423763757688</v>
      </c>
    </row>
    <row r="46" spans="1:23">
      <c r="A46" s="18" t="s">
        <v>88</v>
      </c>
      <c r="B46" s="132">
        <f t="shared" si="10"/>
        <v>0</v>
      </c>
      <c r="C46" s="41"/>
      <c r="D46" s="131"/>
      <c r="E46" s="131"/>
      <c r="F46" s="131"/>
      <c r="G46" s="133"/>
      <c r="H46" s="41"/>
      <c r="I46" s="131"/>
      <c r="J46" s="131"/>
      <c r="K46" s="131"/>
      <c r="L46" s="131"/>
      <c r="M46" s="41"/>
      <c r="N46" s="133"/>
      <c r="O46" s="132"/>
      <c r="P46" s="41"/>
      <c r="Q46" s="131"/>
      <c r="R46" s="133"/>
      <c r="S46" s="41"/>
      <c r="T46" s="129"/>
      <c r="U46" s="130"/>
      <c r="V46" s="41"/>
      <c r="W46" s="130"/>
    </row>
    <row r="47" spans="1:23">
      <c r="A47" s="18" t="s">
        <v>89</v>
      </c>
      <c r="B47" s="132">
        <f t="shared" si="10"/>
        <v>0</v>
      </c>
      <c r="C47" s="41"/>
      <c r="D47" s="131"/>
      <c r="E47" s="131"/>
      <c r="F47" s="131"/>
      <c r="G47" s="133"/>
      <c r="H47" s="41"/>
      <c r="I47" s="131"/>
      <c r="J47" s="131"/>
      <c r="K47" s="131"/>
      <c r="L47" s="131"/>
      <c r="M47" s="41"/>
      <c r="N47" s="133"/>
      <c r="O47" s="132"/>
      <c r="P47" s="41"/>
      <c r="Q47" s="131"/>
      <c r="R47" s="133"/>
      <c r="S47" s="41"/>
      <c r="T47" s="129"/>
      <c r="U47" s="130"/>
      <c r="V47" s="41"/>
      <c r="W47" s="130"/>
    </row>
    <row r="48" spans="1:23">
      <c r="A48" s="18" t="s">
        <v>90</v>
      </c>
      <c r="B48" s="132">
        <f t="shared" si="10"/>
        <v>0</v>
      </c>
      <c r="C48" s="41"/>
      <c r="D48" s="131"/>
      <c r="E48" s="131"/>
      <c r="F48" s="131"/>
      <c r="G48" s="133"/>
      <c r="H48" s="41"/>
      <c r="I48" s="131"/>
      <c r="J48" s="131"/>
      <c r="K48" s="131"/>
      <c r="L48" s="131"/>
      <c r="M48" s="41"/>
      <c r="N48" s="133"/>
      <c r="O48" s="132"/>
      <c r="P48" s="41"/>
      <c r="Q48" s="131"/>
      <c r="R48" s="133"/>
      <c r="S48" s="41"/>
      <c r="T48" s="129"/>
      <c r="U48" s="130"/>
      <c r="V48" s="41"/>
      <c r="W48" s="130"/>
    </row>
    <row r="49" spans="1:23">
      <c r="A49" s="18" t="s">
        <v>91</v>
      </c>
      <c r="B49" s="132">
        <f t="shared" si="10"/>
        <v>0</v>
      </c>
      <c r="C49" s="41"/>
      <c r="D49" s="131"/>
      <c r="E49" s="131"/>
      <c r="F49" s="131"/>
      <c r="G49" s="133"/>
      <c r="H49" s="41"/>
      <c r="I49" s="131"/>
      <c r="J49" s="131"/>
      <c r="K49" s="131"/>
      <c r="L49" s="131"/>
      <c r="M49" s="41"/>
      <c r="N49" s="133"/>
      <c r="O49" s="132"/>
      <c r="P49" s="41"/>
      <c r="Q49" s="131"/>
      <c r="R49" s="133"/>
      <c r="S49" s="41"/>
      <c r="T49" s="129"/>
      <c r="U49" s="130"/>
      <c r="V49" s="41"/>
      <c r="W49" s="130"/>
    </row>
    <row r="50" spans="1:23">
      <c r="A50" s="18" t="s">
        <v>92</v>
      </c>
      <c r="B50" s="132">
        <f t="shared" si="10"/>
        <v>0</v>
      </c>
      <c r="C50" s="41"/>
      <c r="D50" s="131"/>
      <c r="E50" s="131"/>
      <c r="F50" s="131"/>
      <c r="G50" s="133"/>
      <c r="H50" s="41"/>
      <c r="I50" s="131"/>
      <c r="J50" s="131"/>
      <c r="K50" s="131"/>
      <c r="L50" s="131"/>
      <c r="M50" s="41"/>
      <c r="N50" s="133"/>
      <c r="O50" s="132"/>
      <c r="P50" s="41"/>
      <c r="Q50" s="131"/>
      <c r="R50" s="133"/>
      <c r="S50" s="41"/>
      <c r="T50" s="129"/>
      <c r="U50" s="130"/>
      <c r="V50" s="41"/>
      <c r="W50" s="130"/>
    </row>
    <row r="51" spans="1:23">
      <c r="A51" s="18" t="s">
        <v>93</v>
      </c>
      <c r="B51" s="132">
        <f t="shared" si="10"/>
        <v>0</v>
      </c>
      <c r="C51" s="41"/>
      <c r="D51" s="131"/>
      <c r="E51" s="131"/>
      <c r="F51" s="131"/>
      <c r="G51" s="133"/>
      <c r="H51" s="41"/>
      <c r="I51" s="131"/>
      <c r="J51" s="131"/>
      <c r="K51" s="131"/>
      <c r="L51" s="131"/>
      <c r="M51" s="41"/>
      <c r="N51" s="133"/>
      <c r="O51" s="132"/>
      <c r="P51" s="41"/>
      <c r="Q51" s="131"/>
      <c r="R51" s="133"/>
      <c r="S51" s="41"/>
      <c r="T51" s="129"/>
      <c r="U51" s="130"/>
      <c r="V51" s="41"/>
      <c r="W51" s="130"/>
    </row>
    <row r="52" spans="1:23">
      <c r="A52" s="18" t="s">
        <v>94</v>
      </c>
      <c r="B52" s="132">
        <f t="shared" si="10"/>
        <v>0</v>
      </c>
      <c r="C52" s="41"/>
      <c r="D52" s="131"/>
      <c r="E52" s="131"/>
      <c r="F52" s="131"/>
      <c r="G52" s="133"/>
      <c r="H52" s="41"/>
      <c r="I52" s="131"/>
      <c r="J52" s="131"/>
      <c r="K52" s="131"/>
      <c r="L52" s="131"/>
      <c r="M52" s="41"/>
      <c r="N52" s="133"/>
      <c r="O52" s="132"/>
      <c r="P52" s="41"/>
      <c r="Q52" s="131"/>
      <c r="R52" s="133"/>
      <c r="S52" s="41"/>
      <c r="T52" s="129"/>
      <c r="U52" s="130"/>
      <c r="V52" s="41"/>
      <c r="W52" s="130"/>
    </row>
    <row r="53" spans="1:23">
      <c r="A53" s="18" t="s">
        <v>95</v>
      </c>
      <c r="B53" s="132">
        <f t="shared" si="10"/>
        <v>0</v>
      </c>
      <c r="C53" s="41"/>
      <c r="D53" s="131"/>
      <c r="E53" s="131"/>
      <c r="F53" s="131"/>
      <c r="G53" s="133"/>
      <c r="H53" s="41"/>
      <c r="I53" s="131"/>
      <c r="J53" s="131"/>
      <c r="K53" s="131"/>
      <c r="L53" s="131"/>
      <c r="M53" s="41"/>
      <c r="N53" s="133"/>
      <c r="O53" s="132"/>
      <c r="P53" s="41"/>
      <c r="Q53" s="131"/>
      <c r="R53" s="133"/>
      <c r="S53" s="41"/>
      <c r="T53" s="129"/>
      <c r="U53" s="130"/>
      <c r="V53" s="41"/>
      <c r="W53" s="130"/>
    </row>
    <row r="54" spans="1:23">
      <c r="A54" s="18" t="s">
        <v>96</v>
      </c>
      <c r="B54" s="247">
        <f t="shared" si="10"/>
        <v>-18976629.167808801</v>
      </c>
      <c r="C54" s="45">
        <f t="shared" ref="C54:R54" si="11">SUM(C43:C53)</f>
        <v>0</v>
      </c>
      <c r="D54" s="145">
        <f t="shared" si="11"/>
        <v>0</v>
      </c>
      <c r="E54" s="145">
        <f t="shared" si="11"/>
        <v>0</v>
      </c>
      <c r="F54" s="145">
        <f t="shared" si="11"/>
        <v>0</v>
      </c>
      <c r="G54" s="146">
        <f t="shared" si="11"/>
        <v>0</v>
      </c>
      <c r="H54" s="45">
        <f t="shared" si="11"/>
        <v>0</v>
      </c>
      <c r="I54" s="145">
        <f t="shared" si="11"/>
        <v>-2012269.6840151576</v>
      </c>
      <c r="J54" s="145">
        <f t="shared" si="11"/>
        <v>0</v>
      </c>
      <c r="K54" s="145">
        <f t="shared" si="11"/>
        <v>0</v>
      </c>
      <c r="L54" s="145">
        <f t="shared" si="11"/>
        <v>0</v>
      </c>
      <c r="M54" s="45">
        <f t="shared" si="11"/>
        <v>0</v>
      </c>
      <c r="N54" s="146">
        <f t="shared" si="11"/>
        <v>0</v>
      </c>
      <c r="O54" s="247">
        <f t="shared" si="11"/>
        <v>0</v>
      </c>
      <c r="P54" s="45">
        <f t="shared" si="11"/>
        <v>0</v>
      </c>
      <c r="Q54" s="145">
        <f t="shared" si="11"/>
        <v>0</v>
      </c>
      <c r="R54" s="146">
        <f t="shared" si="11"/>
        <v>0</v>
      </c>
      <c r="S54" s="45">
        <f>SUM(S43:S53)</f>
        <v>-213316.93399499287</v>
      </c>
      <c r="T54" s="145">
        <f>SUM(T43:T53)</f>
        <v>-3041073.2716250001</v>
      </c>
      <c r="U54" s="146">
        <f>SUM(U43:U53)</f>
        <v>-1557660.9172082131</v>
      </c>
      <c r="V54" s="45">
        <f>SUM(V43:V53)</f>
        <v>-11114449.246748975</v>
      </c>
      <c r="W54" s="146">
        <f>SUM(W43:W53)</f>
        <v>-1037859.11421646</v>
      </c>
    </row>
    <row r="55" spans="1:23">
      <c r="A55" s="18"/>
      <c r="B55" s="127"/>
      <c r="C55" s="39"/>
      <c r="D55" s="16"/>
      <c r="E55" s="16"/>
      <c r="F55" s="16"/>
      <c r="G55" s="125"/>
      <c r="H55" s="39"/>
      <c r="I55" s="16"/>
      <c r="J55" s="16"/>
      <c r="K55" s="16"/>
      <c r="L55" s="16"/>
      <c r="M55" s="39"/>
      <c r="N55" s="125"/>
      <c r="O55" s="127"/>
      <c r="P55" s="39"/>
      <c r="Q55" s="16"/>
      <c r="R55" s="125"/>
      <c r="S55" s="39"/>
      <c r="T55" s="16"/>
      <c r="U55" s="125"/>
      <c r="V55" s="39"/>
      <c r="W55" s="125"/>
    </row>
    <row r="56" spans="1:23">
      <c r="A56" s="18" t="s">
        <v>97</v>
      </c>
      <c r="B56" s="127"/>
      <c r="C56" s="39"/>
      <c r="D56" s="16"/>
      <c r="E56" s="16"/>
      <c r="F56" s="16"/>
      <c r="G56" s="125"/>
      <c r="H56" s="39"/>
      <c r="I56" s="16"/>
      <c r="J56" s="16"/>
      <c r="K56" s="16"/>
      <c r="L56" s="16"/>
      <c r="M56" s="39"/>
      <c r="N56" s="125"/>
      <c r="O56" s="127"/>
      <c r="P56" s="39"/>
      <c r="Q56" s="16"/>
      <c r="R56" s="125"/>
      <c r="S56" s="39"/>
      <c r="T56" s="16"/>
      <c r="U56" s="125"/>
      <c r="V56" s="39"/>
      <c r="W56" s="125"/>
    </row>
    <row r="57" spans="1:23">
      <c r="A57" s="18" t="s">
        <v>98</v>
      </c>
      <c r="B57" s="132">
        <f t="shared" ref="B57:B65" si="12">SUM(C57:W57)</f>
        <v>15685302.595786646</v>
      </c>
      <c r="C57" s="41"/>
      <c r="D57" s="131"/>
      <c r="E57" s="131"/>
      <c r="F57" s="131"/>
      <c r="G57" s="133"/>
      <c r="H57" s="41"/>
      <c r="I57" s="131">
        <f>'[48]Lead Sheet'!$I$20</f>
        <v>9419911.8527651522</v>
      </c>
      <c r="J57" s="131"/>
      <c r="K57" s="131"/>
      <c r="L57" s="131"/>
      <c r="M57" s="41"/>
      <c r="N57" s="133"/>
      <c r="O57" s="132">
        <f>'[37]Lead Sheet AMA'!$I$15</f>
        <v>672394.72947564709</v>
      </c>
      <c r="P57" s="41"/>
      <c r="Q57" s="131"/>
      <c r="R57" s="133"/>
      <c r="S57" s="41"/>
      <c r="T57" s="129"/>
      <c r="U57" s="130">
        <f>[47]Leadsheet!$I$28</f>
        <v>1521445.4948156718</v>
      </c>
      <c r="V57" s="41">
        <f>'[50]Lead Sheet'!$I$21</f>
        <v>3603236.6969485842</v>
      </c>
      <c r="W57" s="130">
        <f>'[50]Lead Sheet'!$I$60</f>
        <v>468313.82178159058</v>
      </c>
    </row>
    <row r="58" spans="1:23">
      <c r="A58" s="18" t="s">
        <v>99</v>
      </c>
      <c r="B58" s="132">
        <f t="shared" si="12"/>
        <v>0</v>
      </c>
      <c r="C58" s="41"/>
      <c r="D58" s="131"/>
      <c r="E58" s="131"/>
      <c r="F58" s="131"/>
      <c r="G58" s="133"/>
      <c r="H58" s="41"/>
      <c r="I58" s="131"/>
      <c r="J58" s="131"/>
      <c r="K58" s="131"/>
      <c r="L58" s="131"/>
      <c r="M58" s="41"/>
      <c r="N58" s="133"/>
      <c r="O58" s="132"/>
      <c r="P58" s="41"/>
      <c r="Q58" s="131"/>
      <c r="R58" s="133"/>
      <c r="S58" s="41"/>
      <c r="T58" s="129"/>
      <c r="U58" s="130"/>
      <c r="V58" s="41"/>
      <c r="W58" s="130"/>
    </row>
    <row r="59" spans="1:23">
      <c r="A59" s="18" t="s">
        <v>100</v>
      </c>
      <c r="B59" s="132">
        <f t="shared" si="12"/>
        <v>-21661.504834290361</v>
      </c>
      <c r="C59" s="41"/>
      <c r="D59" s="131"/>
      <c r="E59" s="131"/>
      <c r="F59" s="131"/>
      <c r="G59" s="133"/>
      <c r="H59" s="41"/>
      <c r="I59" s="131">
        <f>'[48]Lead Sheet'!$I$32</f>
        <v>-125046.04166666669</v>
      </c>
      <c r="J59" s="131">
        <f>'[49]4.6'!$I$19</f>
        <v>-1087279.6666666667</v>
      </c>
      <c r="K59" s="131"/>
      <c r="L59" s="131"/>
      <c r="M59" s="41"/>
      <c r="N59" s="133"/>
      <c r="O59" s="132">
        <f>'[37]Lead Sheet AMA'!$I$23</f>
        <v>-391038.76591474324</v>
      </c>
      <c r="P59" s="41"/>
      <c r="Q59" s="131"/>
      <c r="R59" s="133"/>
      <c r="S59" s="41">
        <f>'[46]Lead Sheet'!$I$31+'[46]Lead Sheet'!$I$35+'[46]Lead Sheet'!$I$39</f>
        <v>-102416.90558588051</v>
      </c>
      <c r="T59" s="129">
        <f>'[44]Lead Sheet - WA '!$I$20+'[44]Lead Sheet - WA '!$I$24+'[44]Lead Sheet - WA '!$I$28</f>
        <v>1684119.8749996668</v>
      </c>
      <c r="U59" s="130"/>
      <c r="V59" s="41"/>
      <c r="W59" s="130"/>
    </row>
    <row r="60" spans="1:23">
      <c r="A60" s="18" t="s">
        <v>101</v>
      </c>
      <c r="B60" s="132">
        <f t="shared" si="12"/>
        <v>0</v>
      </c>
      <c r="C60" s="41"/>
      <c r="D60" s="131"/>
      <c r="E60" s="131"/>
      <c r="F60" s="131"/>
      <c r="G60" s="133"/>
      <c r="H60" s="41"/>
      <c r="I60" s="131"/>
      <c r="J60" s="131"/>
      <c r="K60" s="131"/>
      <c r="L60" s="131"/>
      <c r="M60" s="41"/>
      <c r="N60" s="133"/>
      <c r="O60" s="132"/>
      <c r="P60" s="41"/>
      <c r="Q60" s="131"/>
      <c r="R60" s="133"/>
      <c r="S60" s="41"/>
      <c r="T60" s="129"/>
      <c r="U60" s="130"/>
      <c r="V60" s="41"/>
      <c r="W60" s="130"/>
    </row>
    <row r="61" spans="1:23">
      <c r="A61" s="18" t="s">
        <v>102</v>
      </c>
      <c r="B61" s="132">
        <f t="shared" si="12"/>
        <v>0</v>
      </c>
      <c r="C61" s="41"/>
      <c r="D61" s="131"/>
      <c r="E61" s="131"/>
      <c r="F61" s="131"/>
      <c r="G61" s="133"/>
      <c r="H61" s="41"/>
      <c r="I61" s="131"/>
      <c r="J61" s="131"/>
      <c r="K61" s="131"/>
      <c r="L61" s="131"/>
      <c r="M61" s="41"/>
      <c r="N61" s="133"/>
      <c r="O61" s="132"/>
      <c r="P61" s="41"/>
      <c r="Q61" s="131"/>
      <c r="R61" s="133"/>
      <c r="S61" s="41"/>
      <c r="T61" s="129"/>
      <c r="U61" s="130"/>
      <c r="V61" s="41"/>
      <c r="W61" s="130"/>
    </row>
    <row r="62" spans="1:23">
      <c r="A62" s="18" t="s">
        <v>103</v>
      </c>
      <c r="B62" s="132">
        <f t="shared" si="12"/>
        <v>0</v>
      </c>
      <c r="C62" s="41"/>
      <c r="D62" s="131"/>
      <c r="E62" s="131"/>
      <c r="F62" s="131"/>
      <c r="G62" s="133"/>
      <c r="H62" s="41"/>
      <c r="I62" s="131"/>
      <c r="J62" s="131"/>
      <c r="K62" s="131"/>
      <c r="L62" s="131"/>
      <c r="M62" s="41"/>
      <c r="N62" s="133"/>
      <c r="O62" s="132"/>
      <c r="P62" s="41"/>
      <c r="Q62" s="131"/>
      <c r="R62" s="133"/>
      <c r="S62" s="41"/>
      <c r="T62" s="129"/>
      <c r="U62" s="130"/>
      <c r="V62" s="41"/>
      <c r="W62" s="130"/>
    </row>
    <row r="63" spans="1:23">
      <c r="A63" s="18" t="s">
        <v>104</v>
      </c>
      <c r="B63" s="132">
        <f t="shared" si="12"/>
        <v>56207.192047362681</v>
      </c>
      <c r="C63" s="41"/>
      <c r="D63" s="131"/>
      <c r="E63" s="131"/>
      <c r="F63" s="131"/>
      <c r="G63" s="133"/>
      <c r="H63" s="41"/>
      <c r="I63" s="131"/>
      <c r="J63" s="131"/>
      <c r="K63" s="131"/>
      <c r="L63" s="131"/>
      <c r="M63" s="41"/>
      <c r="N63" s="133"/>
      <c r="O63" s="132"/>
      <c r="P63" s="41"/>
      <c r="Q63" s="131"/>
      <c r="R63" s="133"/>
      <c r="S63" s="41"/>
      <c r="T63" s="129"/>
      <c r="U63" s="130"/>
      <c r="V63" s="41"/>
      <c r="W63" s="130">
        <f>'[50]Lead Sheet'!$I$65</f>
        <v>56207.192047362681</v>
      </c>
    </row>
    <row r="64" spans="1:23">
      <c r="A64" s="18"/>
      <c r="B64" s="127">
        <f t="shared" si="12"/>
        <v>0</v>
      </c>
      <c r="C64" s="39"/>
      <c r="D64" s="16"/>
      <c r="E64" s="16"/>
      <c r="F64" s="16"/>
      <c r="G64" s="125"/>
      <c r="H64" s="39"/>
      <c r="I64" s="16"/>
      <c r="J64" s="16"/>
      <c r="K64" s="16"/>
      <c r="L64" s="16"/>
      <c r="M64" s="39"/>
      <c r="N64" s="125"/>
      <c r="O64" s="127"/>
      <c r="P64" s="39"/>
      <c r="Q64" s="16"/>
      <c r="R64" s="125"/>
      <c r="S64" s="39"/>
      <c r="T64" s="16"/>
      <c r="U64" s="125"/>
      <c r="V64" s="39"/>
      <c r="W64" s="125"/>
    </row>
    <row r="65" spans="1:23">
      <c r="A65" s="18" t="s">
        <v>105</v>
      </c>
      <c r="B65" s="244">
        <f t="shared" si="12"/>
        <v>15719848.28299972</v>
      </c>
      <c r="C65" s="42">
        <f t="shared" ref="C65:N65" si="13">SUM(C57:C64)</f>
        <v>0</v>
      </c>
      <c r="D65" s="134">
        <f t="shared" si="13"/>
        <v>0</v>
      </c>
      <c r="E65" s="134">
        <f t="shared" si="13"/>
        <v>0</v>
      </c>
      <c r="F65" s="134">
        <f t="shared" si="13"/>
        <v>0</v>
      </c>
      <c r="G65" s="135">
        <f t="shared" si="13"/>
        <v>0</v>
      </c>
      <c r="H65" s="42">
        <f t="shared" si="13"/>
        <v>0</v>
      </c>
      <c r="I65" s="134">
        <f t="shared" si="13"/>
        <v>9294865.8110984862</v>
      </c>
      <c r="J65" s="134">
        <f t="shared" si="13"/>
        <v>-1087279.6666666667</v>
      </c>
      <c r="K65" s="134">
        <f t="shared" si="13"/>
        <v>0</v>
      </c>
      <c r="L65" s="134">
        <f t="shared" si="13"/>
        <v>0</v>
      </c>
      <c r="M65" s="42">
        <f t="shared" si="13"/>
        <v>0</v>
      </c>
      <c r="N65" s="135">
        <f t="shared" si="13"/>
        <v>0</v>
      </c>
      <c r="O65" s="244">
        <f>SUM(O57:O64)</f>
        <v>281355.96356090385</v>
      </c>
      <c r="P65" s="42">
        <f t="shared" ref="P65:V65" si="14">SUM(P57:P64)</f>
        <v>0</v>
      </c>
      <c r="Q65" s="134">
        <f t="shared" si="14"/>
        <v>0</v>
      </c>
      <c r="R65" s="135">
        <f t="shared" si="14"/>
        <v>0</v>
      </c>
      <c r="S65" s="42">
        <f t="shared" si="14"/>
        <v>-102416.90558588051</v>
      </c>
      <c r="T65" s="134">
        <f t="shared" si="14"/>
        <v>1684119.8749996668</v>
      </c>
      <c r="U65" s="135">
        <f t="shared" si="14"/>
        <v>1521445.4948156718</v>
      </c>
      <c r="V65" s="42">
        <f t="shared" si="14"/>
        <v>3603236.6969485842</v>
      </c>
      <c r="W65" s="135">
        <f t="shared" ref="W65" si="15">SUM(W57:W64)</f>
        <v>524521.01382895326</v>
      </c>
    </row>
    <row r="66" spans="1:23">
      <c r="A66" s="18"/>
      <c r="B66" s="127"/>
      <c r="C66" s="39"/>
      <c r="D66" s="16"/>
      <c r="E66" s="16"/>
      <c r="F66" s="16"/>
      <c r="G66" s="125"/>
      <c r="H66" s="39"/>
      <c r="I66" s="16"/>
      <c r="J66" s="16"/>
      <c r="K66" s="16"/>
      <c r="L66" s="16"/>
      <c r="M66" s="39"/>
      <c r="N66" s="125"/>
      <c r="O66" s="127"/>
      <c r="P66" s="39"/>
      <c r="Q66" s="16"/>
      <c r="R66" s="125"/>
      <c r="S66" s="39"/>
      <c r="T66" s="16"/>
      <c r="U66" s="125"/>
      <c r="V66" s="39"/>
      <c r="W66" s="125"/>
    </row>
    <row r="67" spans="1:23" ht="13.5" thickBot="1">
      <c r="A67" s="18" t="s">
        <v>106</v>
      </c>
      <c r="B67" s="268">
        <f>SUM(C67:W67)</f>
        <v>-3256780.88480908</v>
      </c>
      <c r="C67" s="157">
        <f>C54+C65</f>
        <v>0</v>
      </c>
      <c r="D67" s="164">
        <f t="shared" ref="D67:E67" si="16">D54+D65</f>
        <v>0</v>
      </c>
      <c r="E67" s="164">
        <f t="shared" si="16"/>
        <v>0</v>
      </c>
      <c r="F67" s="164">
        <f t="shared" ref="F67:V67" si="17">F54+F65</f>
        <v>0</v>
      </c>
      <c r="G67" s="162">
        <f t="shared" si="17"/>
        <v>0</v>
      </c>
      <c r="H67" s="157">
        <f t="shared" si="17"/>
        <v>0</v>
      </c>
      <c r="I67" s="164">
        <f t="shared" si="17"/>
        <v>7282596.1270833286</v>
      </c>
      <c r="J67" s="164">
        <f t="shared" si="17"/>
        <v>-1087279.6666666667</v>
      </c>
      <c r="K67" s="164">
        <f t="shared" si="17"/>
        <v>0</v>
      </c>
      <c r="L67" s="164">
        <f t="shared" si="17"/>
        <v>0</v>
      </c>
      <c r="M67" s="157">
        <f t="shared" si="17"/>
        <v>0</v>
      </c>
      <c r="N67" s="162">
        <f t="shared" si="17"/>
        <v>0</v>
      </c>
      <c r="O67" s="268">
        <f t="shared" si="17"/>
        <v>281355.96356090385</v>
      </c>
      <c r="P67" s="157">
        <f t="shared" si="17"/>
        <v>0</v>
      </c>
      <c r="Q67" s="164">
        <f t="shared" si="17"/>
        <v>0</v>
      </c>
      <c r="R67" s="162">
        <f t="shared" si="17"/>
        <v>0</v>
      </c>
      <c r="S67" s="157">
        <f t="shared" si="17"/>
        <v>-315733.83958087338</v>
      </c>
      <c r="T67" s="164">
        <f t="shared" si="17"/>
        <v>-1356953.3966253332</v>
      </c>
      <c r="U67" s="162">
        <f t="shared" si="17"/>
        <v>-36215.42239254131</v>
      </c>
      <c r="V67" s="157">
        <f t="shared" si="17"/>
        <v>-7511212.5498003904</v>
      </c>
      <c r="W67" s="162">
        <f t="shared" ref="W67" si="18">W54+W65</f>
        <v>-513338.10038750677</v>
      </c>
    </row>
    <row r="68" spans="1:23" ht="13.5" thickTop="1">
      <c r="A68" s="18"/>
      <c r="B68" s="127"/>
      <c r="C68" s="39"/>
      <c r="D68" s="16"/>
      <c r="E68" s="16"/>
      <c r="F68" s="16"/>
      <c r="G68" s="125"/>
      <c r="H68" s="39"/>
      <c r="I68" s="16"/>
      <c r="J68" s="16"/>
      <c r="K68" s="16"/>
      <c r="L68" s="16"/>
      <c r="M68" s="39"/>
      <c r="N68" s="125"/>
      <c r="O68" s="127"/>
      <c r="P68" s="39"/>
      <c r="Q68" s="16"/>
      <c r="R68" s="125"/>
      <c r="S68" s="39"/>
      <c r="T68" s="16"/>
      <c r="U68" s="125"/>
      <c r="V68" s="39"/>
      <c r="W68" s="125"/>
    </row>
    <row r="69" spans="1:23">
      <c r="A69" s="18"/>
      <c r="B69" s="127"/>
      <c r="C69" s="39"/>
      <c r="D69" s="16"/>
      <c r="E69" s="16"/>
      <c r="F69" s="16"/>
      <c r="G69" s="125"/>
      <c r="H69" s="39"/>
      <c r="I69" s="16"/>
      <c r="J69" s="16"/>
      <c r="K69" s="16"/>
      <c r="L69" s="16"/>
      <c r="M69" s="39"/>
      <c r="N69" s="125"/>
      <c r="O69" s="127"/>
      <c r="P69" s="39"/>
      <c r="Q69" s="16"/>
      <c r="R69" s="125"/>
      <c r="S69" s="39"/>
      <c r="T69" s="16"/>
      <c r="U69" s="125"/>
      <c r="V69" s="39"/>
      <c r="W69" s="125"/>
    </row>
    <row r="70" spans="1:23">
      <c r="A70" s="18" t="s">
        <v>186</v>
      </c>
      <c r="B70" s="33">
        <f t="shared" ref="B70:W70" si="19">(((B40+Restated_Op_revenue)/(B67+Restated_rate_base))-Weighted_cost_debt-Weighted_cost_pref)/Percent_common-Restated_ROE</f>
        <v>2.7315350041415623E-2</v>
      </c>
      <c r="C70" s="31">
        <f t="shared" si="19"/>
        <v>5.8280725200543768E-2</v>
      </c>
      <c r="D70" s="30">
        <f t="shared" ref="D70:E70" si="20">(((D40+Restated_Op_revenue)/(D67+Restated_rate_base))-Weighted_cost_debt-Weighted_cost_pref)/Percent_common-Restated_ROE</f>
        <v>0</v>
      </c>
      <c r="E70" s="30">
        <f t="shared" si="20"/>
        <v>-1.3791712667101157E-2</v>
      </c>
      <c r="F70" s="30">
        <f t="shared" si="19"/>
        <v>1.4920826845034318E-3</v>
      </c>
      <c r="G70" s="32">
        <f t="shared" ref="G70" si="21">(((G40+Restated_Op_revenue)/(G67+Restated_rate_base))-Weighted_cost_debt-Weighted_cost_pref)/Percent_common-Restated_ROE</f>
        <v>1.7696190915819365E-3</v>
      </c>
      <c r="H70" s="31">
        <f t="shared" si="19"/>
        <v>0</v>
      </c>
      <c r="I70" s="30">
        <f t="shared" si="19"/>
        <v>6.7451998032103111E-4</v>
      </c>
      <c r="J70" s="30">
        <f t="shared" ref="J70" si="22">(((J40+Restated_Op_revenue)/(J67+Restated_rate_base))-Weighted_cost_debt-Weighted_cost_pref)/Percent_common-Restated_ROE</f>
        <v>2.7897431545316487E-4</v>
      </c>
      <c r="K70" s="30">
        <f t="shared" ref="K70:L70" si="23">(((K40+Restated_Op_revenue)/(K67+Restated_rate_base))-Weighted_cost_debt-Weighted_cost_pref)/Percent_common-Restated_ROE</f>
        <v>0</v>
      </c>
      <c r="L70" s="30">
        <f t="shared" si="23"/>
        <v>-4.493336710824497E-4</v>
      </c>
      <c r="M70" s="31">
        <f t="shared" si="19"/>
        <v>-2.3961870923038919E-2</v>
      </c>
      <c r="N70" s="32">
        <f t="shared" si="19"/>
        <v>1.9328914805489539E-3</v>
      </c>
      <c r="O70" s="33">
        <f t="shared" si="19"/>
        <v>-2.6138808474886199E-4</v>
      </c>
      <c r="P70" s="31">
        <f t="shared" si="19"/>
        <v>-8.9767526236142481E-5</v>
      </c>
      <c r="Q70" s="30">
        <f t="shared" ref="Q70" si="24">(((Q40+Restated_Op_revenue)/(Q67+Restated_rate_base))-Weighted_cost_debt-Weighted_cost_pref)/Percent_common-Restated_ROE</f>
        <v>2.1258639914343846E-3</v>
      </c>
      <c r="R70" s="32">
        <f t="shared" si="19"/>
        <v>-3.059013950523673E-3</v>
      </c>
      <c r="S70" s="31">
        <f t="shared" si="19"/>
        <v>8.6479477373710423E-4</v>
      </c>
      <c r="T70" s="30">
        <f t="shared" si="19"/>
        <v>-5.001560365534341E-3</v>
      </c>
      <c r="U70" s="32">
        <f t="shared" ref="U70" si="25">(((U40+Restated_Op_revenue)/(U67+Restated_rate_base))-Weighted_cost_debt-Weighted_cost_pref)/Percent_common-Restated_ROE</f>
        <v>1.683491279506899E-4</v>
      </c>
      <c r="V70" s="31">
        <f t="shared" si="19"/>
        <v>2.7546459074566931E-3</v>
      </c>
      <c r="W70" s="23">
        <f t="shared" si="19"/>
        <v>3.4846803636159746E-3</v>
      </c>
    </row>
    <row r="71" spans="1:23">
      <c r="A71" s="18" t="s">
        <v>53</v>
      </c>
      <c r="B71" s="127">
        <f>SUM(C71:W71)</f>
        <v>-16295621.330168521</v>
      </c>
      <c r="C71" s="39">
        <f t="shared" ref="C71:W71" si="26">-(C40-(C67*Overall_ROR))/gross_up_factor</f>
        <v>-34776230.51771117</v>
      </c>
      <c r="D71" s="16">
        <f t="shared" ref="D71:E71" si="27">-(D40-(D67*Overall_ROR))/gross_up_factor</f>
        <v>0</v>
      </c>
      <c r="E71" s="16">
        <f t="shared" si="27"/>
        <v>8229543.7693124637</v>
      </c>
      <c r="F71" s="16">
        <f t="shared" si="26"/>
        <v>-890328.85588205198</v>
      </c>
      <c r="G71" s="125">
        <f t="shared" ref="G71" si="28">-(G40-(G67*Overall_ROR))/gross_up_factor</f>
        <v>-1055935.4099598951</v>
      </c>
      <c r="H71" s="39">
        <f t="shared" si="26"/>
        <v>0</v>
      </c>
      <c r="I71" s="16">
        <f t="shared" si="26"/>
        <v>-256735.48419641086</v>
      </c>
      <c r="J71" s="16">
        <f t="shared" ref="J71" si="29">-(J40-(J67*Overall_ROR))/gross_up_factor</f>
        <v>-188565.5517991177</v>
      </c>
      <c r="K71" s="16">
        <f t="shared" ref="K71:L71" si="30">-(K40-(K67*Overall_ROR))/gross_up_factor</f>
        <v>0</v>
      </c>
      <c r="L71" s="16">
        <f t="shared" si="30"/>
        <v>268118.34051760333</v>
      </c>
      <c r="M71" s="39">
        <f t="shared" si="26"/>
        <v>14298098.453439755</v>
      </c>
      <c r="N71" s="125">
        <f t="shared" si="26"/>
        <v>-1153360.3856505116</v>
      </c>
      <c r="O71" s="127">
        <f t="shared" si="26"/>
        <v>161810.25971817182</v>
      </c>
      <c r="P71" s="39">
        <f t="shared" si="26"/>
        <v>53564.470494334048</v>
      </c>
      <c r="Q71" s="16">
        <f t="shared" ref="Q71" si="31">-(Q40-(Q67*Overall_ROR))/gross_up_factor</f>
        <v>-1268507.4861548657</v>
      </c>
      <c r="R71" s="125">
        <f t="shared" si="26"/>
        <v>1825320.0167679728</v>
      </c>
      <c r="S71" s="39">
        <f t="shared" si="26"/>
        <v>-522296.30534926796</v>
      </c>
      <c r="T71" s="16">
        <f t="shared" si="26"/>
        <v>2951186.4422894721</v>
      </c>
      <c r="U71" s="125">
        <f t="shared" ref="U71" si="32">-(U40-(U67*Overall_ROR))/gross_up_factor</f>
        <v>-101193.59429702058</v>
      </c>
      <c r="V71" s="39">
        <f t="shared" si="26"/>
        <v>-1781661.6132935451</v>
      </c>
      <c r="W71" s="125">
        <f t="shared" si="26"/>
        <v>-2088447.8784144386</v>
      </c>
    </row>
    <row r="72" spans="1:23">
      <c r="A72" s="18"/>
      <c r="B72" s="24"/>
      <c r="C72" s="22"/>
      <c r="D72" s="21"/>
      <c r="E72" s="21"/>
      <c r="F72" s="21"/>
      <c r="G72" s="23"/>
      <c r="H72" s="22"/>
      <c r="I72" s="21"/>
      <c r="J72" s="21"/>
      <c r="K72" s="21"/>
      <c r="L72" s="21"/>
      <c r="M72" s="22"/>
      <c r="N72" s="23"/>
      <c r="O72" s="24"/>
      <c r="P72" s="22"/>
      <c r="Q72" s="21"/>
      <c r="R72" s="23"/>
      <c r="S72" s="22"/>
      <c r="T72" s="21"/>
      <c r="U72" s="23"/>
      <c r="V72" s="22"/>
      <c r="W72" s="23"/>
    </row>
    <row r="73" spans="1:23">
      <c r="A73" s="18" t="s">
        <v>108</v>
      </c>
      <c r="B73" s="127"/>
      <c r="C73" s="39"/>
      <c r="D73" s="16"/>
      <c r="E73" s="16"/>
      <c r="F73" s="16"/>
      <c r="G73" s="125"/>
      <c r="H73" s="39"/>
      <c r="I73" s="16"/>
      <c r="J73" s="16"/>
      <c r="K73" s="16"/>
      <c r="L73" s="16"/>
      <c r="M73" s="39"/>
      <c r="N73" s="125"/>
      <c r="O73" s="127"/>
      <c r="P73" s="39"/>
      <c r="Q73" s="16"/>
      <c r="R73" s="125"/>
      <c r="S73" s="39"/>
      <c r="T73" s="16"/>
      <c r="U73" s="125"/>
      <c r="V73" s="39"/>
      <c r="W73" s="125"/>
    </row>
    <row r="74" spans="1:23">
      <c r="A74" s="18" t="s">
        <v>109</v>
      </c>
      <c r="B74" s="127">
        <f t="shared" ref="B74:B80" si="33">SUM(C74:W74)</f>
        <v>14636806.504739147</v>
      </c>
      <c r="C74" s="39">
        <f t="shared" ref="C74:W74" si="34">C16-C29-C30-C31-C32-C37</f>
        <v>33183479.159999996</v>
      </c>
      <c r="D74" s="16">
        <f t="shared" si="34"/>
        <v>0</v>
      </c>
      <c r="E74" s="16">
        <f t="shared" si="34"/>
        <v>-7852630.6646779515</v>
      </c>
      <c r="F74" s="16">
        <f t="shared" si="34"/>
        <v>849551.79428265383</v>
      </c>
      <c r="G74" s="125">
        <f t="shared" si="34"/>
        <v>1007573.5681837318</v>
      </c>
      <c r="H74" s="39">
        <f t="shared" si="34"/>
        <v>0</v>
      </c>
      <c r="I74" s="16">
        <f t="shared" si="34"/>
        <v>1146121.1485585673</v>
      </c>
      <c r="J74" s="16">
        <f t="shared" si="34"/>
        <v>4243.9566412224667</v>
      </c>
      <c r="K74" s="16">
        <f t="shared" ref="K74:L74" si="35">K16-K29-K30-K31-K32-K37</f>
        <v>0</v>
      </c>
      <c r="L74" s="16">
        <f t="shared" si="35"/>
        <v>158128.65403550165</v>
      </c>
      <c r="M74" s="39">
        <f t="shared" si="34"/>
        <v>-13643245.544272214</v>
      </c>
      <c r="N74" s="125">
        <f t="shared" si="34"/>
        <v>1100536.4799877179</v>
      </c>
      <c r="O74" s="127">
        <f t="shared" si="34"/>
        <v>0</v>
      </c>
      <c r="P74" s="39">
        <f t="shared" si="34"/>
        <v>0</v>
      </c>
      <c r="Q74" s="16">
        <f t="shared" si="34"/>
        <v>0</v>
      </c>
      <c r="R74" s="125">
        <f t="shared" si="34"/>
        <v>-1741720.3599999994</v>
      </c>
      <c r="S74" s="39">
        <f t="shared" si="34"/>
        <v>417461.63265081216</v>
      </c>
      <c r="T74" s="16">
        <f t="shared" si="34"/>
        <v>-2976529.56</v>
      </c>
      <c r="U74" s="125">
        <f t="shared" si="34"/>
        <v>92246.506611782112</v>
      </c>
      <c r="V74" s="39">
        <f t="shared" si="34"/>
        <v>805649.43239770015</v>
      </c>
      <c r="W74" s="125">
        <f t="shared" si="34"/>
        <v>2085940.3003396289</v>
      </c>
    </row>
    <row r="75" spans="1:23">
      <c r="A75" s="18" t="s">
        <v>110</v>
      </c>
      <c r="B75" s="127">
        <f t="shared" si="33"/>
        <v>0</v>
      </c>
      <c r="C75" s="39"/>
      <c r="D75" s="16"/>
      <c r="E75" s="16"/>
      <c r="F75" s="16"/>
      <c r="G75" s="125"/>
      <c r="H75" s="39"/>
      <c r="I75" s="16"/>
      <c r="J75" s="16"/>
      <c r="K75" s="16"/>
      <c r="L75" s="16"/>
      <c r="M75" s="39"/>
      <c r="N75" s="125"/>
      <c r="O75" s="127"/>
      <c r="P75" s="39"/>
      <c r="Q75" s="16"/>
      <c r="R75" s="125"/>
      <c r="S75" s="39"/>
      <c r="T75" s="16"/>
      <c r="U75" s="125"/>
      <c r="V75" s="39"/>
      <c r="W75" s="125"/>
    </row>
    <row r="76" spans="1:23">
      <c r="A76" s="18" t="s">
        <v>111</v>
      </c>
      <c r="B76" s="142">
        <f t="shared" si="33"/>
        <v>0</v>
      </c>
      <c r="C76" s="40"/>
      <c r="D76" s="129"/>
      <c r="E76" s="129"/>
      <c r="F76" s="129"/>
      <c r="G76" s="130"/>
      <c r="H76" s="40"/>
      <c r="I76" s="129"/>
      <c r="J76" s="129"/>
      <c r="K76" s="129"/>
      <c r="L76" s="129"/>
      <c r="M76" s="40"/>
      <c r="N76" s="130"/>
      <c r="O76" s="142"/>
      <c r="P76" s="40"/>
      <c r="Q76" s="129"/>
      <c r="R76" s="130"/>
      <c r="S76" s="40"/>
      <c r="T76" s="129"/>
      <c r="U76" s="130"/>
      <c r="V76" s="40"/>
      <c r="W76" s="130"/>
    </row>
    <row r="77" spans="1:23">
      <c r="A77" s="18" t="s">
        <v>112</v>
      </c>
      <c r="B77" s="142">
        <f t="shared" si="33"/>
        <v>-94920.83295628801</v>
      </c>
      <c r="C77" s="40"/>
      <c r="D77" s="129"/>
      <c r="E77" s="129"/>
      <c r="F77" s="129"/>
      <c r="G77" s="130"/>
      <c r="H77" s="40"/>
      <c r="I77" s="129"/>
      <c r="J77" s="129"/>
      <c r="K77" s="129"/>
      <c r="L77" s="129"/>
      <c r="M77" s="40"/>
      <c r="N77" s="130"/>
      <c r="O77" s="142"/>
      <c r="P77" s="40">
        <f>'Interest Calc'!C26</f>
        <v>-94920.83295628801</v>
      </c>
      <c r="Q77" s="129"/>
      <c r="R77" s="130"/>
      <c r="S77" s="40"/>
      <c r="T77" s="129"/>
      <c r="U77" s="130"/>
      <c r="V77" s="40"/>
      <c r="W77" s="130"/>
    </row>
    <row r="78" spans="1:23">
      <c r="A78" s="18" t="s">
        <v>113</v>
      </c>
      <c r="B78" s="142">
        <f t="shared" si="33"/>
        <v>682548.26504344889</v>
      </c>
      <c r="C78" s="40"/>
      <c r="D78" s="129"/>
      <c r="E78" s="129"/>
      <c r="F78" s="129"/>
      <c r="G78" s="130"/>
      <c r="H78" s="40"/>
      <c r="I78" s="129"/>
      <c r="J78" s="129">
        <f>'[49]4.6'!$F$17</f>
        <v>1017960.0166412225</v>
      </c>
      <c r="K78" s="129"/>
      <c r="L78" s="322">
        <f>'[10]4.11'!$H$44</f>
        <v>-414270.30233260454</v>
      </c>
      <c r="M78" s="40"/>
      <c r="N78" s="130"/>
      <c r="O78" s="142"/>
      <c r="P78" s="40"/>
      <c r="Q78" s="129"/>
      <c r="R78" s="130"/>
      <c r="S78" s="40">
        <f>'[46]Lead Sheet'!$I$29+'[46]Lead Sheet'!$I$33</f>
        <v>102328.99073483082</v>
      </c>
      <c r="T78" s="129">
        <f>'[44]Lead Sheet - WA '!$I$22+'[44]Lead Sheet - WA '!$I$26</f>
        <v>-23470.439999999988</v>
      </c>
      <c r="U78" s="130"/>
      <c r="V78" s="40"/>
      <c r="W78" s="130"/>
    </row>
    <row r="79" spans="1:23">
      <c r="A79" s="18" t="s">
        <v>114</v>
      </c>
      <c r="B79" s="142">
        <f t="shared" si="33"/>
        <v>1375958.3254740317</v>
      </c>
      <c r="C79" s="39"/>
      <c r="D79" s="16"/>
      <c r="E79" s="16"/>
      <c r="F79" s="16"/>
      <c r="G79" s="125"/>
      <c r="H79" s="39"/>
      <c r="I79" s="129">
        <f>'[48]Lead Sheet'!$I$30</f>
        <v>747897.83724663057</v>
      </c>
      <c r="J79" s="129"/>
      <c r="K79" s="129"/>
      <c r="L79" s="322">
        <f>'[10]4.11'!$H$47+'[10]4.11'!$H$45</f>
        <v>-1183066.4836534879</v>
      </c>
      <c r="M79" s="39"/>
      <c r="N79" s="125"/>
      <c r="O79" s="127">
        <f>'[37]Lead Sheet AMA'!$I$21</f>
        <v>2662914.971880889</v>
      </c>
      <c r="P79" s="39"/>
      <c r="Q79" s="16"/>
      <c r="R79" s="125"/>
      <c r="S79" s="39">
        <f>'[46]Lead Sheet'!$I$37</f>
        <v>-851788</v>
      </c>
      <c r="T79" s="16"/>
      <c r="U79" s="125"/>
      <c r="V79" s="39"/>
      <c r="W79" s="125"/>
    </row>
    <row r="80" spans="1:23">
      <c r="A80" s="18" t="s">
        <v>115</v>
      </c>
      <c r="B80" s="245">
        <f t="shared" si="33"/>
        <v>14038317.277264856</v>
      </c>
      <c r="C80" s="158">
        <f t="shared" ref="C80:V80" si="36">C74-C76-C77+C78-C79</f>
        <v>33183479.159999996</v>
      </c>
      <c r="D80" s="165">
        <f t="shared" si="36"/>
        <v>0</v>
      </c>
      <c r="E80" s="165">
        <f t="shared" si="36"/>
        <v>-7852630.6646779515</v>
      </c>
      <c r="F80" s="165">
        <f t="shared" si="36"/>
        <v>849551.79428265383</v>
      </c>
      <c r="G80" s="163">
        <f t="shared" si="36"/>
        <v>1007573.5681837318</v>
      </c>
      <c r="H80" s="158">
        <f t="shared" si="36"/>
        <v>0</v>
      </c>
      <c r="I80" s="165">
        <f t="shared" si="36"/>
        <v>398223.3113119367</v>
      </c>
      <c r="J80" s="165">
        <f t="shared" si="36"/>
        <v>1022203.973282445</v>
      </c>
      <c r="K80" s="165">
        <f t="shared" si="36"/>
        <v>0</v>
      </c>
      <c r="L80" s="165">
        <f t="shared" si="36"/>
        <v>926924.83535638498</v>
      </c>
      <c r="M80" s="158">
        <f t="shared" si="36"/>
        <v>-13643245.544272214</v>
      </c>
      <c r="N80" s="163">
        <f t="shared" si="36"/>
        <v>1100536.4799877179</v>
      </c>
      <c r="O80" s="245">
        <f t="shared" si="36"/>
        <v>-2662914.971880889</v>
      </c>
      <c r="P80" s="158">
        <f t="shared" si="36"/>
        <v>94920.83295628801</v>
      </c>
      <c r="Q80" s="165">
        <f t="shared" ref="Q80" si="37">Q74-Q76-Q77+Q78-Q79</f>
        <v>0</v>
      </c>
      <c r="R80" s="163">
        <f t="shared" si="36"/>
        <v>-1741720.3599999994</v>
      </c>
      <c r="S80" s="158">
        <f t="shared" si="36"/>
        <v>1371578.6233856431</v>
      </c>
      <c r="T80" s="165">
        <f t="shared" si="36"/>
        <v>-3000000</v>
      </c>
      <c r="U80" s="163">
        <f t="shared" si="36"/>
        <v>92246.506611782112</v>
      </c>
      <c r="V80" s="158">
        <f t="shared" si="36"/>
        <v>805649.43239770015</v>
      </c>
      <c r="W80" s="163">
        <f t="shared" ref="W80" si="38">W74-W76-W77+W78-W79</f>
        <v>2085940.3003396289</v>
      </c>
    </row>
    <row r="81" spans="1:23">
      <c r="A81" s="18"/>
      <c r="B81" s="127"/>
      <c r="C81" s="39"/>
      <c r="D81" s="16"/>
      <c r="E81" s="16"/>
      <c r="F81" s="16"/>
      <c r="G81" s="125"/>
      <c r="H81" s="39"/>
      <c r="I81" s="16"/>
      <c r="J81" s="16"/>
      <c r="K81" s="16"/>
      <c r="L81" s="16"/>
      <c r="M81" s="39"/>
      <c r="N81" s="125"/>
      <c r="O81" s="127"/>
      <c r="P81" s="39"/>
      <c r="Q81" s="16"/>
      <c r="R81" s="125"/>
      <c r="S81" s="39"/>
      <c r="T81" s="16"/>
      <c r="U81" s="125"/>
      <c r="V81" s="39"/>
      <c r="W81" s="125"/>
    </row>
    <row r="82" spans="1:23">
      <c r="A82" s="18" t="s">
        <v>116</v>
      </c>
      <c r="B82" s="127">
        <f>SUM(C82:W82)</f>
        <v>0</v>
      </c>
      <c r="C82" s="39">
        <v>0</v>
      </c>
      <c r="D82" s="16"/>
      <c r="E82" s="16"/>
      <c r="F82" s="16">
        <v>0</v>
      </c>
      <c r="G82" s="125"/>
      <c r="H82" s="39">
        <v>0</v>
      </c>
      <c r="I82" s="16">
        <v>0</v>
      </c>
      <c r="J82" s="16">
        <v>0</v>
      </c>
      <c r="K82" s="16">
        <v>0</v>
      </c>
      <c r="L82" s="16">
        <v>0</v>
      </c>
      <c r="M82" s="39">
        <v>0</v>
      </c>
      <c r="N82" s="125">
        <v>0</v>
      </c>
      <c r="O82" s="127">
        <v>0</v>
      </c>
      <c r="P82" s="39">
        <v>0</v>
      </c>
      <c r="Q82" s="16">
        <v>0</v>
      </c>
      <c r="R82" s="125">
        <v>0</v>
      </c>
      <c r="S82" s="39">
        <v>0</v>
      </c>
      <c r="T82" s="16">
        <v>0</v>
      </c>
      <c r="U82" s="125">
        <v>0</v>
      </c>
      <c r="V82" s="39">
        <v>0</v>
      </c>
      <c r="W82" s="125">
        <v>0</v>
      </c>
    </row>
    <row r="83" spans="1:23">
      <c r="A83" s="18" t="s">
        <v>117</v>
      </c>
      <c r="B83" s="127">
        <f>SUM(C83:W83)</f>
        <v>14038317.277264856</v>
      </c>
      <c r="C83" s="39">
        <f>C80-C82</f>
        <v>33183479.159999996</v>
      </c>
      <c r="D83" s="16">
        <f t="shared" ref="D83:E83" si="39">D80-D82</f>
        <v>0</v>
      </c>
      <c r="E83" s="16">
        <f t="shared" si="39"/>
        <v>-7852630.6646779515</v>
      </c>
      <c r="F83" s="16">
        <f t="shared" ref="F83:W83" si="40">F80-F82</f>
        <v>849551.79428265383</v>
      </c>
      <c r="G83" s="125">
        <f t="shared" si="40"/>
        <v>1007573.5681837318</v>
      </c>
      <c r="H83" s="39">
        <f t="shared" si="40"/>
        <v>0</v>
      </c>
      <c r="I83" s="16">
        <f t="shared" si="40"/>
        <v>398223.3113119367</v>
      </c>
      <c r="J83" s="16">
        <f t="shared" si="40"/>
        <v>1022203.973282445</v>
      </c>
      <c r="K83" s="16">
        <f t="shared" si="40"/>
        <v>0</v>
      </c>
      <c r="L83" s="16">
        <f t="shared" si="40"/>
        <v>926924.83535638498</v>
      </c>
      <c r="M83" s="39">
        <f t="shared" si="40"/>
        <v>-13643245.544272214</v>
      </c>
      <c r="N83" s="125">
        <f t="shared" si="40"/>
        <v>1100536.4799877179</v>
      </c>
      <c r="O83" s="127">
        <f t="shared" si="40"/>
        <v>-2662914.971880889</v>
      </c>
      <c r="P83" s="39">
        <f t="shared" si="40"/>
        <v>94920.83295628801</v>
      </c>
      <c r="Q83" s="16">
        <f t="shared" ref="Q83" si="41">Q80-Q82</f>
        <v>0</v>
      </c>
      <c r="R83" s="125">
        <f t="shared" si="40"/>
        <v>-1741720.3599999994</v>
      </c>
      <c r="S83" s="39">
        <f t="shared" si="40"/>
        <v>1371578.6233856431</v>
      </c>
      <c r="T83" s="16">
        <f t="shared" si="40"/>
        <v>-3000000</v>
      </c>
      <c r="U83" s="125">
        <f t="shared" si="40"/>
        <v>92246.506611782112</v>
      </c>
      <c r="V83" s="39">
        <f t="shared" si="40"/>
        <v>805649.43239770015</v>
      </c>
      <c r="W83" s="125">
        <f t="shared" si="40"/>
        <v>2085940.3003396289</v>
      </c>
    </row>
    <row r="84" spans="1:23">
      <c r="A84" s="18"/>
      <c r="B84" s="127"/>
      <c r="C84" s="39"/>
      <c r="D84" s="16"/>
      <c r="E84" s="16"/>
      <c r="F84" s="16"/>
      <c r="G84" s="125"/>
      <c r="H84" s="39"/>
      <c r="I84" s="16"/>
      <c r="J84" s="16"/>
      <c r="K84" s="16"/>
      <c r="L84" s="16"/>
      <c r="M84" s="39"/>
      <c r="N84" s="125"/>
      <c r="O84" s="127"/>
      <c r="P84" s="39"/>
      <c r="Q84" s="16"/>
      <c r="R84" s="125"/>
      <c r="S84" s="39"/>
      <c r="T84" s="16"/>
      <c r="U84" s="125"/>
      <c r="V84" s="39"/>
      <c r="W84" s="125"/>
    </row>
    <row r="85" spans="1:23">
      <c r="A85" s="18" t="s">
        <v>166</v>
      </c>
      <c r="B85" s="127">
        <f>SUM(C85:W85)</f>
        <v>4913411.0470426986</v>
      </c>
      <c r="C85" s="39">
        <f>C83*0.35</f>
        <v>11614217.705999998</v>
      </c>
      <c r="D85" s="16">
        <f t="shared" ref="D85:E85" si="42">D83*0.35</f>
        <v>0</v>
      </c>
      <c r="E85" s="16">
        <f t="shared" si="42"/>
        <v>-2748420.7326372829</v>
      </c>
      <c r="F85" s="16">
        <f t="shared" ref="F85:W85" si="43">F83*0.35</f>
        <v>297343.12799892883</v>
      </c>
      <c r="G85" s="125">
        <f t="shared" si="43"/>
        <v>352650.74886430608</v>
      </c>
      <c r="H85" s="39">
        <f t="shared" si="43"/>
        <v>0</v>
      </c>
      <c r="I85" s="16">
        <f t="shared" si="43"/>
        <v>139378.15895917785</v>
      </c>
      <c r="J85" s="16">
        <f t="shared" si="43"/>
        <v>357771.39064885571</v>
      </c>
      <c r="K85" s="16">
        <f t="shared" si="43"/>
        <v>0</v>
      </c>
      <c r="L85" s="16">
        <f t="shared" si="43"/>
        <v>324423.69237473473</v>
      </c>
      <c r="M85" s="39">
        <f t="shared" si="43"/>
        <v>-4775135.940495275</v>
      </c>
      <c r="N85" s="125">
        <f t="shared" si="43"/>
        <v>385187.76799570123</v>
      </c>
      <c r="O85" s="127">
        <f t="shared" si="43"/>
        <v>-932020.24015831109</v>
      </c>
      <c r="P85" s="39">
        <f t="shared" si="43"/>
        <v>33222.291534700802</v>
      </c>
      <c r="Q85" s="16">
        <f t="shared" ref="Q85" si="44">Q83*0.35</f>
        <v>0</v>
      </c>
      <c r="R85" s="125">
        <f t="shared" si="43"/>
        <v>-609602.1259999997</v>
      </c>
      <c r="S85" s="39">
        <f t="shared" si="43"/>
        <v>480052.51818497508</v>
      </c>
      <c r="T85" s="16">
        <f t="shared" si="43"/>
        <v>-1050000</v>
      </c>
      <c r="U85" s="125">
        <f t="shared" si="43"/>
        <v>32286.277314123738</v>
      </c>
      <c r="V85" s="39">
        <f t="shared" si="43"/>
        <v>281977.30133919505</v>
      </c>
      <c r="W85" s="125">
        <f t="shared" si="43"/>
        <v>730079.10511887004</v>
      </c>
    </row>
    <row r="86" spans="1:23">
      <c r="A86" s="18" t="s">
        <v>167</v>
      </c>
      <c r="B86" s="127">
        <f>SUM(C86:W86)</f>
        <v>-1105653.619989312</v>
      </c>
      <c r="C86" s="39"/>
      <c r="D86" s="16"/>
      <c r="E86" s="16"/>
      <c r="F86" s="16"/>
      <c r="G86" s="125"/>
      <c r="H86" s="39"/>
      <c r="I86" s="16"/>
      <c r="J86" s="16"/>
      <c r="K86" s="16"/>
      <c r="L86" s="16"/>
      <c r="M86" s="39"/>
      <c r="N86" s="125"/>
      <c r="O86" s="127"/>
      <c r="P86" s="39"/>
      <c r="Q86" s="16">
        <f>'[52]Lead Sheet 2010'!$I$9+'[52]Lead Sheet 2010'!$I$13</f>
        <v>-1205929.156551077</v>
      </c>
      <c r="R86" s="125"/>
      <c r="S86" s="39"/>
      <c r="T86" s="16"/>
      <c r="U86" s="125"/>
      <c r="V86" s="39"/>
      <c r="W86" s="125">
        <f>'[50]Lead Sheet'!$I$73</f>
        <v>100275.5365617651</v>
      </c>
    </row>
    <row r="87" spans="1:23" s="2" customFormat="1" ht="13.5" thickBot="1">
      <c r="A87" s="18" t="s">
        <v>168</v>
      </c>
      <c r="B87" s="256">
        <f>SUM(C87:W87)</f>
        <v>3807757.4270533868</v>
      </c>
      <c r="C87" s="155">
        <f>C85+C86</f>
        <v>11614217.705999998</v>
      </c>
      <c r="D87" s="153">
        <f t="shared" ref="D87:E87" si="45">D85+D86</f>
        <v>0</v>
      </c>
      <c r="E87" s="153">
        <f t="shared" si="45"/>
        <v>-2748420.7326372829</v>
      </c>
      <c r="F87" s="153">
        <f t="shared" ref="F87:W87" si="46">F85+F86</f>
        <v>297343.12799892883</v>
      </c>
      <c r="G87" s="154">
        <f t="shared" si="46"/>
        <v>352650.74886430608</v>
      </c>
      <c r="H87" s="155">
        <f t="shared" si="46"/>
        <v>0</v>
      </c>
      <c r="I87" s="153">
        <f t="shared" si="46"/>
        <v>139378.15895917785</v>
      </c>
      <c r="J87" s="153">
        <f t="shared" si="46"/>
        <v>357771.39064885571</v>
      </c>
      <c r="K87" s="153">
        <f t="shared" si="46"/>
        <v>0</v>
      </c>
      <c r="L87" s="153">
        <f t="shared" si="46"/>
        <v>324423.69237473473</v>
      </c>
      <c r="M87" s="155">
        <f t="shared" si="46"/>
        <v>-4775135.940495275</v>
      </c>
      <c r="N87" s="154">
        <f t="shared" si="46"/>
        <v>385187.76799570123</v>
      </c>
      <c r="O87" s="256">
        <f t="shared" si="46"/>
        <v>-932020.24015831109</v>
      </c>
      <c r="P87" s="155">
        <f t="shared" si="46"/>
        <v>33222.291534700802</v>
      </c>
      <c r="Q87" s="153">
        <f t="shared" si="46"/>
        <v>-1205929.156551077</v>
      </c>
      <c r="R87" s="154">
        <f t="shared" si="46"/>
        <v>-609602.1259999997</v>
      </c>
      <c r="S87" s="155">
        <f t="shared" si="46"/>
        <v>480052.51818497508</v>
      </c>
      <c r="T87" s="153">
        <f t="shared" si="46"/>
        <v>-1050000</v>
      </c>
      <c r="U87" s="154">
        <f t="shared" si="46"/>
        <v>32286.277314123738</v>
      </c>
      <c r="V87" s="155">
        <f t="shared" si="46"/>
        <v>281977.30133919505</v>
      </c>
      <c r="W87" s="154">
        <f t="shared" si="46"/>
        <v>830354.64168063516</v>
      </c>
    </row>
    <row r="88" spans="1:23" s="2" customFormat="1">
      <c r="A88" s="18"/>
      <c r="B88" s="16"/>
      <c r="C88" s="16"/>
      <c r="D88" s="16"/>
      <c r="E88" s="16"/>
      <c r="F88" s="16"/>
      <c r="G88" s="16"/>
      <c r="H88" s="16"/>
      <c r="I88" s="16"/>
      <c r="J88" s="16"/>
      <c r="K88" s="16"/>
      <c r="L88" s="16"/>
      <c r="M88" s="16"/>
      <c r="N88" s="16"/>
      <c r="O88" s="16"/>
      <c r="P88" s="16"/>
      <c r="Q88" s="16"/>
      <c r="R88" s="16"/>
      <c r="S88" s="16"/>
      <c r="T88" s="16"/>
      <c r="U88" s="16"/>
      <c r="V88" s="16"/>
      <c r="W88" s="16"/>
    </row>
    <row r="89" spans="1:23" s="2" customFormat="1">
      <c r="A89" s="18"/>
      <c r="B89" s="16"/>
      <c r="C89" s="16"/>
      <c r="D89" s="16"/>
      <c r="E89" s="16"/>
      <c r="F89" s="16"/>
      <c r="G89" s="16"/>
      <c r="H89" s="16"/>
      <c r="I89" s="16"/>
      <c r="J89" s="16"/>
      <c r="K89" s="16"/>
      <c r="L89" s="16"/>
      <c r="M89" s="16"/>
      <c r="N89" s="16"/>
      <c r="O89" s="16"/>
      <c r="P89" s="16"/>
      <c r="Q89" s="16"/>
      <c r="R89" s="16"/>
      <c r="S89" s="16"/>
      <c r="T89" s="16"/>
      <c r="U89" s="16"/>
      <c r="V89" s="16"/>
      <c r="W89" s="16"/>
    </row>
    <row r="90" spans="1:23" s="2" customFormat="1">
      <c r="A90" s="258"/>
      <c r="B90" s="16"/>
      <c r="C90" s="16"/>
      <c r="D90" s="16"/>
      <c r="E90" s="16"/>
      <c r="F90" s="16"/>
      <c r="G90" s="16"/>
      <c r="H90" s="16"/>
      <c r="I90" s="16"/>
      <c r="J90" s="16"/>
      <c r="K90" s="16"/>
      <c r="L90" s="16"/>
      <c r="M90" s="16"/>
      <c r="N90" s="16"/>
      <c r="O90" s="16"/>
      <c r="P90" s="16"/>
      <c r="Q90" s="16"/>
      <c r="R90" s="16"/>
      <c r="S90" s="16"/>
      <c r="T90" s="16"/>
      <c r="U90" s="16"/>
      <c r="V90" s="16"/>
      <c r="W90" s="16"/>
    </row>
    <row r="91" spans="1:23" s="2" customFormat="1">
      <c r="A91" s="18"/>
      <c r="B91" s="16"/>
      <c r="C91" s="16"/>
      <c r="D91" s="16"/>
      <c r="E91" s="16"/>
      <c r="F91" s="16"/>
      <c r="G91" s="16"/>
      <c r="H91" s="16"/>
      <c r="I91" s="16"/>
      <c r="J91" s="16"/>
      <c r="K91" s="16"/>
      <c r="L91" s="16"/>
      <c r="M91" s="16"/>
      <c r="N91" s="16"/>
      <c r="O91" s="16"/>
      <c r="P91" s="16"/>
      <c r="Q91" s="16"/>
      <c r="R91" s="16"/>
      <c r="S91" s="16"/>
      <c r="T91" s="16"/>
      <c r="U91" s="16"/>
      <c r="V91" s="16"/>
      <c r="W91" s="16"/>
    </row>
    <row r="92" spans="1:23" s="2" customFormat="1">
      <c r="A92" s="18"/>
    </row>
    <row r="93" spans="1:23" s="2" customFormat="1">
      <c r="A93" s="259"/>
    </row>
    <row r="94" spans="1:23" s="2" customFormat="1"/>
  </sheetData>
  <mergeCells count="2">
    <mergeCell ref="P7:R7"/>
    <mergeCell ref="S7:U7"/>
  </mergeCells>
  <phoneticPr fontId="4" type="noConversion"/>
  <pageMargins left="1" right="0.5" top="0.75" bottom="0.5" header="0.4" footer="0.5"/>
  <pageSetup scale="64" firstPageNumber="20" fitToWidth="4" orientation="portrait" useFirstPageNumber="1" r:id="rId1"/>
  <headerFooter alignWithMargins="0">
    <oddHeader xml:space="preserve">&amp;L&amp;12PacifiCorp
Washington General Rate Case - December 2010
Summary of Pro Forma Adjustments&amp;R&amp;12Page 1.&amp;P
</oddHeader>
  </headerFooter>
  <colBreaks count="1" manualBreakCount="1">
    <brk id="7" min="4" max="86" man="1"/>
  </colBreaks>
</worksheet>
</file>

<file path=xl/worksheets/sheet21.xml><?xml version="1.0" encoding="utf-8"?>
<worksheet xmlns="http://schemas.openxmlformats.org/spreadsheetml/2006/main" xmlns:r="http://schemas.openxmlformats.org/officeDocument/2006/relationships">
  <sheetPr codeName="Sheet7">
    <pageSetUpPr fitToPage="1"/>
  </sheetPr>
  <dimension ref="B1:D26"/>
  <sheetViews>
    <sheetView zoomScale="85" zoomScaleNormal="85" workbookViewId="0">
      <selection activeCell="C26" sqref="C26"/>
    </sheetView>
  </sheetViews>
  <sheetFormatPr defaultRowHeight="12.75"/>
  <cols>
    <col min="1" max="1" width="3.140625" style="25" customWidth="1"/>
    <col min="2" max="2" width="42.28515625" style="25" customWidth="1"/>
    <col min="3" max="3" width="16.28515625" style="25" customWidth="1"/>
    <col min="4" max="4" width="26.28515625" style="25" customWidth="1"/>
    <col min="5" max="5" width="14" style="25" bestFit="1" customWidth="1"/>
    <col min="6" max="16384" width="9.140625" style="25"/>
  </cols>
  <sheetData>
    <row r="1" spans="2:4">
      <c r="B1" s="35" t="s">
        <v>52</v>
      </c>
    </row>
    <row r="2" spans="2:4">
      <c r="B2" s="35" t="s">
        <v>225</v>
      </c>
    </row>
    <row r="3" spans="2:4">
      <c r="B3" s="35" t="s">
        <v>155</v>
      </c>
    </row>
    <row r="5" spans="2:4">
      <c r="B5" s="36" t="s">
        <v>184</v>
      </c>
      <c r="D5" s="81" t="s">
        <v>193</v>
      </c>
    </row>
    <row r="6" spans="2:4">
      <c r="B6" s="25" t="s">
        <v>156</v>
      </c>
      <c r="C6" s="3">
        <f>Summary!B74</f>
        <v>22961344.056319799</v>
      </c>
      <c r="D6" s="82" t="s">
        <v>194</v>
      </c>
    </row>
    <row r="9" spans="2:4">
      <c r="B9" s="36" t="s">
        <v>161</v>
      </c>
    </row>
    <row r="10" spans="2:4">
      <c r="B10" s="25" t="s">
        <v>157</v>
      </c>
      <c r="C10" s="3">
        <f>Summary!F64</f>
        <v>753752621.40250146</v>
      </c>
      <c r="D10" s="82" t="s">
        <v>196</v>
      </c>
    </row>
    <row r="11" spans="2:4">
      <c r="B11" s="25" t="s">
        <v>158</v>
      </c>
      <c r="C11" s="52">
        <f>Variables!$E$8</f>
        <v>2.9145600000000001E-2</v>
      </c>
      <c r="D11" s="25" t="s">
        <v>199</v>
      </c>
    </row>
    <row r="12" spans="2:4">
      <c r="B12" s="25" t="s">
        <v>159</v>
      </c>
      <c r="C12" s="3">
        <f>C10*C11</f>
        <v>21968572.402348746</v>
      </c>
      <c r="D12" s="82" t="s">
        <v>195</v>
      </c>
    </row>
    <row r="14" spans="2:4">
      <c r="B14" s="25" t="s">
        <v>156</v>
      </c>
      <c r="C14" s="3">
        <f>Summary!B74</f>
        <v>22961344.056319799</v>
      </c>
      <c r="D14" s="25" t="s">
        <v>192</v>
      </c>
    </row>
    <row r="16" spans="2:4">
      <c r="B16" s="25" t="s">
        <v>160</v>
      </c>
      <c r="C16" s="3">
        <f>C12-C14</f>
        <v>-992771.65397105366</v>
      </c>
      <c r="D16" s="25" t="s">
        <v>344</v>
      </c>
    </row>
    <row r="19" spans="2:4">
      <c r="B19" s="36" t="s">
        <v>162</v>
      </c>
    </row>
    <row r="20" spans="2:4">
      <c r="B20" s="25" t="s">
        <v>163</v>
      </c>
      <c r="C20" s="3">
        <f>Summary!J64</f>
        <v>750495840.51769245</v>
      </c>
      <c r="D20" s="82" t="s">
        <v>198</v>
      </c>
    </row>
    <row r="21" spans="2:4">
      <c r="B21" s="25" t="s">
        <v>158</v>
      </c>
      <c r="C21" s="52">
        <f>Variables!$E$8</f>
        <v>2.9145600000000001E-2</v>
      </c>
      <c r="D21" s="25" t="s">
        <v>199</v>
      </c>
    </row>
    <row r="22" spans="2:4">
      <c r="B22" s="25" t="s">
        <v>164</v>
      </c>
      <c r="C22" s="3">
        <f>C20*C21</f>
        <v>21873651.569392458</v>
      </c>
      <c r="D22" s="82" t="s">
        <v>197</v>
      </c>
    </row>
    <row r="24" spans="2:4">
      <c r="B24" s="25" t="s">
        <v>159</v>
      </c>
      <c r="C24" s="3">
        <f>C12</f>
        <v>21968572.402348746</v>
      </c>
      <c r="D24" s="83" t="s">
        <v>192</v>
      </c>
    </row>
    <row r="26" spans="2:4">
      <c r="B26" s="25" t="s">
        <v>165</v>
      </c>
      <c r="C26" s="3">
        <f>C22-C24</f>
        <v>-94920.83295628801</v>
      </c>
      <c r="D26" s="25" t="s">
        <v>344</v>
      </c>
    </row>
  </sheetData>
  <pageMargins left="0.7" right="0.7" top="0.75" bottom="0.75" header="0.3" footer="0.3"/>
  <pageSetup scale="90" orientation="portrait" r:id="rId1"/>
</worksheet>
</file>

<file path=xl/worksheets/sheet22.xml><?xml version="1.0" encoding="utf-8"?>
<worksheet xmlns="http://schemas.openxmlformats.org/spreadsheetml/2006/main" xmlns:r="http://schemas.openxmlformats.org/officeDocument/2006/relationships">
  <sheetPr codeName="Sheet8">
    <pageSetUpPr fitToPage="1"/>
  </sheetPr>
  <dimension ref="B1:F35"/>
  <sheetViews>
    <sheetView showGridLines="0" topLeftCell="A3" zoomScale="85" zoomScaleNormal="85" workbookViewId="0"/>
  </sheetViews>
  <sheetFormatPr defaultRowHeight="12.75"/>
  <cols>
    <col min="1" max="1" width="3.85546875" style="25" customWidth="1"/>
    <col min="2" max="5" width="15.7109375" style="25" customWidth="1"/>
    <col min="6" max="16384" width="9.140625" style="25"/>
  </cols>
  <sheetData>
    <row r="1" spans="2:5">
      <c r="B1" s="35" t="s">
        <v>52</v>
      </c>
    </row>
    <row r="2" spans="2:5">
      <c r="B2" s="35" t="s">
        <v>225</v>
      </c>
    </row>
    <row r="3" spans="2:5">
      <c r="B3" s="35" t="s">
        <v>187</v>
      </c>
    </row>
    <row r="6" spans="2:5">
      <c r="B6" s="59" t="s">
        <v>185</v>
      </c>
      <c r="C6" s="68"/>
      <c r="D6" s="68"/>
      <c r="E6" s="68"/>
    </row>
    <row r="7" spans="2:5" s="70" customFormat="1">
      <c r="B7" s="60"/>
      <c r="C7" s="60" t="s">
        <v>31</v>
      </c>
      <c r="D7" s="61" t="s">
        <v>32</v>
      </c>
      <c r="E7" s="60" t="s">
        <v>33</v>
      </c>
    </row>
    <row r="8" spans="2:5">
      <c r="B8" s="62" t="s">
        <v>34</v>
      </c>
      <c r="C8" s="63">
        <f>[2]Variables!$O$3</f>
        <v>0.50600000000000001</v>
      </c>
      <c r="D8" s="53">
        <f>[2]Variables!$O$7</f>
        <v>5.7599999999999998E-2</v>
      </c>
      <c r="E8" s="63">
        <f>C8*D8</f>
        <v>2.9145600000000001E-2</v>
      </c>
    </row>
    <row r="9" spans="2:5">
      <c r="B9" s="62" t="s">
        <v>35</v>
      </c>
      <c r="C9" s="63">
        <f>[2]Variables!$O$4</f>
        <v>3.0000000000000001E-3</v>
      </c>
      <c r="D9" s="53">
        <f>[2]Variables!$O$8</f>
        <v>5.4300000000000001E-2</v>
      </c>
      <c r="E9" s="63">
        <f>C9*D9</f>
        <v>1.629E-4</v>
      </c>
    </row>
    <row r="10" spans="2:5">
      <c r="B10" s="64" t="s">
        <v>36</v>
      </c>
      <c r="C10" s="65">
        <f>[2]Variables!$O$5</f>
        <v>0.49099999999999999</v>
      </c>
      <c r="D10" s="54">
        <f>[2]Variables!$O$9</f>
        <v>9.8000000000000004E-2</v>
      </c>
      <c r="E10" s="65">
        <f>C10*D10</f>
        <v>4.8118000000000001E-2</v>
      </c>
    </row>
    <row r="11" spans="2:5">
      <c r="E11" s="66">
        <f>ROUND(SUM(E8:E10),4)</f>
        <v>7.7399999999999997E-2</v>
      </c>
    </row>
    <row r="16" spans="2:5">
      <c r="B16" s="36" t="s">
        <v>181</v>
      </c>
      <c r="C16" s="71"/>
    </row>
    <row r="17" spans="2:6">
      <c r="B17" s="25" t="s">
        <v>109</v>
      </c>
      <c r="D17" s="52">
        <v>1</v>
      </c>
    </row>
    <row r="18" spans="2:6">
      <c r="D18" s="52"/>
    </row>
    <row r="19" spans="2:6">
      <c r="B19" s="25" t="s">
        <v>173</v>
      </c>
      <c r="D19" s="52"/>
    </row>
    <row r="20" spans="2:6">
      <c r="B20" s="25" t="s">
        <v>174</v>
      </c>
      <c r="D20" s="52">
        <f>[2]!UncollectibleAccounts</f>
        <v>5.0699999999999999E-3</v>
      </c>
      <c r="F20" s="76"/>
    </row>
    <row r="21" spans="2:6">
      <c r="B21" s="25" t="s">
        <v>172</v>
      </c>
      <c r="D21" s="52">
        <f>[2]!FranchiseTax</f>
        <v>2E-3</v>
      </c>
    </row>
    <row r="22" spans="2:6">
      <c r="B22" s="25" t="s">
        <v>175</v>
      </c>
      <c r="D22" s="52">
        <f>[2]!WARevenueTax</f>
        <v>3.8730000000000001E-2</v>
      </c>
    </row>
    <row r="23" spans="2:6">
      <c r="B23" s="25" t="s">
        <v>176</v>
      </c>
      <c r="D23" s="53">
        <v>0</v>
      </c>
    </row>
    <row r="24" spans="2:6">
      <c r="B24" s="25" t="s">
        <v>177</v>
      </c>
      <c r="D24" s="54">
        <v>0</v>
      </c>
    </row>
    <row r="25" spans="2:6">
      <c r="D25" s="52"/>
    </row>
    <row r="26" spans="2:6">
      <c r="B26" s="25" t="s">
        <v>178</v>
      </c>
      <c r="D26" s="72">
        <f>D17-SUM(D19:D24)</f>
        <v>0.95420000000000005</v>
      </c>
    </row>
    <row r="27" spans="2:6">
      <c r="D27" s="52"/>
    </row>
    <row r="28" spans="2:6">
      <c r="B28" s="25" t="s">
        <v>182</v>
      </c>
      <c r="D28" s="54">
        <v>0</v>
      </c>
    </row>
    <row r="29" spans="2:6">
      <c r="D29" s="52"/>
    </row>
    <row r="30" spans="2:6">
      <c r="B30" s="25" t="s">
        <v>178</v>
      </c>
      <c r="D30" s="72">
        <f>D26-D28</f>
        <v>0.95420000000000005</v>
      </c>
    </row>
    <row r="31" spans="2:6">
      <c r="D31" s="52"/>
    </row>
    <row r="32" spans="2:6">
      <c r="B32" s="25" t="s">
        <v>179</v>
      </c>
      <c r="D32" s="54">
        <f>D30*0.35</f>
        <v>0.33396999999999999</v>
      </c>
    </row>
    <row r="33" spans="2:4">
      <c r="D33" s="73"/>
    </row>
    <row r="34" spans="2:4" ht="13.5" thickBot="1">
      <c r="B34" s="25" t="s">
        <v>180</v>
      </c>
      <c r="D34" s="74">
        <f>ROUND(D30-D32,5)</f>
        <v>0.62022999999999995</v>
      </c>
    </row>
    <row r="35" spans="2:4" ht="13.5" thickTop="1">
      <c r="D35" s="75"/>
    </row>
  </sheetData>
  <phoneticPr fontId="4"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sheetPr codeName="Sheet9">
    <pageSetUpPr fitToPage="1"/>
  </sheetPr>
  <dimension ref="A1:X144"/>
  <sheetViews>
    <sheetView zoomScale="85" zoomScaleNormal="85" workbookViewId="0">
      <pane xSplit="1" ySplit="7" topLeftCell="B8" activePane="bottomRight" state="frozen"/>
      <selection pane="topRight" activeCell="B1" sqref="B1"/>
      <selection pane="bottomLeft" activeCell="A8" sqref="A8"/>
      <selection pane="bottomRight" activeCell="Z8" sqref="Z8"/>
    </sheetView>
  </sheetViews>
  <sheetFormatPr defaultRowHeight="12.75"/>
  <cols>
    <col min="1" max="1" width="36.85546875" style="25" customWidth="1"/>
    <col min="2" max="4" width="13.85546875" style="25" customWidth="1"/>
    <col min="5" max="5" width="3.140625" style="25" customWidth="1"/>
    <col min="6" max="8" width="13.85546875" style="25" customWidth="1"/>
    <col min="9" max="9" width="3.140625" style="25" customWidth="1"/>
    <col min="10" max="12" width="13.85546875" style="25" customWidth="1"/>
    <col min="13" max="13" width="3.5703125" style="25" customWidth="1"/>
    <col min="14" max="16" width="13.85546875" style="25" customWidth="1"/>
    <col min="17" max="17" width="3.5703125" style="25" customWidth="1"/>
    <col min="18" max="20" width="13.85546875" style="25" customWidth="1"/>
    <col min="21" max="21" width="3.5703125" style="25" customWidth="1"/>
    <col min="22" max="24" width="13.85546875" style="25" customWidth="1"/>
    <col min="25" max="16384" width="9.140625" style="25"/>
  </cols>
  <sheetData>
    <row r="1" spans="1:24">
      <c r="A1" s="5" t="s">
        <v>52</v>
      </c>
    </row>
    <row r="2" spans="1:24">
      <c r="A2" s="1" t="s">
        <v>226</v>
      </c>
    </row>
    <row r="3" spans="1:24">
      <c r="A3" s="1" t="s">
        <v>191</v>
      </c>
    </row>
    <row r="4" spans="1:24">
      <c r="A4" s="1"/>
    </row>
    <row r="5" spans="1:24">
      <c r="A5" s="1"/>
    </row>
    <row r="6" spans="1:24">
      <c r="A6" s="78"/>
      <c r="B6" s="79" t="s">
        <v>184</v>
      </c>
      <c r="C6" s="34"/>
      <c r="D6" s="34"/>
      <c r="F6" s="79" t="s">
        <v>141</v>
      </c>
      <c r="G6" s="34"/>
      <c r="H6" s="34"/>
      <c r="J6" s="79" t="s">
        <v>161</v>
      </c>
      <c r="K6" s="34"/>
      <c r="L6" s="34"/>
      <c r="N6" s="79" t="s">
        <v>143</v>
      </c>
      <c r="O6" s="34"/>
      <c r="P6" s="34"/>
      <c r="R6" s="79" t="s">
        <v>162</v>
      </c>
      <c r="S6" s="34"/>
      <c r="T6" s="34"/>
      <c r="V6" s="79" t="s">
        <v>169</v>
      </c>
      <c r="W6" s="34"/>
      <c r="X6" s="34"/>
    </row>
    <row r="7" spans="1:24" ht="38.25">
      <c r="A7" s="26"/>
      <c r="B7" s="77" t="s">
        <v>189</v>
      </c>
      <c r="C7" s="77" t="s">
        <v>190</v>
      </c>
      <c r="D7" s="77" t="s">
        <v>188</v>
      </c>
      <c r="F7" s="77" t="s">
        <v>189</v>
      </c>
      <c r="G7" s="77" t="s">
        <v>190</v>
      </c>
      <c r="H7" s="77" t="s">
        <v>188</v>
      </c>
      <c r="J7" s="77" t="s">
        <v>189</v>
      </c>
      <c r="K7" s="77" t="s">
        <v>190</v>
      </c>
      <c r="L7" s="77" t="s">
        <v>188</v>
      </c>
      <c r="N7" s="77" t="s">
        <v>189</v>
      </c>
      <c r="O7" s="77" t="s">
        <v>190</v>
      </c>
      <c r="P7" s="77" t="s">
        <v>188</v>
      </c>
      <c r="R7" s="77" t="s">
        <v>189</v>
      </c>
      <c r="S7" s="77" t="s">
        <v>190</v>
      </c>
      <c r="T7" s="77" t="s">
        <v>188</v>
      </c>
      <c r="V7" s="77" t="s">
        <v>189</v>
      </c>
      <c r="W7" s="77" t="s">
        <v>190</v>
      </c>
      <c r="X7" s="77" t="s">
        <v>188</v>
      </c>
    </row>
    <row r="8" spans="1:24">
      <c r="A8" s="15" t="s">
        <v>56</v>
      </c>
      <c r="B8" s="13"/>
      <c r="C8" s="13"/>
      <c r="D8" s="13"/>
      <c r="F8" s="13"/>
      <c r="G8" s="13"/>
      <c r="H8" s="13"/>
      <c r="J8" s="13"/>
      <c r="K8" s="13"/>
      <c r="L8" s="13"/>
      <c r="N8" s="13"/>
      <c r="O8" s="13"/>
      <c r="P8" s="13"/>
      <c r="R8" s="13"/>
      <c r="S8" s="13"/>
      <c r="T8" s="13"/>
      <c r="V8" s="13"/>
      <c r="W8" s="13"/>
      <c r="X8" s="13"/>
    </row>
    <row r="9" spans="1:24">
      <c r="A9" s="15" t="s">
        <v>57</v>
      </c>
      <c r="B9" s="13">
        <f>Summary!$B$9</f>
        <v>256639553.00999802</v>
      </c>
      <c r="C9" s="13">
        <f>[2]Results!$C$11</f>
        <v>256639553.00999802</v>
      </c>
      <c r="D9" s="13">
        <f>C9-B9</f>
        <v>0</v>
      </c>
      <c r="F9" s="13">
        <f>Summary!$D$9</f>
        <v>16233190.429999992</v>
      </c>
      <c r="G9" s="13">
        <f>[2]Results!$D$11</f>
        <v>13370310.429999992</v>
      </c>
      <c r="H9" s="13">
        <f>G9-F9</f>
        <v>-2862880</v>
      </c>
      <c r="J9" s="13">
        <f>Summary!$F$9</f>
        <v>272872743.43999803</v>
      </c>
      <c r="K9" s="13">
        <f>[2]Results!$E$11</f>
        <v>270009863.43999803</v>
      </c>
      <c r="L9" s="13">
        <f>K9-J9</f>
        <v>-2862880</v>
      </c>
      <c r="N9" s="13">
        <f>Summary!$H$9</f>
        <v>33183479.159999996</v>
      </c>
      <c r="O9" s="13">
        <f>[2]Results!$H$11</f>
        <v>33183479.159999996</v>
      </c>
      <c r="P9" s="13">
        <f>O9-N9</f>
        <v>0</v>
      </c>
      <c r="R9" s="13">
        <f>Summary!$J$9</f>
        <v>306056222.599998</v>
      </c>
      <c r="S9" s="13">
        <f>[2]Results!$I$11</f>
        <v>303193342.599998</v>
      </c>
      <c r="T9" s="13">
        <f>S9-R9</f>
        <v>-2862880</v>
      </c>
      <c r="V9" s="13">
        <f>Summary!$L$9</f>
        <v>-807723.59571619297</v>
      </c>
      <c r="W9" s="13">
        <f>[2]Results!$H$100</f>
        <v>12947209.803206259</v>
      </c>
      <c r="X9" s="13">
        <f>W9-V9</f>
        <v>13754933.398922453</v>
      </c>
    </row>
    <row r="10" spans="1:24">
      <c r="A10" s="15" t="s">
        <v>58</v>
      </c>
      <c r="B10" s="13">
        <f>Summary!$B$10</f>
        <v>0</v>
      </c>
      <c r="C10" s="13">
        <f>[2]Results!$C$12</f>
        <v>0</v>
      </c>
      <c r="D10" s="13">
        <f t="shared" ref="D10:D13" si="0">C10-B10</f>
        <v>0</v>
      </c>
      <c r="F10" s="13">
        <f>Summary!$D$10</f>
        <v>0</v>
      </c>
      <c r="G10" s="13">
        <f>[2]Results!$D$12</f>
        <v>0</v>
      </c>
      <c r="H10" s="13">
        <f t="shared" ref="H10:H13" si="1">G10-F10</f>
        <v>0</v>
      </c>
      <c r="J10" s="13">
        <f>Summary!$F$10</f>
        <v>0</v>
      </c>
      <c r="K10" s="13">
        <f>[2]Results!$E$12</f>
        <v>0</v>
      </c>
      <c r="L10" s="13">
        <f t="shared" ref="L10:L13" si="2">K10-J10</f>
        <v>0</v>
      </c>
      <c r="N10" s="13">
        <f>Summary!$H$10</f>
        <v>0</v>
      </c>
      <c r="O10" s="13">
        <f>[2]Results!$H$12</f>
        <v>0</v>
      </c>
      <c r="P10" s="13">
        <f t="shared" ref="P10:P13" si="3">O10-N10</f>
        <v>0</v>
      </c>
      <c r="R10" s="13">
        <f>Summary!$J$10</f>
        <v>0</v>
      </c>
      <c r="S10" s="13">
        <f>[2]Results!$I$12</f>
        <v>0</v>
      </c>
      <c r="T10" s="13">
        <f t="shared" ref="T10:T13" si="4">S10-R10</f>
        <v>0</v>
      </c>
      <c r="V10" s="13">
        <f>Summary!$L$10</f>
        <v>0</v>
      </c>
      <c r="W10" s="13"/>
      <c r="X10" s="13">
        <f t="shared" ref="X10:X13" si="5">W10-V10</f>
        <v>0</v>
      </c>
    </row>
    <row r="11" spans="1:24">
      <c r="A11" s="15" t="s">
        <v>59</v>
      </c>
      <c r="B11" s="13">
        <f>Summary!$B$11</f>
        <v>74513001.340099305</v>
      </c>
      <c r="C11" s="13">
        <f>[2]Results!$C$13</f>
        <v>74513001.340099305</v>
      </c>
      <c r="D11" s="13">
        <f t="shared" si="0"/>
        <v>0</v>
      </c>
      <c r="F11" s="13">
        <f>Summary!$D$11</f>
        <v>941247.8810121459</v>
      </c>
      <c r="G11" s="13">
        <f>[2]Results!$D$13</f>
        <v>941247.8810121459</v>
      </c>
      <c r="H11" s="13">
        <f t="shared" si="1"/>
        <v>0</v>
      </c>
      <c r="J11" s="13">
        <f>Summary!$F$11</f>
        <v>75454249.221111447</v>
      </c>
      <c r="K11" s="13">
        <f>[2]Results!$E$13</f>
        <v>75454249.221111447</v>
      </c>
      <c r="L11" s="13">
        <f t="shared" si="2"/>
        <v>0</v>
      </c>
      <c r="N11" s="13">
        <f>Summary!$H$11</f>
        <v>-33733520.419695824</v>
      </c>
      <c r="O11" s="13">
        <f>[2]Results!$H$13</f>
        <v>-38964201.760486588</v>
      </c>
      <c r="P11" s="13">
        <f t="shared" si="3"/>
        <v>-5230681.3407907635</v>
      </c>
      <c r="R11" s="13">
        <f>Summary!$J$11</f>
        <v>41720728.801415622</v>
      </c>
      <c r="S11" s="13">
        <f>[2]Results!$I$13</f>
        <v>36490047.460624859</v>
      </c>
      <c r="T11" s="13">
        <f t="shared" si="4"/>
        <v>-5230681.3407907635</v>
      </c>
      <c r="V11" s="13">
        <f>Summary!$L$11</f>
        <v>0</v>
      </c>
      <c r="W11" s="13"/>
      <c r="X11" s="13">
        <f t="shared" si="5"/>
        <v>0</v>
      </c>
    </row>
    <row r="12" spans="1:24">
      <c r="A12" s="15" t="s">
        <v>60</v>
      </c>
      <c r="B12" s="13">
        <f>Summary!$B$12</f>
        <v>25032633.964374781</v>
      </c>
      <c r="C12" s="13">
        <f>[2]Results!$C$14</f>
        <v>25032633.964374781</v>
      </c>
      <c r="D12" s="13">
        <f t="shared" si="0"/>
        <v>0</v>
      </c>
      <c r="F12" s="13">
        <f>Summary!$D$12</f>
        <v>-9224242.3703400642</v>
      </c>
      <c r="G12" s="13">
        <f>[2]Results!$D$14</f>
        <v>-9224242.3703400642</v>
      </c>
      <c r="H12" s="13">
        <f t="shared" si="1"/>
        <v>0</v>
      </c>
      <c r="J12" s="13">
        <f>Summary!$F$12</f>
        <v>15808391.594034716</v>
      </c>
      <c r="K12" s="13">
        <f>[2]Results!$E$14</f>
        <v>15808391.594034716</v>
      </c>
      <c r="L12" s="13">
        <f t="shared" si="2"/>
        <v>0</v>
      </c>
      <c r="N12" s="13">
        <f>Summary!$H$12</f>
        <v>-7914206.1998940334</v>
      </c>
      <c r="O12" s="13">
        <f>[2]Results!$H$14</f>
        <v>-10785095.150806881</v>
      </c>
      <c r="P12" s="13">
        <f t="shared" si="3"/>
        <v>-2870888.9509128481</v>
      </c>
      <c r="R12" s="13">
        <f>Summary!$J$12</f>
        <v>7894185.3941406831</v>
      </c>
      <c r="S12" s="13">
        <f>[2]Results!$I$14</f>
        <v>5023296.443227835</v>
      </c>
      <c r="T12" s="13">
        <f t="shared" si="4"/>
        <v>-2870888.9509128481</v>
      </c>
      <c r="V12" s="13">
        <f>Summary!$L$12</f>
        <v>0</v>
      </c>
      <c r="W12" s="13"/>
      <c r="X12" s="13">
        <f t="shared" si="5"/>
        <v>0</v>
      </c>
    </row>
    <row r="13" spans="1:24" ht="13.5" thickBot="1">
      <c r="A13" s="15" t="s">
        <v>61</v>
      </c>
      <c r="B13" s="14">
        <f>Summary!$B$13</f>
        <v>356185188.31447208</v>
      </c>
      <c r="C13" s="14">
        <f>[2]Results!$C$15</f>
        <v>356185188.31447208</v>
      </c>
      <c r="D13" s="14">
        <f t="shared" si="0"/>
        <v>0</v>
      </c>
      <c r="F13" s="14">
        <f>Summary!$D$13</f>
        <v>7950195.9406720735</v>
      </c>
      <c r="G13" s="14">
        <f>[2]Results!$D$15</f>
        <v>5087315.9406720735</v>
      </c>
      <c r="H13" s="14">
        <f t="shared" si="1"/>
        <v>-2862880</v>
      </c>
      <c r="J13" s="14">
        <f>Summary!$F$13</f>
        <v>364135384.25514418</v>
      </c>
      <c r="K13" s="14">
        <f>[2]Results!$E$15</f>
        <v>361272504.25514418</v>
      </c>
      <c r="L13" s="14">
        <f t="shared" si="2"/>
        <v>-2862880</v>
      </c>
      <c r="N13" s="14">
        <f>Summary!$H$13</f>
        <v>-8464247.4595898613</v>
      </c>
      <c r="O13" s="14">
        <f>[2]Results!$H$15</f>
        <v>-16565817.751293473</v>
      </c>
      <c r="P13" s="14">
        <f t="shared" si="3"/>
        <v>-8101570.2917036116</v>
      </c>
      <c r="R13" s="14">
        <f>Summary!$J$13</f>
        <v>355671136.79555428</v>
      </c>
      <c r="S13" s="14">
        <f>[2]Results!$I$15</f>
        <v>344706686.5038507</v>
      </c>
      <c r="T13" s="14">
        <f t="shared" si="4"/>
        <v>-10964450.291703582</v>
      </c>
      <c r="V13" s="14">
        <f>Summary!$L$13</f>
        <v>-807723.59571619297</v>
      </c>
      <c r="W13" s="14">
        <f>SUM(W9:W12)</f>
        <v>12947209.803206259</v>
      </c>
      <c r="X13" s="14">
        <f t="shared" si="5"/>
        <v>13754933.398922453</v>
      </c>
    </row>
    <row r="14" spans="1:24" ht="13.5" thickTop="1">
      <c r="A14" s="15"/>
      <c r="B14" s="13"/>
      <c r="C14" s="13"/>
      <c r="D14" s="13"/>
      <c r="F14" s="13"/>
      <c r="G14" s="13"/>
      <c r="H14" s="13"/>
      <c r="J14" s="13"/>
      <c r="K14" s="13"/>
      <c r="L14" s="13"/>
      <c r="N14" s="13"/>
      <c r="O14" s="13"/>
      <c r="P14" s="13"/>
      <c r="R14" s="13"/>
      <c r="S14" s="13"/>
      <c r="T14" s="13"/>
      <c r="V14" s="13"/>
      <c r="W14" s="13"/>
      <c r="X14" s="13"/>
    </row>
    <row r="15" spans="1:24">
      <c r="A15" s="15" t="s">
        <v>62</v>
      </c>
      <c r="B15" s="13"/>
      <c r="C15" s="13"/>
      <c r="D15" s="13"/>
      <c r="F15" s="13"/>
      <c r="G15" s="13"/>
      <c r="H15" s="13"/>
      <c r="J15" s="13"/>
      <c r="K15" s="13"/>
      <c r="L15" s="13"/>
      <c r="N15" s="13"/>
      <c r="O15" s="13"/>
      <c r="P15" s="13"/>
      <c r="R15" s="13"/>
      <c r="S15" s="13"/>
      <c r="T15" s="13"/>
      <c r="V15" s="13"/>
      <c r="W15" s="13"/>
      <c r="X15" s="13"/>
    </row>
    <row r="16" spans="1:24">
      <c r="A16" s="15" t="s">
        <v>63</v>
      </c>
      <c r="B16" s="13">
        <f>Summary!$B$16</f>
        <v>54286269.73826427</v>
      </c>
      <c r="C16" s="13">
        <f>[2]Results!$C$18</f>
        <v>54286269.73826427</v>
      </c>
      <c r="D16" s="13">
        <f t="shared" ref="D16:D35" si="6">C16-B16</f>
        <v>0</v>
      </c>
      <c r="F16" s="13">
        <f>Summary!$D$16</f>
        <v>-1565216.2053174789</v>
      </c>
      <c r="G16" s="13">
        <f>[2]Results!$D$18</f>
        <v>-1565216.20530596</v>
      </c>
      <c r="H16" s="13">
        <f t="shared" ref="H16:H35" si="7">G16-F16</f>
        <v>1.1518830433487892E-5</v>
      </c>
      <c r="J16" s="13">
        <f>Summary!$F$16</f>
        <v>52721053.532946788</v>
      </c>
      <c r="K16" s="13">
        <f>[2]Results!$E$18</f>
        <v>52721053.532958314</v>
      </c>
      <c r="L16" s="13">
        <f t="shared" ref="L16:L35" si="8">K16-J16</f>
        <v>1.1526048183441162E-5</v>
      </c>
      <c r="N16" s="13">
        <f>Summary!$H$16</f>
        <v>1407801.9860914284</v>
      </c>
      <c r="O16" s="13">
        <f>[2]Results!$H$18</f>
        <v>2356381.6676074127</v>
      </c>
      <c r="P16" s="13">
        <f t="shared" ref="P16:P35" si="9">O16-N16</f>
        <v>948579.68151598424</v>
      </c>
      <c r="R16" s="13">
        <f>Summary!$J$16</f>
        <v>54128855.519038215</v>
      </c>
      <c r="S16" s="13">
        <f>[2]Results!$I$18</f>
        <v>55077435.200565726</v>
      </c>
      <c r="T16" s="13">
        <f t="shared" ref="T16:T35" si="10">S16-R16</f>
        <v>948579.68152751029</v>
      </c>
      <c r="V16" s="13">
        <f>Summary!$L$16</f>
        <v>0</v>
      </c>
      <c r="W16" s="13"/>
      <c r="X16" s="13">
        <f t="shared" ref="X16:X35" si="11">W16-V16</f>
        <v>0</v>
      </c>
    </row>
    <row r="17" spans="1:24">
      <c r="A17" s="15" t="s">
        <v>64</v>
      </c>
      <c r="B17" s="13">
        <f>Summary!$B$17</f>
        <v>0</v>
      </c>
      <c r="C17" s="13">
        <f>[2]Results!$C$19</f>
        <v>0</v>
      </c>
      <c r="D17" s="13">
        <f t="shared" si="6"/>
        <v>0</v>
      </c>
      <c r="F17" s="13">
        <f>Summary!$D$17</f>
        <v>0</v>
      </c>
      <c r="G17" s="13">
        <f>[2]Results!$D$19</f>
        <v>0</v>
      </c>
      <c r="H17" s="13">
        <f t="shared" si="7"/>
        <v>0</v>
      </c>
      <c r="J17" s="13">
        <f>Summary!$F$17</f>
        <v>0</v>
      </c>
      <c r="K17" s="13">
        <f>[2]Results!$E$19</f>
        <v>0</v>
      </c>
      <c r="L17" s="13">
        <f t="shared" si="8"/>
        <v>0</v>
      </c>
      <c r="N17" s="13">
        <f>Summary!$H$17</f>
        <v>0</v>
      </c>
      <c r="O17" s="13">
        <f>[2]Results!$H$19</f>
        <v>0</v>
      </c>
      <c r="P17" s="13">
        <f t="shared" si="9"/>
        <v>0</v>
      </c>
      <c r="R17" s="13">
        <f>Summary!$J$17</f>
        <v>0</v>
      </c>
      <c r="S17" s="13">
        <f>[2]Results!$I$19</f>
        <v>0</v>
      </c>
      <c r="T17" s="13">
        <f t="shared" si="10"/>
        <v>0</v>
      </c>
      <c r="V17" s="13">
        <f>Summary!$L$17</f>
        <v>0</v>
      </c>
      <c r="W17" s="13"/>
      <c r="X17" s="13">
        <f t="shared" si="11"/>
        <v>0</v>
      </c>
    </row>
    <row r="18" spans="1:24">
      <c r="A18" s="15" t="s">
        <v>65</v>
      </c>
      <c r="B18" s="13">
        <f>Summary!$B$18</f>
        <v>7051085.3167272415</v>
      </c>
      <c r="C18" s="13">
        <f>[2]Results!$C$20</f>
        <v>7051085.3167272415</v>
      </c>
      <c r="D18" s="13">
        <f t="shared" si="6"/>
        <v>0</v>
      </c>
      <c r="F18" s="13">
        <f>Summary!$D$18</f>
        <v>7511.6307386317376</v>
      </c>
      <c r="G18" s="13">
        <f>[2]Results!$D$20</f>
        <v>7511.6307436818088</v>
      </c>
      <c r="H18" s="13">
        <f t="shared" si="7"/>
        <v>5.0500711950007826E-6</v>
      </c>
      <c r="J18" s="13">
        <f>Summary!$F$18</f>
        <v>7058596.9474658733</v>
      </c>
      <c r="K18" s="13">
        <f>[2]Results!$E$20</f>
        <v>7058596.947470923</v>
      </c>
      <c r="L18" s="13">
        <f t="shared" si="8"/>
        <v>5.0496309995651245E-6</v>
      </c>
      <c r="N18" s="13">
        <f>Summary!$H$18</f>
        <v>-229179.88482946434</v>
      </c>
      <c r="O18" s="13">
        <f>[2]Results!$H$20</f>
        <v>-206624.15179824291</v>
      </c>
      <c r="P18" s="13">
        <f t="shared" si="9"/>
        <v>22555.733031221433</v>
      </c>
      <c r="R18" s="13">
        <f>Summary!$J$18</f>
        <v>6829417.062636409</v>
      </c>
      <c r="S18" s="13">
        <f>[2]Results!$I$20</f>
        <v>6851972.7956726803</v>
      </c>
      <c r="T18" s="13">
        <f t="shared" si="10"/>
        <v>22555.733036271296</v>
      </c>
      <c r="V18" s="13">
        <f>Summary!$L$18</f>
        <v>0</v>
      </c>
      <c r="W18" s="13"/>
      <c r="X18" s="13">
        <f t="shared" si="11"/>
        <v>0</v>
      </c>
    </row>
    <row r="19" spans="1:24">
      <c r="A19" s="15" t="s">
        <v>66</v>
      </c>
      <c r="B19" s="13">
        <f>Summary!$B$19</f>
        <v>118807031.55930433</v>
      </c>
      <c r="C19" s="13">
        <f>[2]Results!$C$21</f>
        <v>118807031.55930433</v>
      </c>
      <c r="D19" s="13">
        <f t="shared" si="6"/>
        <v>0</v>
      </c>
      <c r="F19" s="13">
        <f>Summary!$D$19</f>
        <v>9517861.9663389288</v>
      </c>
      <c r="G19" s="13">
        <f>[2]Results!$D$21</f>
        <v>9517861.9663449749</v>
      </c>
      <c r="H19" s="13">
        <f t="shared" si="7"/>
        <v>6.0461461544036865E-6</v>
      </c>
      <c r="J19" s="13">
        <f>Summary!$F$19</f>
        <v>128324893.52564326</v>
      </c>
      <c r="K19" s="13">
        <f>[2]Results!$E$21</f>
        <v>128324893.52564931</v>
      </c>
      <c r="L19" s="13">
        <f t="shared" si="8"/>
        <v>6.0498714447021484E-6</v>
      </c>
      <c r="N19" s="13">
        <f>Summary!$H$19</f>
        <v>-19995413.363707144</v>
      </c>
      <c r="O19" s="13">
        <f>[2]Results!$H$21</f>
        <v>-19438938.835678313</v>
      </c>
      <c r="P19" s="13">
        <f t="shared" si="9"/>
        <v>556474.52802883089</v>
      </c>
      <c r="R19" s="13">
        <f>Summary!$J$19</f>
        <v>108329480.16193612</v>
      </c>
      <c r="S19" s="13">
        <f>[2]Results!$I$21</f>
        <v>108885954.689971</v>
      </c>
      <c r="T19" s="13">
        <f t="shared" si="10"/>
        <v>556474.52803488076</v>
      </c>
      <c r="V19" s="13">
        <f>Summary!$L$19</f>
        <v>0</v>
      </c>
      <c r="W19" s="13"/>
      <c r="X19" s="13">
        <f t="shared" si="11"/>
        <v>0</v>
      </c>
    </row>
    <row r="20" spans="1:24">
      <c r="A20" s="15" t="s">
        <v>67</v>
      </c>
      <c r="B20" s="13">
        <f>Summary!$B$20</f>
        <v>29119799.086048592</v>
      </c>
      <c r="C20" s="13">
        <f>[2]Results!$C$22</f>
        <v>29119799.086048592</v>
      </c>
      <c r="D20" s="13">
        <f t="shared" si="6"/>
        <v>0</v>
      </c>
      <c r="F20" s="13">
        <f>Summary!$D$20</f>
        <v>-71947.033751535782</v>
      </c>
      <c r="G20" s="13">
        <f>[2]Results!$D$22</f>
        <v>-71947.033747354202</v>
      </c>
      <c r="H20" s="13">
        <f t="shared" si="7"/>
        <v>4.1815801523625851E-6</v>
      </c>
      <c r="J20" s="13">
        <f>Summary!$F$20</f>
        <v>29047852.052297056</v>
      </c>
      <c r="K20" s="13">
        <f>[2]Results!$E$22</f>
        <v>29047852.052301239</v>
      </c>
      <c r="L20" s="13">
        <f t="shared" si="8"/>
        <v>4.1835010051727295E-6</v>
      </c>
      <c r="N20" s="13">
        <f>Summary!$H$20</f>
        <v>-3764609.2675194046</v>
      </c>
      <c r="O20" s="13">
        <f>[2]Results!$H$22</f>
        <v>-3732584.0742713427</v>
      </c>
      <c r="P20" s="13">
        <f t="shared" si="9"/>
        <v>32025.193248061929</v>
      </c>
      <c r="R20" s="13">
        <f>Summary!$J$20</f>
        <v>25283242.784777652</v>
      </c>
      <c r="S20" s="13">
        <f>[2]Results!$I$22</f>
        <v>25315267.978029896</v>
      </c>
      <c r="T20" s="13">
        <f t="shared" si="10"/>
        <v>32025.193252243102</v>
      </c>
      <c r="V20" s="13">
        <f>Summary!$L$20</f>
        <v>0</v>
      </c>
      <c r="W20" s="13"/>
      <c r="X20" s="13">
        <f t="shared" si="11"/>
        <v>0</v>
      </c>
    </row>
    <row r="21" spans="1:24">
      <c r="A21" s="15" t="s">
        <v>68</v>
      </c>
      <c r="B21" s="13">
        <f>Summary!$B$21</f>
        <v>11983586.234546719</v>
      </c>
      <c r="C21" s="13">
        <f>[2]Results!$C$23</f>
        <v>11983586.234546719</v>
      </c>
      <c r="D21" s="13">
        <f t="shared" si="6"/>
        <v>0</v>
      </c>
      <c r="F21" s="13">
        <f>Summary!$D$21</f>
        <v>-21040.271414005907</v>
      </c>
      <c r="G21" s="13">
        <f>[2]Results!$D$23</f>
        <v>-21040.271418405384</v>
      </c>
      <c r="H21" s="13">
        <f t="shared" si="7"/>
        <v>-4.3994768930133432E-6</v>
      </c>
      <c r="J21" s="13">
        <f>Summary!$F$21</f>
        <v>11962545.963132713</v>
      </c>
      <c r="K21" s="13">
        <f>[2]Results!$E$23</f>
        <v>11962545.963128313</v>
      </c>
      <c r="L21" s="13">
        <f t="shared" si="8"/>
        <v>-4.3995678424835205E-6</v>
      </c>
      <c r="N21" s="13">
        <f>Summary!$H$21</f>
        <v>365620.68538776349</v>
      </c>
      <c r="O21" s="13">
        <f>[2]Results!$H$23</f>
        <v>344166.15396472049</v>
      </c>
      <c r="P21" s="13">
        <f t="shared" si="9"/>
        <v>-21454.531423042994</v>
      </c>
      <c r="R21" s="13">
        <f>Summary!$J$21</f>
        <v>12328166.648520477</v>
      </c>
      <c r="S21" s="13">
        <f>[2]Results!$I$23</f>
        <v>12306712.117093034</v>
      </c>
      <c r="T21" s="13">
        <f t="shared" si="10"/>
        <v>-21454.531427443027</v>
      </c>
      <c r="V21" s="13">
        <f>Summary!$L$21</f>
        <v>0</v>
      </c>
      <c r="W21" s="13"/>
      <c r="X21" s="13">
        <f t="shared" si="11"/>
        <v>0</v>
      </c>
    </row>
    <row r="22" spans="1:24">
      <c r="A22" s="15" t="s">
        <v>69</v>
      </c>
      <c r="B22" s="13">
        <f>Summary!$B$22</f>
        <v>8088803.4130521202</v>
      </c>
      <c r="C22" s="13">
        <f>[2]Results!$C$24</f>
        <v>8088803.4130521202</v>
      </c>
      <c r="D22" s="13">
        <f t="shared" si="6"/>
        <v>0</v>
      </c>
      <c r="F22" s="13">
        <f>Summary!$D$22</f>
        <v>-17798.775906085644</v>
      </c>
      <c r="G22" s="13">
        <f>[2]Results!$D$24</f>
        <v>-17798.775906975214</v>
      </c>
      <c r="H22" s="13">
        <f t="shared" si="7"/>
        <v>-8.8956949184648693E-7</v>
      </c>
      <c r="J22" s="13">
        <f>Summary!$F$22</f>
        <v>8071004.6371460343</v>
      </c>
      <c r="K22" s="13">
        <f>[2]Results!$E$24</f>
        <v>8071004.6371451449</v>
      </c>
      <c r="L22" s="13">
        <f t="shared" si="8"/>
        <v>-8.8941305875778198E-7</v>
      </c>
      <c r="N22" s="13">
        <f>Summary!$H$22</f>
        <v>-1107198.5813119351</v>
      </c>
      <c r="O22" s="13">
        <f>[2]Results!$H$24</f>
        <v>-1059979.8168537463</v>
      </c>
      <c r="P22" s="13">
        <f t="shared" si="9"/>
        <v>47218.764458188787</v>
      </c>
      <c r="R22" s="13">
        <f>Summary!$J$22</f>
        <v>6963806.0558340997</v>
      </c>
      <c r="S22" s="13">
        <f>[2]Results!$I$24</f>
        <v>7011024.8202913981</v>
      </c>
      <c r="T22" s="13">
        <f t="shared" si="10"/>
        <v>47218.764457298443</v>
      </c>
      <c r="V22" s="13">
        <f>Summary!$L$22</f>
        <v>-4095.1586302810983</v>
      </c>
      <c r="W22" s="13">
        <f>[2]Results!$H$113</f>
        <v>65642.353702255728</v>
      </c>
      <c r="X22" s="13">
        <f t="shared" si="11"/>
        <v>69737.512332536833</v>
      </c>
    </row>
    <row r="23" spans="1:24">
      <c r="A23" s="15" t="s">
        <v>70</v>
      </c>
      <c r="B23" s="13">
        <f>Summary!$B$23</f>
        <v>9439582.4307300914</v>
      </c>
      <c r="C23" s="13">
        <f>[2]Results!$C$25</f>
        <v>9439582.4307300914</v>
      </c>
      <c r="D23" s="13">
        <f t="shared" si="6"/>
        <v>0</v>
      </c>
      <c r="F23" s="13">
        <f>Summary!$D$23</f>
        <v>-8808315.0298450738</v>
      </c>
      <c r="G23" s="13">
        <f>[2]Results!$D$25</f>
        <v>-8808315.0298445877</v>
      </c>
      <c r="H23" s="13">
        <f t="shared" si="7"/>
        <v>4.8615038394927979E-7</v>
      </c>
      <c r="J23" s="13">
        <f>Summary!$F$23</f>
        <v>631267.40088501759</v>
      </c>
      <c r="K23" s="13">
        <f>[2]Results!$E$25</f>
        <v>631267.40088550374</v>
      </c>
      <c r="L23" s="13">
        <f t="shared" si="8"/>
        <v>4.8615038394927979E-7</v>
      </c>
      <c r="N23" s="13">
        <f>Summary!$H$23</f>
        <v>0</v>
      </c>
      <c r="O23" s="13">
        <f>[2]Results!$H$25</f>
        <v>2177.1434772762759</v>
      </c>
      <c r="P23" s="13">
        <f t="shared" si="9"/>
        <v>2177.1434772762759</v>
      </c>
      <c r="R23" s="13">
        <f>Summary!$J$23</f>
        <v>631267.40088501759</v>
      </c>
      <c r="S23" s="13">
        <f>[2]Results!$I$25</f>
        <v>633444.54436278006</v>
      </c>
      <c r="T23" s="13">
        <f t="shared" si="10"/>
        <v>2177.1434777624672</v>
      </c>
      <c r="V23" s="13">
        <f>Summary!$L$23</f>
        <v>0</v>
      </c>
      <c r="W23" s="13"/>
      <c r="X23" s="13">
        <f t="shared" si="11"/>
        <v>0</v>
      </c>
    </row>
    <row r="24" spans="1:24">
      <c r="A24" s="15" t="s">
        <v>71</v>
      </c>
      <c r="B24" s="13">
        <f>Summary!$B$24</f>
        <v>0</v>
      </c>
      <c r="C24" s="13">
        <f>[2]Results!$C$26</f>
        <v>0</v>
      </c>
      <c r="D24" s="13">
        <f t="shared" si="6"/>
        <v>0</v>
      </c>
      <c r="F24" s="13">
        <f>Summary!$D$24</f>
        <v>0</v>
      </c>
      <c r="G24" s="13">
        <f>[2]Results!$D$26</f>
        <v>0</v>
      </c>
      <c r="H24" s="13">
        <f t="shared" si="7"/>
        <v>0</v>
      </c>
      <c r="J24" s="13">
        <f>Summary!$F$24</f>
        <v>0</v>
      </c>
      <c r="K24" s="13">
        <f>[2]Results!$E$26</f>
        <v>0</v>
      </c>
      <c r="L24" s="13">
        <f t="shared" si="8"/>
        <v>0</v>
      </c>
      <c r="N24" s="13">
        <f>Summary!$H$24</f>
        <v>0</v>
      </c>
      <c r="O24" s="13">
        <f>[2]Results!$H$26</f>
        <v>0</v>
      </c>
      <c r="P24" s="13">
        <f t="shared" si="9"/>
        <v>0</v>
      </c>
      <c r="R24" s="13">
        <f>Summary!$J$24</f>
        <v>0</v>
      </c>
      <c r="S24" s="13">
        <f>[2]Results!$I$26</f>
        <v>0</v>
      </c>
      <c r="T24" s="13">
        <f t="shared" si="10"/>
        <v>0</v>
      </c>
      <c r="V24" s="13">
        <f>Summary!$L$24</f>
        <v>0</v>
      </c>
      <c r="W24" s="13"/>
      <c r="X24" s="13">
        <f t="shared" si="11"/>
        <v>0</v>
      </c>
    </row>
    <row r="25" spans="1:24">
      <c r="A25" s="15" t="s">
        <v>72</v>
      </c>
      <c r="B25" s="13">
        <f>Summary!$B$25</f>
        <v>10269546.584633965</v>
      </c>
      <c r="C25" s="13">
        <f>[2]Results!$C$27</f>
        <v>10269546.584633965</v>
      </c>
      <c r="D25" s="13">
        <f t="shared" si="6"/>
        <v>0</v>
      </c>
      <c r="F25" s="13">
        <f>Summary!$D$25</f>
        <v>117450.56973614397</v>
      </c>
      <c r="G25" s="13">
        <f>[2]Results!$D$27</f>
        <v>245800.56975179608</v>
      </c>
      <c r="H25" s="13">
        <f t="shared" si="7"/>
        <v>128350.00001565211</v>
      </c>
      <c r="J25" s="13">
        <f>Summary!$F$25</f>
        <v>10386997.154370109</v>
      </c>
      <c r="K25" s="13">
        <f>[2]Results!$E$27</f>
        <v>10515347.15438576</v>
      </c>
      <c r="L25" s="13">
        <f t="shared" si="8"/>
        <v>128350.00001565181</v>
      </c>
      <c r="N25" s="13">
        <f>Summary!$H$25</f>
        <v>-771362.78533639375</v>
      </c>
      <c r="O25" s="13">
        <f>[2]Results!$H$27</f>
        <v>-220976.7880057281</v>
      </c>
      <c r="P25" s="13">
        <f t="shared" si="9"/>
        <v>550385.99733066559</v>
      </c>
      <c r="R25" s="13">
        <f>Summary!$J$25</f>
        <v>9615634.3690337148</v>
      </c>
      <c r="S25" s="13">
        <f>[2]Results!$I$27</f>
        <v>10294370.366380032</v>
      </c>
      <c r="T25" s="13">
        <f t="shared" si="10"/>
        <v>678735.9973463174</v>
      </c>
      <c r="V25" s="13">
        <f>Summary!$L$25</f>
        <v>0</v>
      </c>
      <c r="W25" s="13"/>
      <c r="X25" s="13">
        <f t="shared" si="11"/>
        <v>0</v>
      </c>
    </row>
    <row r="26" spans="1:24">
      <c r="A26" s="15" t="s">
        <v>73</v>
      </c>
      <c r="B26" s="11">
        <f>Summary!$B$26</f>
        <v>249045704.36330736</v>
      </c>
      <c r="C26" s="11">
        <f>[2]Results!$C$28</f>
        <v>249045704.36330736</v>
      </c>
      <c r="D26" s="11">
        <f t="shared" si="6"/>
        <v>0</v>
      </c>
      <c r="F26" s="11">
        <f>Summary!$D$26</f>
        <v>-841493.14942047617</v>
      </c>
      <c r="G26" s="11">
        <f>[2]Results!$D$28</f>
        <v>-713143.1493828299</v>
      </c>
      <c r="H26" s="11">
        <f t="shared" si="7"/>
        <v>128350.00003764627</v>
      </c>
      <c r="J26" s="11">
        <f>Summary!$F$26</f>
        <v>248204211.21388683</v>
      </c>
      <c r="K26" s="11">
        <f>[2]Results!$E$28</f>
        <v>248332561.21392447</v>
      </c>
      <c r="L26" s="11">
        <f t="shared" si="8"/>
        <v>128350.00003764033</v>
      </c>
      <c r="N26" s="11">
        <f>Summary!$H$26</f>
        <v>-24094341.211225148</v>
      </c>
      <c r="O26" s="11">
        <f>[2]Results!$H$28</f>
        <v>-21956378.701557964</v>
      </c>
      <c r="P26" s="11">
        <f t="shared" si="9"/>
        <v>2137962.5096671842</v>
      </c>
      <c r="R26" s="11">
        <f>Summary!$J$26</f>
        <v>224109870.00266171</v>
      </c>
      <c r="S26" s="11">
        <f>[2]Results!$I$28</f>
        <v>226376182.51236656</v>
      </c>
      <c r="T26" s="11">
        <f t="shared" si="10"/>
        <v>2266312.5097048581</v>
      </c>
      <c r="V26" s="11">
        <f>Summary!$L$26</f>
        <v>-4095.1586302810983</v>
      </c>
      <c r="W26" s="11">
        <f>SUM(W16:W25)</f>
        <v>65642.353702255728</v>
      </c>
      <c r="X26" s="11">
        <f t="shared" si="11"/>
        <v>69737.512332536833</v>
      </c>
    </row>
    <row r="27" spans="1:24">
      <c r="A27" s="15" t="s">
        <v>74</v>
      </c>
      <c r="B27" s="13">
        <f>Summary!$B$27</f>
        <v>37836762.427732483</v>
      </c>
      <c r="C27" s="13">
        <f>[2]Results!$C$29</f>
        <v>37836762.427732483</v>
      </c>
      <c r="D27" s="13">
        <f t="shared" si="6"/>
        <v>0</v>
      </c>
      <c r="F27" s="13">
        <f>Summary!$D$27</f>
        <v>-426874.27289466589</v>
      </c>
      <c r="G27" s="13">
        <f>[2]Results!$D$29</f>
        <v>-426874.27289548732</v>
      </c>
      <c r="H27" s="13">
        <f t="shared" si="7"/>
        <v>-8.2142651081085205E-7</v>
      </c>
      <c r="J27" s="13">
        <f>Summary!$F$27</f>
        <v>37409888.154837817</v>
      </c>
      <c r="K27" s="13">
        <f>[2]Results!$E$29</f>
        <v>37409888.154836997</v>
      </c>
      <c r="L27" s="13">
        <f t="shared" si="8"/>
        <v>-8.1956386566162109E-7</v>
      </c>
      <c r="N27" s="13">
        <f>Summary!$H$27</f>
        <v>-361953.08500578615</v>
      </c>
      <c r="O27" s="13">
        <f>[2]Results!$H$29</f>
        <v>-361953.08500578615</v>
      </c>
      <c r="P27" s="13">
        <f t="shared" si="9"/>
        <v>0</v>
      </c>
      <c r="R27" s="13">
        <f>Summary!$J$27</f>
        <v>37047935.069832034</v>
      </c>
      <c r="S27" s="13">
        <f>[2]Results!$I$29</f>
        <v>37047935.069831215</v>
      </c>
      <c r="T27" s="13">
        <f t="shared" si="10"/>
        <v>-8.1956386566162109E-7</v>
      </c>
      <c r="V27" s="13">
        <f>Summary!$L$27</f>
        <v>0</v>
      </c>
      <c r="W27" s="13"/>
      <c r="X27" s="13">
        <f t="shared" si="11"/>
        <v>0</v>
      </c>
    </row>
    <row r="28" spans="1:24">
      <c r="A28" s="15" t="s">
        <v>75</v>
      </c>
      <c r="B28" s="13">
        <f>Summary!$B$28</f>
        <v>4000829.4733088263</v>
      </c>
      <c r="C28" s="13">
        <f>[2]Results!$C$30</f>
        <v>4000829.4733088263</v>
      </c>
      <c r="D28" s="13">
        <f t="shared" si="6"/>
        <v>0</v>
      </c>
      <c r="F28" s="13">
        <f>Summary!$D$28</f>
        <v>-174728.87755490927</v>
      </c>
      <c r="G28" s="13">
        <f>[2]Results!$D$30</f>
        <v>-174728.87755490927</v>
      </c>
      <c r="H28" s="13">
        <f t="shared" si="7"/>
        <v>0</v>
      </c>
      <c r="J28" s="13">
        <f>Summary!$F$28</f>
        <v>3826100.595753917</v>
      </c>
      <c r="K28" s="13">
        <f>[2]Results!$E$30</f>
        <v>3826100.595753917</v>
      </c>
      <c r="L28" s="13">
        <f t="shared" si="8"/>
        <v>0</v>
      </c>
      <c r="N28" s="13">
        <f>Summary!$H$28</f>
        <v>-402431.60954907537</v>
      </c>
      <c r="O28" s="13">
        <f>[2]Results!$H$30</f>
        <v>-402431.60954907537</v>
      </c>
      <c r="P28" s="13">
        <f t="shared" si="9"/>
        <v>0</v>
      </c>
      <c r="R28" s="13">
        <f>Summary!$J$28</f>
        <v>3423668.9862048416</v>
      </c>
      <c r="S28" s="13">
        <f>[2]Results!$I$30</f>
        <v>3423668.9862048416</v>
      </c>
      <c r="T28" s="13">
        <f t="shared" si="10"/>
        <v>0</v>
      </c>
      <c r="V28" s="13">
        <f>Summary!$L$28</f>
        <v>0</v>
      </c>
      <c r="W28" s="13"/>
      <c r="X28" s="13">
        <f t="shared" si="11"/>
        <v>0</v>
      </c>
    </row>
    <row r="29" spans="1:24">
      <c r="A29" s="15" t="s">
        <v>76</v>
      </c>
      <c r="B29" s="13">
        <f>Summary!$B$29</f>
        <v>17194582.105629764</v>
      </c>
      <c r="C29" s="13">
        <f>[2]Results!$C$31</f>
        <v>17194582.105629764</v>
      </c>
      <c r="D29" s="13">
        <f t="shared" si="6"/>
        <v>0</v>
      </c>
      <c r="F29" s="13">
        <f>Summary!$D$29</f>
        <v>-46288.058459085209</v>
      </c>
      <c r="G29" s="13">
        <f>[2]Results!$D$31</f>
        <v>-46288.058459085209</v>
      </c>
      <c r="H29" s="13">
        <f t="shared" si="7"/>
        <v>0</v>
      </c>
      <c r="J29" s="13">
        <f>Summary!$F$29</f>
        <v>17148294.04717068</v>
      </c>
      <c r="K29" s="13">
        <f>[2]Results!$E$31</f>
        <v>17148294.04717068</v>
      </c>
      <c r="L29" s="13">
        <f t="shared" si="8"/>
        <v>0</v>
      </c>
      <c r="N29" s="13">
        <f>Summary!$H$29</f>
        <v>1741720.3599999994</v>
      </c>
      <c r="O29" s="13">
        <f>[2]Results!$H$31</f>
        <v>1741720.3599999994</v>
      </c>
      <c r="P29" s="13">
        <f t="shared" si="9"/>
        <v>0</v>
      </c>
      <c r="R29" s="13">
        <f>Summary!$J$29</f>
        <v>18890014.407170679</v>
      </c>
      <c r="S29" s="13">
        <f>[2]Results!$I$31</f>
        <v>18890014.407170679</v>
      </c>
      <c r="T29" s="13">
        <f t="shared" si="10"/>
        <v>0</v>
      </c>
      <c r="V29" s="13">
        <f>Summary!$L$29</f>
        <v>-32898.582053520542</v>
      </c>
      <c r="W29" s="13">
        <f>[2]Results!H120</f>
        <v>527339.85528459097</v>
      </c>
      <c r="X29" s="13">
        <f t="shared" si="11"/>
        <v>560238.43733811146</v>
      </c>
    </row>
    <row r="30" spans="1:24">
      <c r="A30" s="15" t="s">
        <v>77</v>
      </c>
      <c r="B30" s="13">
        <f>Summary!$B$30</f>
        <v>-13444798.478551678</v>
      </c>
      <c r="C30" s="13">
        <f>[2]Results!$C$32</f>
        <v>-13444798.478551678</v>
      </c>
      <c r="D30" s="13">
        <f t="shared" si="6"/>
        <v>0</v>
      </c>
      <c r="F30" s="13">
        <f>Summary!$D$30</f>
        <v>2035642.0002939156</v>
      </c>
      <c r="G30" s="13">
        <f>[2]Results!$D$32</f>
        <v>988711.50028101681</v>
      </c>
      <c r="H30" s="13">
        <f t="shared" si="7"/>
        <v>-1046930.5000128988</v>
      </c>
      <c r="J30" s="13">
        <f>Summary!$F$30</f>
        <v>-11409156.478257738</v>
      </c>
      <c r="K30" s="13">
        <f>[2]Results!$E$32</f>
        <v>-12456086.978270661</v>
      </c>
      <c r="L30" s="13">
        <f t="shared" si="8"/>
        <v>-1046930.500012923</v>
      </c>
      <c r="N30" s="13">
        <f>Summary!$H$30</f>
        <v>3807757.4270533863</v>
      </c>
      <c r="O30" s="13">
        <f>[2]Results!$H$32</f>
        <v>155147.46767438436</v>
      </c>
      <c r="P30" s="13">
        <f t="shared" si="9"/>
        <v>-3652609.959379002</v>
      </c>
      <c r="R30" s="13">
        <f>Summary!$J$30</f>
        <v>-7601399.0512043759</v>
      </c>
      <c r="S30" s="13">
        <f>[2]Results!$I$32</f>
        <v>-12300939.510596277</v>
      </c>
      <c r="T30" s="13">
        <f t="shared" si="10"/>
        <v>-4699540.4593919013</v>
      </c>
      <c r="V30" s="13">
        <f>Summary!$L$30</f>
        <v>-269755.44926133699</v>
      </c>
      <c r="W30" s="13">
        <f>[2]Results!H121</f>
        <v>4323979.6579767941</v>
      </c>
      <c r="X30" s="13">
        <f t="shared" si="11"/>
        <v>4593735.1072381306</v>
      </c>
    </row>
    <row r="31" spans="1:24">
      <c r="A31" s="15" t="s">
        <v>78</v>
      </c>
      <c r="B31" s="13">
        <f>Summary!$B$31</f>
        <v>0</v>
      </c>
      <c r="C31" s="13">
        <f>[2]Results!$C$33</f>
        <v>0</v>
      </c>
      <c r="D31" s="13">
        <f t="shared" si="6"/>
        <v>0</v>
      </c>
      <c r="F31" s="13">
        <f>Summary!$D$31</f>
        <v>0</v>
      </c>
      <c r="G31" s="13">
        <f>[2]Results!$D$33</f>
        <v>0</v>
      </c>
      <c r="H31" s="13">
        <f t="shared" si="7"/>
        <v>0</v>
      </c>
      <c r="J31" s="13">
        <f>Summary!$F$31</f>
        <v>0</v>
      </c>
      <c r="K31" s="13">
        <f>[2]Results!$E$33</f>
        <v>0</v>
      </c>
      <c r="L31" s="13">
        <f t="shared" si="8"/>
        <v>0</v>
      </c>
      <c r="N31" s="13">
        <f>Summary!$H$31</f>
        <v>0</v>
      </c>
      <c r="O31" s="13">
        <f>[2]Results!$H$33</f>
        <v>0</v>
      </c>
      <c r="P31" s="13">
        <f t="shared" si="9"/>
        <v>0</v>
      </c>
      <c r="R31" s="13">
        <f>Summary!$J$31</f>
        <v>0</v>
      </c>
      <c r="S31" s="13">
        <f>[2]Results!$I$33</f>
        <v>0</v>
      </c>
      <c r="T31" s="13">
        <f t="shared" si="10"/>
        <v>0</v>
      </c>
      <c r="V31" s="13">
        <f>Summary!$L$31</f>
        <v>0</v>
      </c>
      <c r="W31" s="13"/>
      <c r="X31" s="13">
        <f t="shared" si="11"/>
        <v>0</v>
      </c>
    </row>
    <row r="32" spans="1:24">
      <c r="A32" s="15" t="s">
        <v>79</v>
      </c>
      <c r="B32" s="13">
        <f>Summary!$B$32</f>
        <v>22579758.194182646</v>
      </c>
      <c r="C32" s="13">
        <f>[2]Results!$C$34</f>
        <v>22579758.194182646</v>
      </c>
      <c r="D32" s="13">
        <f t="shared" si="6"/>
        <v>0</v>
      </c>
      <c r="F32" s="13">
        <f>Summary!$D$32</f>
        <v>-1287871.7903143498</v>
      </c>
      <c r="G32" s="13">
        <f>[2]Results!$D$34</f>
        <v>-1287871.7903143496</v>
      </c>
      <c r="H32" s="13">
        <f t="shared" si="7"/>
        <v>0</v>
      </c>
      <c r="J32" s="13">
        <f>Summary!$F$32</f>
        <v>21291886.403868295</v>
      </c>
      <c r="K32" s="13">
        <f>[2]Results!$E$34</f>
        <v>21291886.403868295</v>
      </c>
      <c r="L32" s="13">
        <f t="shared" si="8"/>
        <v>0</v>
      </c>
      <c r="N32" s="13">
        <f>Summary!$H$32</f>
        <v>974090.70055956382</v>
      </c>
      <c r="O32" s="13">
        <f>[2]Results!$H$34</f>
        <v>974090.70055956382</v>
      </c>
      <c r="P32" s="13">
        <f t="shared" si="9"/>
        <v>0</v>
      </c>
      <c r="R32" s="13">
        <f>Summary!$J$32</f>
        <v>22265977.104427859</v>
      </c>
      <c r="S32" s="13">
        <f>[2]Results!$I$34</f>
        <v>22265977.104427859</v>
      </c>
      <c r="T32" s="13">
        <f t="shared" si="10"/>
        <v>0</v>
      </c>
      <c r="V32" s="13">
        <f>Summary!$L$32</f>
        <v>0</v>
      </c>
      <c r="W32" s="13"/>
      <c r="X32" s="13">
        <f t="shared" si="11"/>
        <v>0</v>
      </c>
    </row>
    <row r="33" spans="1:24">
      <c r="A33" s="15" t="s">
        <v>80</v>
      </c>
      <c r="B33" s="13">
        <f>Summary!$B$33</f>
        <v>0</v>
      </c>
      <c r="C33" s="13">
        <f>[2]Results!$C$35</f>
        <v>0</v>
      </c>
      <c r="D33" s="13">
        <f t="shared" si="6"/>
        <v>0</v>
      </c>
      <c r="F33" s="13">
        <f>Summary!$D$33</f>
        <v>0</v>
      </c>
      <c r="G33" s="13">
        <f>[2]Results!$D$35</f>
        <v>0</v>
      </c>
      <c r="H33" s="13">
        <f t="shared" si="7"/>
        <v>0</v>
      </c>
      <c r="J33" s="13">
        <f>Summary!$F$33</f>
        <v>0</v>
      </c>
      <c r="K33" s="13">
        <f>[2]Results!$E$35</f>
        <v>0</v>
      </c>
      <c r="L33" s="13">
        <f t="shared" si="8"/>
        <v>0</v>
      </c>
      <c r="N33" s="13">
        <f>Summary!$H$33</f>
        <v>0</v>
      </c>
      <c r="O33" s="13">
        <f>[2]Results!$H$35</f>
        <v>0</v>
      </c>
      <c r="P33" s="13">
        <f t="shared" si="9"/>
        <v>0</v>
      </c>
      <c r="R33" s="13">
        <f>Summary!$J$33</f>
        <v>0</v>
      </c>
      <c r="S33" s="13">
        <f>[2]Results!$I$35</f>
        <v>0</v>
      </c>
      <c r="T33" s="13">
        <f t="shared" si="10"/>
        <v>0</v>
      </c>
      <c r="V33" s="13">
        <f>Summary!$L$33</f>
        <v>0</v>
      </c>
      <c r="W33" s="13"/>
      <c r="X33" s="13">
        <f t="shared" si="11"/>
        <v>0</v>
      </c>
    </row>
    <row r="34" spans="1:24">
      <c r="A34" s="15" t="s">
        <v>81</v>
      </c>
      <c r="B34" s="13">
        <f>Summary!$B$34</f>
        <v>-384317.73504529492</v>
      </c>
      <c r="C34" s="13">
        <f>[2]Results!$C$36</f>
        <v>-384317.73504529492</v>
      </c>
      <c r="D34" s="13">
        <f t="shared" si="6"/>
        <v>0</v>
      </c>
      <c r="F34" s="13">
        <f>Summary!$D$34</f>
        <v>-685916.03178462666</v>
      </c>
      <c r="G34" s="13">
        <f>[2]Results!$D$36</f>
        <v>-685916.03178462666</v>
      </c>
      <c r="H34" s="13">
        <f t="shared" si="7"/>
        <v>0</v>
      </c>
      <c r="J34" s="13">
        <f>Summary!$F$34</f>
        <v>-1070233.7668299216</v>
      </c>
      <c r="K34" s="13">
        <f>[2]Results!$E$36</f>
        <v>-1070233.7668299216</v>
      </c>
      <c r="L34" s="13">
        <f t="shared" si="8"/>
        <v>0</v>
      </c>
      <c r="N34" s="13">
        <f>Summary!$H$34</f>
        <v>15951.581451000529</v>
      </c>
      <c r="O34" s="13">
        <f>[2]Results!$H$36</f>
        <v>15951.581451000529</v>
      </c>
      <c r="P34" s="13">
        <f t="shared" si="9"/>
        <v>0</v>
      </c>
      <c r="R34" s="13">
        <f>Summary!$J$34</f>
        <v>-1054282.1853789212</v>
      </c>
      <c r="S34" s="13">
        <f>[2]Results!$I$36</f>
        <v>-1054282.1853789212</v>
      </c>
      <c r="T34" s="13">
        <f t="shared" si="10"/>
        <v>0</v>
      </c>
      <c r="V34" s="13">
        <f>Summary!$L$34</f>
        <v>0</v>
      </c>
      <c r="W34" s="13"/>
      <c r="X34" s="13">
        <f t="shared" si="11"/>
        <v>0</v>
      </c>
    </row>
    <row r="35" spans="1:24">
      <c r="A35" s="15" t="s">
        <v>82</v>
      </c>
      <c r="B35" s="11">
        <f>Summary!$B$35</f>
        <v>316828520.350564</v>
      </c>
      <c r="C35" s="11">
        <f>[2]Results!$C$37</f>
        <v>316828520.350564</v>
      </c>
      <c r="D35" s="11">
        <f t="shared" si="6"/>
        <v>0</v>
      </c>
      <c r="F35" s="11">
        <f>Summary!$D$35</f>
        <v>-1427530.1801341975</v>
      </c>
      <c r="G35" s="11">
        <f>[2]Results!$D$37</f>
        <v>-2346110.6801102711</v>
      </c>
      <c r="H35" s="11">
        <f t="shared" si="7"/>
        <v>-918580.49997607362</v>
      </c>
      <c r="J35" s="11">
        <f>Summary!$F$35</f>
        <v>315400990.17042994</v>
      </c>
      <c r="K35" s="11">
        <f>[2]Results!$E$37</f>
        <v>314482409.67045385</v>
      </c>
      <c r="L35" s="11">
        <f t="shared" si="8"/>
        <v>-918580.49997609854</v>
      </c>
      <c r="N35" s="11">
        <f>Summary!$H$35</f>
        <v>-18319205.836716063</v>
      </c>
      <c r="O35" s="11">
        <f>[2]Results!$H$37</f>
        <v>-19833853.286427878</v>
      </c>
      <c r="P35" s="11">
        <f t="shared" si="9"/>
        <v>-1514647.4497118145</v>
      </c>
      <c r="R35" s="11">
        <f>Summary!$J$35</f>
        <v>297081784.33371383</v>
      </c>
      <c r="S35" s="11">
        <f>[2]Results!$I$37</f>
        <v>294648556.38402599</v>
      </c>
      <c r="T35" s="11">
        <f t="shared" si="10"/>
        <v>-2433227.9496878386</v>
      </c>
      <c r="V35" s="11">
        <f>Summary!$L$35</f>
        <v>-306749.18994513864</v>
      </c>
      <c r="W35" s="11">
        <f>SUM(W26:W34)</f>
        <v>4916961.8669636408</v>
      </c>
      <c r="X35" s="11">
        <f t="shared" si="11"/>
        <v>5223711.0569087798</v>
      </c>
    </row>
    <row r="36" spans="1:24">
      <c r="A36" s="15"/>
      <c r="B36" s="13"/>
      <c r="C36" s="13"/>
      <c r="D36" s="13"/>
      <c r="F36" s="13"/>
      <c r="G36" s="13"/>
      <c r="H36" s="13"/>
      <c r="J36" s="13"/>
      <c r="K36" s="13"/>
      <c r="L36" s="13"/>
      <c r="N36" s="13"/>
      <c r="O36" s="13"/>
      <c r="P36" s="13"/>
      <c r="R36" s="13"/>
      <c r="S36" s="13"/>
      <c r="T36" s="13"/>
      <c r="V36" s="13"/>
      <c r="W36" s="13"/>
      <c r="X36" s="13"/>
    </row>
    <row r="37" spans="1:24" ht="13.5" thickBot="1">
      <c r="A37" s="15" t="s">
        <v>83</v>
      </c>
      <c r="B37" s="14">
        <f>Summary!$B$37</f>
        <v>39356667.963908076</v>
      </c>
      <c r="C37" s="14">
        <f>[2]Results!$C$39</f>
        <v>39356667.963908076</v>
      </c>
      <c r="D37" s="14">
        <f>C37-B37</f>
        <v>0</v>
      </c>
      <c r="F37" s="14">
        <f>Summary!$D$37</f>
        <v>9377726.1208062712</v>
      </c>
      <c r="G37" s="14">
        <f>[2]Results!$D$39</f>
        <v>7433426.6207823446</v>
      </c>
      <c r="H37" s="14">
        <f>G37-F37</f>
        <v>-1944299.5000239266</v>
      </c>
      <c r="J37" s="14">
        <f>Summary!$F$37</f>
        <v>48734394.084714234</v>
      </c>
      <c r="K37" s="14">
        <f>[2]Results!$E$39</f>
        <v>46790094.584690332</v>
      </c>
      <c r="L37" s="14">
        <f>K37-J37</f>
        <v>-1944299.5000239015</v>
      </c>
      <c r="N37" s="14">
        <f>Summary!$H$37</f>
        <v>9854958.377126202</v>
      </c>
      <c r="O37" s="14">
        <f>[2]Results!$H$39</f>
        <v>3268035.5351344049</v>
      </c>
      <c r="P37" s="14">
        <f>O37-N37</f>
        <v>-6586922.8419917971</v>
      </c>
      <c r="R37" s="14">
        <f>Summary!$J$37</f>
        <v>58589352.461840451</v>
      </c>
      <c r="S37" s="14">
        <f>[2]Results!$I$39</f>
        <v>50058130.119824708</v>
      </c>
      <c r="T37" s="14">
        <f>S37-R37</f>
        <v>-8531222.3420157433</v>
      </c>
      <c r="V37" s="14">
        <f>Summary!$L$37</f>
        <v>-500974.40577105433</v>
      </c>
      <c r="W37" s="14">
        <f>W13-W35</f>
        <v>8030247.9362426186</v>
      </c>
      <c r="X37" s="14">
        <f>W37-V37</f>
        <v>8531222.342013672</v>
      </c>
    </row>
    <row r="38" spans="1:24" ht="13.5" thickTop="1">
      <c r="A38" s="15"/>
      <c r="B38" s="13"/>
      <c r="C38" s="13"/>
      <c r="D38" s="13"/>
      <c r="F38" s="13"/>
      <c r="G38" s="13"/>
      <c r="H38" s="13"/>
      <c r="J38" s="13"/>
      <c r="K38" s="13"/>
      <c r="L38" s="13"/>
      <c r="N38" s="13"/>
      <c r="O38" s="13"/>
      <c r="P38" s="13"/>
      <c r="R38" s="13"/>
      <c r="S38" s="13"/>
      <c r="T38" s="13"/>
      <c r="V38" s="13"/>
      <c r="W38" s="13"/>
      <c r="X38" s="13"/>
    </row>
    <row r="39" spans="1:24">
      <c r="A39" s="15" t="s">
        <v>84</v>
      </c>
      <c r="B39" s="13"/>
      <c r="C39" s="13"/>
      <c r="D39" s="13"/>
      <c r="F39" s="13"/>
      <c r="G39" s="13"/>
      <c r="H39" s="13"/>
      <c r="J39" s="13"/>
      <c r="K39" s="13"/>
      <c r="L39" s="13"/>
      <c r="N39" s="13"/>
      <c r="O39" s="13"/>
      <c r="P39" s="13"/>
      <c r="R39" s="13"/>
      <c r="S39" s="13"/>
      <c r="T39" s="13"/>
      <c r="V39" s="13"/>
      <c r="W39" s="13"/>
      <c r="X39" s="13"/>
    </row>
    <row r="40" spans="1:24">
      <c r="A40" s="15" t="s">
        <v>85</v>
      </c>
      <c r="B40" s="13">
        <f>Summary!$B$40</f>
        <v>1463726641.7773561</v>
      </c>
      <c r="C40" s="13">
        <f>[2]Results!$C$42</f>
        <v>1463726641.7773561</v>
      </c>
      <c r="D40" s="13">
        <f t="shared" ref="D40:D51" si="12">C40-B40</f>
        <v>0</v>
      </c>
      <c r="F40" s="13">
        <f>Summary!$D$40</f>
        <v>31647606.57965333</v>
      </c>
      <c r="G40" s="13">
        <f>[2]Results!$D$42</f>
        <v>31647606.579626083</v>
      </c>
      <c r="H40" s="13">
        <f t="shared" ref="H40:H51" si="13">G40-F40</f>
        <v>-2.7246773242950439E-5</v>
      </c>
      <c r="J40" s="13">
        <f>Summary!$F$40</f>
        <v>1495374248.3570094</v>
      </c>
      <c r="K40" s="13">
        <f>[2]Results!$E$42</f>
        <v>1495374248.3569822</v>
      </c>
      <c r="L40" s="13">
        <f t="shared" ref="L40:L51" si="14">K40-J40</f>
        <v>-2.7179718017578125E-5</v>
      </c>
      <c r="N40" s="13">
        <f>Summary!$H$40</f>
        <v>-15715508.538425047</v>
      </c>
      <c r="O40" s="13">
        <f>[2]Results!$H$42</f>
        <v>-15715508.53842457</v>
      </c>
      <c r="P40" s="13">
        <f t="shared" ref="P40:P51" si="15">O40-N40</f>
        <v>4.76837158203125E-7</v>
      </c>
      <c r="R40" s="13">
        <f>Summary!$J$40</f>
        <v>1479658739.8185844</v>
      </c>
      <c r="S40" s="13">
        <f>[2]Results!$I$42</f>
        <v>1479658739.8185577</v>
      </c>
      <c r="T40" s="13">
        <f t="shared" ref="T40:T51" si="16">S40-R40</f>
        <v>-2.6702880859375E-5</v>
      </c>
      <c r="V40" s="13">
        <f>Summary!$L$40</f>
        <v>0</v>
      </c>
      <c r="W40" s="13"/>
      <c r="X40" s="13">
        <f t="shared" ref="X40:X51" si="17">W40-V40</f>
        <v>0</v>
      </c>
    </row>
    <row r="41" spans="1:24">
      <c r="A41" s="15" t="s">
        <v>86</v>
      </c>
      <c r="B41" s="13">
        <f>Summary!$B$41</f>
        <v>37964.182804253716</v>
      </c>
      <c r="C41" s="13">
        <f>[2]Results!$C$43</f>
        <v>37964.182804253716</v>
      </c>
      <c r="D41" s="13">
        <f t="shared" si="12"/>
        <v>0</v>
      </c>
      <c r="F41" s="13">
        <f>Summary!$D$41</f>
        <v>0</v>
      </c>
      <c r="G41" s="13">
        <f>[2]Results!$D$43</f>
        <v>0</v>
      </c>
      <c r="H41" s="13">
        <f t="shared" si="13"/>
        <v>0</v>
      </c>
      <c r="J41" s="13">
        <f>Summary!$F$41</f>
        <v>37964.182804253716</v>
      </c>
      <c r="K41" s="13">
        <f>[2]Results!$E$43</f>
        <v>37964.182804253716</v>
      </c>
      <c r="L41" s="13">
        <f t="shared" si="14"/>
        <v>0</v>
      </c>
      <c r="N41" s="13">
        <f>Summary!$H$41</f>
        <v>0</v>
      </c>
      <c r="O41" s="13">
        <f>[2]Results!$H$43</f>
        <v>0</v>
      </c>
      <c r="P41" s="13">
        <f t="shared" si="15"/>
        <v>0</v>
      </c>
      <c r="R41" s="13">
        <f>Summary!$J$41</f>
        <v>37964.182804253716</v>
      </c>
      <c r="S41" s="13">
        <f>[2]Results!$I$43</f>
        <v>37964.182804253716</v>
      </c>
      <c r="T41" s="13">
        <f t="shared" si="16"/>
        <v>0</v>
      </c>
      <c r="V41" s="13">
        <f>Summary!$L$41</f>
        <v>0</v>
      </c>
      <c r="W41" s="13"/>
      <c r="X41" s="13">
        <f t="shared" si="17"/>
        <v>0</v>
      </c>
    </row>
    <row r="42" spans="1:24">
      <c r="A42" s="15" t="s">
        <v>87</v>
      </c>
      <c r="B42" s="13">
        <f>Summary!$B$42</f>
        <v>21830245.365903828</v>
      </c>
      <c r="C42" s="13">
        <f>[2]Results!$C$44</f>
        <v>21830245.365903828</v>
      </c>
      <c r="D42" s="13">
        <f t="shared" si="12"/>
        <v>0</v>
      </c>
      <c r="F42" s="13">
        <f>Summary!$D$42</f>
        <v>-2373510.0345394304</v>
      </c>
      <c r="G42" s="13">
        <f>[2]Results!$D$44</f>
        <v>-2373510.0345394304</v>
      </c>
      <c r="H42" s="13">
        <f t="shared" si="13"/>
        <v>0</v>
      </c>
      <c r="J42" s="13">
        <f>Summary!$F$42</f>
        <v>19456735.331364397</v>
      </c>
      <c r="K42" s="13">
        <f>[2]Results!$E$44</f>
        <v>19456735.331364397</v>
      </c>
      <c r="L42" s="13">
        <f t="shared" si="14"/>
        <v>0</v>
      </c>
      <c r="N42" s="13">
        <f>Summary!$H$42</f>
        <v>-3261120.6293837503</v>
      </c>
      <c r="O42" s="13">
        <f>[2]Results!$H$44</f>
        <v>-3261120.6293837503</v>
      </c>
      <c r="P42" s="13">
        <f t="shared" si="15"/>
        <v>0</v>
      </c>
      <c r="R42" s="13">
        <f>Summary!$J$42</f>
        <v>16195614.701980647</v>
      </c>
      <c r="S42" s="13">
        <f>[2]Results!$I$44</f>
        <v>16195614.701980647</v>
      </c>
      <c r="T42" s="13">
        <f t="shared" si="16"/>
        <v>0</v>
      </c>
      <c r="V42" s="13">
        <f>Summary!$L$42</f>
        <v>0</v>
      </c>
      <c r="W42" s="13"/>
      <c r="X42" s="13">
        <f t="shared" si="17"/>
        <v>0</v>
      </c>
    </row>
    <row r="43" spans="1:24">
      <c r="A43" s="15" t="s">
        <v>88</v>
      </c>
      <c r="B43" s="13">
        <f>Summary!$B$43</f>
        <v>0</v>
      </c>
      <c r="C43" s="13">
        <f>[2]Results!$C$45</f>
        <v>0</v>
      </c>
      <c r="D43" s="13">
        <f t="shared" si="12"/>
        <v>0</v>
      </c>
      <c r="F43" s="13">
        <f>Summary!$D$43</f>
        <v>0</v>
      </c>
      <c r="G43" s="13">
        <f>[2]Results!$D$45</f>
        <v>0</v>
      </c>
      <c r="H43" s="13">
        <f t="shared" si="13"/>
        <v>0</v>
      </c>
      <c r="J43" s="13">
        <f>Summary!$F$43</f>
        <v>0</v>
      </c>
      <c r="K43" s="13">
        <f>[2]Results!$E$45</f>
        <v>0</v>
      </c>
      <c r="L43" s="13">
        <f t="shared" si="14"/>
        <v>0</v>
      </c>
      <c r="N43" s="13">
        <f>Summary!$H$43</f>
        <v>0</v>
      </c>
      <c r="O43" s="13">
        <f>[2]Results!$H$45</f>
        <v>0</v>
      </c>
      <c r="P43" s="13">
        <f t="shared" si="15"/>
        <v>0</v>
      </c>
      <c r="R43" s="13">
        <f>Summary!$J$43</f>
        <v>0</v>
      </c>
      <c r="S43" s="13">
        <f>[2]Results!$I$45</f>
        <v>0</v>
      </c>
      <c r="T43" s="13">
        <f t="shared" si="16"/>
        <v>0</v>
      </c>
      <c r="V43" s="13">
        <f>Summary!$L$43</f>
        <v>0</v>
      </c>
      <c r="W43" s="13"/>
      <c r="X43" s="13">
        <f t="shared" si="17"/>
        <v>0</v>
      </c>
    </row>
    <row r="44" spans="1:24">
      <c r="A44" s="15" t="s">
        <v>89</v>
      </c>
      <c r="B44" s="13">
        <f>Summary!$B$44</f>
        <v>0</v>
      </c>
      <c r="C44" s="13">
        <f>[2]Results!$C$46</f>
        <v>0</v>
      </c>
      <c r="D44" s="13">
        <f t="shared" si="12"/>
        <v>0</v>
      </c>
      <c r="F44" s="13">
        <f>Summary!$D$44</f>
        <v>0</v>
      </c>
      <c r="G44" s="13">
        <f>[2]Results!$D$46</f>
        <v>0</v>
      </c>
      <c r="H44" s="13">
        <f t="shared" si="13"/>
        <v>0</v>
      </c>
      <c r="J44" s="13">
        <f>Summary!$F$44</f>
        <v>0</v>
      </c>
      <c r="K44" s="13">
        <f>[2]Results!$E$46</f>
        <v>0</v>
      </c>
      <c r="L44" s="13">
        <f t="shared" si="14"/>
        <v>0</v>
      </c>
      <c r="N44" s="13">
        <f>Summary!$H$44</f>
        <v>0</v>
      </c>
      <c r="O44" s="13">
        <f>[2]Results!$H$46</f>
        <v>0</v>
      </c>
      <c r="P44" s="13">
        <f t="shared" si="15"/>
        <v>0</v>
      </c>
      <c r="R44" s="13">
        <f>Summary!$J$44</f>
        <v>0</v>
      </c>
      <c r="S44" s="13">
        <f>[2]Results!$I$46</f>
        <v>0</v>
      </c>
      <c r="T44" s="13">
        <f t="shared" si="16"/>
        <v>0</v>
      </c>
      <c r="V44" s="13">
        <f>Summary!$L$44</f>
        <v>0</v>
      </c>
      <c r="W44" s="13"/>
      <c r="X44" s="13">
        <f t="shared" si="17"/>
        <v>0</v>
      </c>
    </row>
    <row r="45" spans="1:24">
      <c r="A45" s="15" t="s">
        <v>90</v>
      </c>
      <c r="B45" s="13">
        <f>Summary!$B$45</f>
        <v>2240510.2031514402</v>
      </c>
      <c r="C45" s="13">
        <f>[2]Results!$C$47</f>
        <v>2240510.2031514402</v>
      </c>
      <c r="D45" s="13">
        <f t="shared" si="12"/>
        <v>0</v>
      </c>
      <c r="F45" s="13">
        <f>Summary!$D$45</f>
        <v>-2240510.2035326045</v>
      </c>
      <c r="G45" s="13">
        <f>[2]Results!$D$47</f>
        <v>-2240510.2035326045</v>
      </c>
      <c r="H45" s="13">
        <f t="shared" si="13"/>
        <v>0</v>
      </c>
      <c r="J45" s="13">
        <f>Summary!$F$45</f>
        <v>-3.8116425275802612E-4</v>
      </c>
      <c r="K45" s="13">
        <f>[2]Results!$E$47</f>
        <v>-3.8116425275802612E-4</v>
      </c>
      <c r="L45" s="13">
        <f t="shared" si="14"/>
        <v>0</v>
      </c>
      <c r="N45" s="13">
        <f>Summary!$H$45</f>
        <v>0</v>
      </c>
      <c r="O45" s="13">
        <f>[2]Results!$H$47</f>
        <v>0</v>
      </c>
      <c r="P45" s="13">
        <f t="shared" si="15"/>
        <v>0</v>
      </c>
      <c r="R45" s="13">
        <f>Summary!$J$45</f>
        <v>-3.8116425275802612E-4</v>
      </c>
      <c r="S45" s="13">
        <f>[2]Results!$I$47</f>
        <v>-3.8116425275802612E-4</v>
      </c>
      <c r="T45" s="13">
        <f t="shared" si="16"/>
        <v>0</v>
      </c>
      <c r="V45" s="13">
        <f>Summary!$L$45</f>
        <v>0</v>
      </c>
      <c r="W45" s="13"/>
      <c r="X45" s="13">
        <f t="shared" si="17"/>
        <v>0</v>
      </c>
    </row>
    <row r="46" spans="1:24">
      <c r="A46" s="15" t="s">
        <v>91</v>
      </c>
      <c r="B46" s="13">
        <f>Summary!$B$46</f>
        <v>4907986.4739838019</v>
      </c>
      <c r="C46" s="13">
        <f>[2]Results!$C$48</f>
        <v>4907986.4739838019</v>
      </c>
      <c r="D46" s="13">
        <f t="shared" si="12"/>
        <v>0</v>
      </c>
      <c r="F46" s="13">
        <f>Summary!$D$46</f>
        <v>-4907986.4739838867</v>
      </c>
      <c r="G46" s="13">
        <f>[2]Results!$D$48</f>
        <v>-4907986.4739838867</v>
      </c>
      <c r="H46" s="13">
        <f t="shared" si="13"/>
        <v>0</v>
      </c>
      <c r="J46" s="13">
        <f>Summary!$F$46</f>
        <v>-8.4750354290008545E-8</v>
      </c>
      <c r="K46" s="13">
        <f>[2]Results!$E$48</f>
        <v>-8.4750354290008545E-8</v>
      </c>
      <c r="L46" s="13">
        <f t="shared" si="14"/>
        <v>0</v>
      </c>
      <c r="N46" s="13">
        <f>Summary!$H$46</f>
        <v>0</v>
      </c>
      <c r="O46" s="13">
        <f>[2]Results!$H$48</f>
        <v>0</v>
      </c>
      <c r="P46" s="13">
        <f t="shared" si="15"/>
        <v>0</v>
      </c>
      <c r="R46" s="13">
        <f>Summary!$J$46</f>
        <v>-8.4750354290008545E-8</v>
      </c>
      <c r="S46" s="13">
        <f>[2]Results!$I$48</f>
        <v>-8.4750354290008545E-8</v>
      </c>
      <c r="T46" s="13">
        <f t="shared" si="16"/>
        <v>0</v>
      </c>
      <c r="V46" s="13">
        <f>Summary!$L$46</f>
        <v>0</v>
      </c>
      <c r="W46" s="13"/>
      <c r="X46" s="13">
        <f t="shared" si="17"/>
        <v>0</v>
      </c>
    </row>
    <row r="47" spans="1:24">
      <c r="A47" s="15" t="s">
        <v>92</v>
      </c>
      <c r="B47" s="13">
        <f>Summary!$B$47</f>
        <v>7435680.6044854177</v>
      </c>
      <c r="C47" s="13">
        <f>[2]Results!$C$49</f>
        <v>7435680.6044854177</v>
      </c>
      <c r="D47" s="13">
        <f t="shared" si="12"/>
        <v>0</v>
      </c>
      <c r="F47" s="13">
        <f>Summary!$D$47</f>
        <v>-7435680.6054583685</v>
      </c>
      <c r="G47" s="13">
        <f>[2]Results!$D$49</f>
        <v>-7435680.6054583685</v>
      </c>
      <c r="H47" s="13">
        <f t="shared" si="13"/>
        <v>0</v>
      </c>
      <c r="J47" s="13">
        <f>Summary!$F$47</f>
        <v>-9.7295083105564117E-4</v>
      </c>
      <c r="K47" s="13">
        <f>[2]Results!$E$49</f>
        <v>-9.7295083105564117E-4</v>
      </c>
      <c r="L47" s="13">
        <f t="shared" si="14"/>
        <v>0</v>
      </c>
      <c r="N47" s="13">
        <f>Summary!$H$47</f>
        <v>0</v>
      </c>
      <c r="O47" s="13">
        <f>[2]Results!$H$49</f>
        <v>0</v>
      </c>
      <c r="P47" s="13">
        <f t="shared" si="15"/>
        <v>0</v>
      </c>
      <c r="R47" s="13">
        <f>Summary!$J$47</f>
        <v>-9.7295083105564117E-4</v>
      </c>
      <c r="S47" s="13">
        <f>[2]Results!$I$49</f>
        <v>-9.7295083105564117E-4</v>
      </c>
      <c r="T47" s="13">
        <f t="shared" si="16"/>
        <v>0</v>
      </c>
      <c r="V47" s="13">
        <f>Summary!$L$47</f>
        <v>0</v>
      </c>
      <c r="W47" s="13"/>
      <c r="X47" s="13">
        <f t="shared" si="17"/>
        <v>0</v>
      </c>
    </row>
    <row r="48" spans="1:24">
      <c r="A48" s="15" t="s">
        <v>93</v>
      </c>
      <c r="B48" s="13">
        <f>Summary!$B$48</f>
        <v>3098080.8131170203</v>
      </c>
      <c r="C48" s="13">
        <f>[2]Results!$C$50</f>
        <v>3098080.8131170203</v>
      </c>
      <c r="D48" s="13">
        <f t="shared" si="12"/>
        <v>0</v>
      </c>
      <c r="F48" s="13">
        <f>Summary!$D$48</f>
        <v>-3098080.8131170203</v>
      </c>
      <c r="G48" s="13">
        <f>[2]Results!$D$50</f>
        <v>-3098080.8131170203</v>
      </c>
      <c r="H48" s="13">
        <f t="shared" si="13"/>
        <v>0</v>
      </c>
      <c r="J48" s="13">
        <f>Summary!$F$48</f>
        <v>0</v>
      </c>
      <c r="K48" s="13">
        <f>[2]Results!$E$50</f>
        <v>0</v>
      </c>
      <c r="L48" s="13">
        <f t="shared" si="14"/>
        <v>0</v>
      </c>
      <c r="N48" s="13">
        <f>Summary!$H$48</f>
        <v>0</v>
      </c>
      <c r="O48" s="13">
        <f>[2]Results!$H$50</f>
        <v>0</v>
      </c>
      <c r="P48" s="13">
        <f t="shared" si="15"/>
        <v>0</v>
      </c>
      <c r="R48" s="13">
        <f>Summary!$J$48</f>
        <v>0</v>
      </c>
      <c r="S48" s="13">
        <f>[2]Results!$I$50</f>
        <v>0</v>
      </c>
      <c r="T48" s="13">
        <f t="shared" si="16"/>
        <v>0</v>
      </c>
      <c r="V48" s="13">
        <f>Summary!$L$48</f>
        <v>0</v>
      </c>
      <c r="W48" s="13"/>
      <c r="X48" s="13">
        <f t="shared" si="17"/>
        <v>0</v>
      </c>
    </row>
    <row r="49" spans="1:24">
      <c r="A49" s="15" t="s">
        <v>94</v>
      </c>
      <c r="B49" s="13">
        <f>Summary!$B$49</f>
        <v>2010463.629199035</v>
      </c>
      <c r="C49" s="13">
        <f>[2]Results!$C$51</f>
        <v>2010463.629199035</v>
      </c>
      <c r="D49" s="13">
        <f t="shared" si="12"/>
        <v>0</v>
      </c>
      <c r="F49" s="13">
        <f>Summary!$D$49</f>
        <v>0</v>
      </c>
      <c r="G49" s="13">
        <f>[2]Results!$D$51</f>
        <v>0</v>
      </c>
      <c r="H49" s="13">
        <f t="shared" si="13"/>
        <v>0</v>
      </c>
      <c r="J49" s="13">
        <f>Summary!$F$49</f>
        <v>2010463.629199035</v>
      </c>
      <c r="K49" s="13">
        <f>[2]Results!$E$51</f>
        <v>2010463.629199035</v>
      </c>
      <c r="L49" s="13">
        <f t="shared" si="14"/>
        <v>0</v>
      </c>
      <c r="N49" s="13">
        <f>Summary!$H$49</f>
        <v>0</v>
      </c>
      <c r="O49" s="13">
        <f>[2]Results!$H$51</f>
        <v>0</v>
      </c>
      <c r="P49" s="13">
        <f t="shared" si="15"/>
        <v>0</v>
      </c>
      <c r="R49" s="13">
        <f>Summary!$J$49</f>
        <v>2010463.629199035</v>
      </c>
      <c r="S49" s="13">
        <f>[2]Results!$I$51</f>
        <v>2010463.629199035</v>
      </c>
      <c r="T49" s="13">
        <f t="shared" si="16"/>
        <v>0</v>
      </c>
      <c r="V49" s="13">
        <f>Summary!$L$49</f>
        <v>0</v>
      </c>
      <c r="W49" s="13"/>
      <c r="X49" s="13">
        <f t="shared" si="17"/>
        <v>0</v>
      </c>
    </row>
    <row r="50" spans="1:24">
      <c r="A50" s="15" t="s">
        <v>95</v>
      </c>
      <c r="B50" s="13">
        <f>Summary!$B$50</f>
        <v>102468.75195101222</v>
      </c>
      <c r="C50" s="13">
        <f>[2]Results!$C$52</f>
        <v>102468.75195101222</v>
      </c>
      <c r="D50" s="13">
        <f t="shared" si="12"/>
        <v>0</v>
      </c>
      <c r="F50" s="13">
        <f>Summary!$D$50</f>
        <v>-102468.75195108727</v>
      </c>
      <c r="G50" s="13">
        <f>[2]Results!$D$52</f>
        <v>-102468.75195108727</v>
      </c>
      <c r="H50" s="13">
        <f t="shared" si="13"/>
        <v>0</v>
      </c>
      <c r="J50" s="13">
        <f>Summary!$F$50</f>
        <v>-7.5044226832687855E-8</v>
      </c>
      <c r="K50" s="13">
        <f>[2]Results!$E$52</f>
        <v>-7.5044226832687855E-8</v>
      </c>
      <c r="L50" s="13">
        <f t="shared" si="14"/>
        <v>0</v>
      </c>
      <c r="N50" s="13">
        <f>Summary!$H$50</f>
        <v>0</v>
      </c>
      <c r="O50" s="13">
        <f>[2]Results!$H$52</f>
        <v>0</v>
      </c>
      <c r="P50" s="13">
        <f t="shared" si="15"/>
        <v>0</v>
      </c>
      <c r="R50" s="13">
        <f>Summary!$J$50</f>
        <v>-7.5044226832687855E-8</v>
      </c>
      <c r="S50" s="13">
        <f>[2]Results!$I$52</f>
        <v>-7.5044226832687855E-8</v>
      </c>
      <c r="T50" s="13">
        <f t="shared" si="16"/>
        <v>0</v>
      </c>
      <c r="V50" s="13">
        <f>Summary!$L$50</f>
        <v>0</v>
      </c>
      <c r="W50" s="13"/>
      <c r="X50" s="13">
        <f t="shared" si="17"/>
        <v>0</v>
      </c>
    </row>
    <row r="51" spans="1:24" ht="13.5" thickBot="1">
      <c r="A51" s="15" t="s">
        <v>96</v>
      </c>
      <c r="B51" s="14">
        <f>Summary!$B$51</f>
        <v>1505390041.8019521</v>
      </c>
      <c r="C51" s="14">
        <f>[2]Results!$C$53</f>
        <v>1505390041.8019521</v>
      </c>
      <c r="D51" s="14">
        <f t="shared" si="12"/>
        <v>0</v>
      </c>
      <c r="F51" s="14">
        <f>Summary!$D$51</f>
        <v>11489369.69707093</v>
      </c>
      <c r="G51" s="14">
        <f>[2]Results!$D$53</f>
        <v>11489369.697043683</v>
      </c>
      <c r="H51" s="14">
        <f t="shared" si="13"/>
        <v>-2.7246773242950439E-5</v>
      </c>
      <c r="J51" s="14">
        <f>Summary!$F$51</f>
        <v>1516879411.499023</v>
      </c>
      <c r="K51" s="14">
        <f>[2]Results!$E$53</f>
        <v>1516879411.4989958</v>
      </c>
      <c r="L51" s="14">
        <f t="shared" si="14"/>
        <v>-2.7179718017578125E-5</v>
      </c>
      <c r="N51" s="14">
        <f>Summary!$H$51</f>
        <v>-18976629.167808797</v>
      </c>
      <c r="O51" s="14">
        <f>[2]Results!$H$53</f>
        <v>-18976629.16780832</v>
      </c>
      <c r="P51" s="14">
        <f t="shared" si="15"/>
        <v>4.76837158203125E-7</v>
      </c>
      <c r="R51" s="14">
        <f>Summary!$J$51</f>
        <v>1497902782.3312142</v>
      </c>
      <c r="S51" s="14">
        <f>[2]Results!$I$53</f>
        <v>1497902782.3311875</v>
      </c>
      <c r="T51" s="14">
        <f t="shared" si="16"/>
        <v>-2.6702880859375E-5</v>
      </c>
      <c r="V51" s="14">
        <f>Summary!$L$51</f>
        <v>0</v>
      </c>
      <c r="W51" s="14"/>
      <c r="X51" s="14">
        <f t="shared" si="17"/>
        <v>0</v>
      </c>
    </row>
    <row r="52" spans="1:24" ht="13.5" thickTop="1">
      <c r="A52" s="15"/>
      <c r="B52" s="13"/>
      <c r="C52" s="13"/>
      <c r="D52" s="13"/>
      <c r="F52" s="13"/>
      <c r="G52" s="13"/>
      <c r="H52" s="13"/>
      <c r="J52" s="13"/>
      <c r="K52" s="13"/>
      <c r="L52" s="13"/>
      <c r="N52" s="13"/>
      <c r="O52" s="13"/>
      <c r="P52" s="13"/>
      <c r="R52" s="13"/>
      <c r="S52" s="13"/>
      <c r="T52" s="13"/>
      <c r="V52" s="13"/>
      <c r="W52" s="13"/>
      <c r="X52" s="13"/>
    </row>
    <row r="53" spans="1:24">
      <c r="A53" s="15" t="s">
        <v>97</v>
      </c>
      <c r="B53" s="13"/>
      <c r="C53" s="13"/>
      <c r="D53" s="13"/>
      <c r="F53" s="13"/>
      <c r="G53" s="13"/>
      <c r="H53" s="13"/>
      <c r="J53" s="13"/>
      <c r="K53" s="13"/>
      <c r="L53" s="13"/>
      <c r="N53" s="13"/>
      <c r="O53" s="13"/>
      <c r="P53" s="13"/>
      <c r="R53" s="13"/>
      <c r="S53" s="13"/>
      <c r="T53" s="13"/>
      <c r="V53" s="13"/>
      <c r="W53" s="13"/>
      <c r="X53" s="13"/>
    </row>
    <row r="54" spans="1:24">
      <c r="A54" s="15" t="s">
        <v>98</v>
      </c>
      <c r="B54" s="13">
        <f>Summary!$B$54</f>
        <v>-533422815.50845498</v>
      </c>
      <c r="C54" s="13">
        <f>[2]Results!$C$56</f>
        <v>-533422815.50845498</v>
      </c>
      <c r="D54" s="13">
        <f t="shared" ref="D54:D62" si="18">C54-B54</f>
        <v>0</v>
      </c>
      <c r="F54" s="13">
        <f>Summary!$D$54</f>
        <v>-10099130.621185265</v>
      </c>
      <c r="G54" s="13">
        <f>[2]Results!$D$56</f>
        <v>-10099130.621185265</v>
      </c>
      <c r="H54" s="13">
        <f t="shared" ref="H54:H62" si="19">G54-F54</f>
        <v>0</v>
      </c>
      <c r="J54" s="13">
        <f>Summary!$F$54</f>
        <v>-543521946.12964022</v>
      </c>
      <c r="K54" s="13">
        <f>[2]Results!$E$56</f>
        <v>-543521946.12964022</v>
      </c>
      <c r="L54" s="13">
        <f t="shared" ref="L54:L62" si="20">K54-J54</f>
        <v>0</v>
      </c>
      <c r="N54" s="13">
        <f>Summary!$H$54</f>
        <v>15685302.595786646</v>
      </c>
      <c r="O54" s="13">
        <f>[2]Results!$H$56</f>
        <v>15685302.595786646</v>
      </c>
      <c r="P54" s="13">
        <f t="shared" ref="P54:P62" si="21">O54-N54</f>
        <v>0</v>
      </c>
      <c r="R54" s="13">
        <f>Summary!$J$54</f>
        <v>-527836643.53385359</v>
      </c>
      <c r="S54" s="13">
        <f>[2]Results!$I$56</f>
        <v>-527836643.53385359</v>
      </c>
      <c r="T54" s="13">
        <f t="shared" ref="T54:T62" si="22">S54-R54</f>
        <v>0</v>
      </c>
      <c r="V54" s="13">
        <f>Summary!$L$54</f>
        <v>0</v>
      </c>
      <c r="W54" s="13"/>
      <c r="X54" s="13">
        <f t="shared" ref="X54:X62" si="23">W54-V54</f>
        <v>0</v>
      </c>
    </row>
    <row r="55" spans="1:24">
      <c r="A55" s="15" t="s">
        <v>99</v>
      </c>
      <c r="B55" s="13">
        <f>Summary!$B$55</f>
        <v>-36329777.851548776</v>
      </c>
      <c r="C55" s="13">
        <f>[2]Results!$C$57</f>
        <v>-36329777.851548776</v>
      </c>
      <c r="D55" s="13">
        <f t="shared" si="18"/>
        <v>0</v>
      </c>
      <c r="F55" s="13">
        <f>Summary!$D$55</f>
        <v>0</v>
      </c>
      <c r="G55" s="13">
        <f>[2]Results!$D$57</f>
        <v>0</v>
      </c>
      <c r="H55" s="13">
        <f t="shared" si="19"/>
        <v>0</v>
      </c>
      <c r="J55" s="13">
        <f>Summary!$F$55</f>
        <v>-36329777.851548776</v>
      </c>
      <c r="K55" s="13">
        <f>[2]Results!$E$57</f>
        <v>-36329777.851548776</v>
      </c>
      <c r="L55" s="13">
        <f t="shared" si="20"/>
        <v>0</v>
      </c>
      <c r="N55" s="13">
        <f>Summary!$H$55</f>
        <v>0</v>
      </c>
      <c r="O55" s="13">
        <f>[2]Results!$H$57</f>
        <v>0</v>
      </c>
      <c r="P55" s="13">
        <f t="shared" si="21"/>
        <v>0</v>
      </c>
      <c r="R55" s="13">
        <f>Summary!$J$55</f>
        <v>-36329777.851548776</v>
      </c>
      <c r="S55" s="13">
        <f>[2]Results!$I$57</f>
        <v>-36329777.851548776</v>
      </c>
      <c r="T55" s="13">
        <f t="shared" si="22"/>
        <v>0</v>
      </c>
      <c r="V55" s="13">
        <f>Summary!$L$55</f>
        <v>0</v>
      </c>
      <c r="W55" s="13"/>
      <c r="X55" s="13">
        <f t="shared" si="23"/>
        <v>0</v>
      </c>
    </row>
    <row r="56" spans="1:24">
      <c r="A56" s="15" t="s">
        <v>100</v>
      </c>
      <c r="B56" s="13">
        <f>Summary!$B$56</f>
        <v>-172602482.97219428</v>
      </c>
      <c r="C56" s="13">
        <f>[2]Results!$C$58</f>
        <v>-172602482.97219428</v>
      </c>
      <c r="D56" s="13">
        <f t="shared" si="18"/>
        <v>0</v>
      </c>
      <c r="F56" s="13">
        <f>Summary!$D$56</f>
        <v>311142.77519654424</v>
      </c>
      <c r="G56" s="13">
        <f>[2]Results!$D$58</f>
        <v>311142.77519654436</v>
      </c>
      <c r="H56" s="13">
        <f t="shared" si="19"/>
        <v>0</v>
      </c>
      <c r="J56" s="13">
        <f>Summary!$F$56</f>
        <v>-172291340.19699773</v>
      </c>
      <c r="K56" s="13">
        <f>[2]Results!$E$58</f>
        <v>-172291340.19699773</v>
      </c>
      <c r="L56" s="13">
        <f t="shared" si="20"/>
        <v>0</v>
      </c>
      <c r="N56" s="13">
        <f>Summary!$H$56</f>
        <v>-21661.504834290361</v>
      </c>
      <c r="O56" s="13">
        <f>[2]Results!$H$58</f>
        <v>-21661.504834293853</v>
      </c>
      <c r="P56" s="13">
        <f t="shared" si="21"/>
        <v>-3.4924596548080444E-9</v>
      </c>
      <c r="R56" s="13">
        <f>Summary!$J$56</f>
        <v>-172313001.70183203</v>
      </c>
      <c r="S56" s="13">
        <f>[2]Results!$I$58</f>
        <v>-172313001.70183203</v>
      </c>
      <c r="T56" s="13">
        <f t="shared" si="22"/>
        <v>0</v>
      </c>
      <c r="V56" s="13">
        <f>Summary!$L$56</f>
        <v>0</v>
      </c>
      <c r="W56" s="13"/>
      <c r="X56" s="13">
        <f t="shared" si="23"/>
        <v>0</v>
      </c>
    </row>
    <row r="57" spans="1:24">
      <c r="A57" s="15" t="s">
        <v>101</v>
      </c>
      <c r="B57" s="13">
        <f>Summary!$B$57</f>
        <v>-876652.79522800003</v>
      </c>
      <c r="C57" s="13">
        <f>[2]Results!$C$59</f>
        <v>-876652.79522800003</v>
      </c>
      <c r="D57" s="13">
        <f t="shared" si="18"/>
        <v>0</v>
      </c>
      <c r="F57" s="13">
        <f>Summary!$D$57</f>
        <v>103982.22360000001</v>
      </c>
      <c r="G57" s="13">
        <f>[2]Results!$D$59</f>
        <v>103982.22360000001</v>
      </c>
      <c r="H57" s="13">
        <f t="shared" si="19"/>
        <v>0</v>
      </c>
      <c r="J57" s="13">
        <f>Summary!$F$57</f>
        <v>-772670.57162800001</v>
      </c>
      <c r="K57" s="13">
        <f>[2]Results!$E$59</f>
        <v>-772670.57162800001</v>
      </c>
      <c r="L57" s="13">
        <f t="shared" si="20"/>
        <v>0</v>
      </c>
      <c r="N57" s="13">
        <f>Summary!$H$57</f>
        <v>0</v>
      </c>
      <c r="O57" s="13">
        <f>[2]Results!$H$59</f>
        <v>0</v>
      </c>
      <c r="P57" s="13">
        <f t="shared" si="21"/>
        <v>0</v>
      </c>
      <c r="R57" s="13">
        <f>Summary!$J$57</f>
        <v>-772670.57162800001</v>
      </c>
      <c r="S57" s="13">
        <f>[2]Results!$I$59</f>
        <v>-772670.57162800001</v>
      </c>
      <c r="T57" s="13">
        <f t="shared" si="22"/>
        <v>0</v>
      </c>
      <c r="V57" s="13">
        <f>Summary!$L$57</f>
        <v>0</v>
      </c>
      <c r="W57" s="13"/>
      <c r="X57" s="13">
        <f t="shared" si="23"/>
        <v>0</v>
      </c>
    </row>
    <row r="58" spans="1:24">
      <c r="A58" s="15" t="s">
        <v>102</v>
      </c>
      <c r="B58" s="13">
        <f>Summary!$B$58</f>
        <v>-752.18065947094203</v>
      </c>
      <c r="C58" s="13">
        <f>[2]Results!$C$60</f>
        <v>-752.18065947094203</v>
      </c>
      <c r="D58" s="13">
        <f t="shared" si="18"/>
        <v>0</v>
      </c>
      <c r="F58" s="13">
        <f>Summary!$D$58</f>
        <v>-293988.17735592474</v>
      </c>
      <c r="G58" s="13">
        <f>[2]Results!$D$60</f>
        <v>-293988.17735592474</v>
      </c>
      <c r="H58" s="13">
        <f t="shared" si="19"/>
        <v>0</v>
      </c>
      <c r="J58" s="13">
        <f>Summary!$F$58</f>
        <v>-294740.3580153957</v>
      </c>
      <c r="K58" s="13">
        <f>[2]Results!$E$60</f>
        <v>-294740.3580153957</v>
      </c>
      <c r="L58" s="13">
        <f t="shared" si="20"/>
        <v>0</v>
      </c>
      <c r="N58" s="13">
        <f>Summary!$H$58</f>
        <v>0</v>
      </c>
      <c r="O58" s="13">
        <f>[2]Results!$H$60</f>
        <v>0</v>
      </c>
      <c r="P58" s="13">
        <f t="shared" si="21"/>
        <v>0</v>
      </c>
      <c r="R58" s="13">
        <f>Summary!$J$58</f>
        <v>-294740.3580153957</v>
      </c>
      <c r="S58" s="13">
        <f>[2]Results!$I$60</f>
        <v>-294740.3580153957</v>
      </c>
      <c r="T58" s="13">
        <f t="shared" si="22"/>
        <v>0</v>
      </c>
      <c r="V58" s="13">
        <f>Summary!$L$58</f>
        <v>0</v>
      </c>
      <c r="W58" s="13"/>
      <c r="X58" s="13">
        <f t="shared" si="23"/>
        <v>0</v>
      </c>
    </row>
    <row r="59" spans="1:24">
      <c r="A59" s="15" t="s">
        <v>103</v>
      </c>
      <c r="B59" s="13">
        <f>Summary!$B$59</f>
        <v>0</v>
      </c>
      <c r="C59" s="13">
        <f>[2]Results!$C$61</f>
        <v>0</v>
      </c>
      <c r="D59" s="13">
        <f t="shared" si="18"/>
        <v>0</v>
      </c>
      <c r="F59" s="13">
        <f>Summary!$D$59</f>
        <v>-3291205.6015833332</v>
      </c>
      <c r="G59" s="13">
        <f>[2]Results!$D$61</f>
        <v>-3291205.6015833332</v>
      </c>
      <c r="H59" s="13">
        <f t="shared" si="19"/>
        <v>0</v>
      </c>
      <c r="J59" s="13">
        <f>Summary!$F$59</f>
        <v>-3291205.6015833332</v>
      </c>
      <c r="K59" s="13">
        <f>[2]Results!$E$61</f>
        <v>-3291205.6015833332</v>
      </c>
      <c r="L59" s="13">
        <f t="shared" si="20"/>
        <v>0</v>
      </c>
      <c r="N59" s="13">
        <f>Summary!$H$59</f>
        <v>0</v>
      </c>
      <c r="O59" s="13">
        <f>[2]Results!$H$61</f>
        <v>0</v>
      </c>
      <c r="P59" s="13">
        <f t="shared" si="21"/>
        <v>0</v>
      </c>
      <c r="R59" s="13">
        <f>Summary!$J$59</f>
        <v>-3291205.6015833332</v>
      </c>
      <c r="S59" s="13">
        <f>[2]Results!$I$61</f>
        <v>-3291205.6015833332</v>
      </c>
      <c r="T59" s="13">
        <f t="shared" si="22"/>
        <v>0</v>
      </c>
      <c r="V59" s="13">
        <f>Summary!$L$59</f>
        <v>0</v>
      </c>
      <c r="W59" s="13"/>
      <c r="X59" s="13">
        <f t="shared" si="23"/>
        <v>0</v>
      </c>
    </row>
    <row r="60" spans="1:24">
      <c r="A60" s="15" t="s">
        <v>104</v>
      </c>
      <c r="B60" s="13">
        <f>Summary!$B$60</f>
        <v>-4646783.9713116912</v>
      </c>
      <c r="C60" s="13">
        <f>[2]Results!$C$62</f>
        <v>-4646783.9713116912</v>
      </c>
      <c r="D60" s="13">
        <f t="shared" si="18"/>
        <v>0</v>
      </c>
      <c r="F60" s="13">
        <f>Summary!$D$60</f>
        <v>-1978325.4157962431</v>
      </c>
      <c r="G60" s="13">
        <f>[2]Results!$D$62</f>
        <v>-1978325.4157962431</v>
      </c>
      <c r="H60" s="13">
        <f t="shared" si="19"/>
        <v>0</v>
      </c>
      <c r="J60" s="13">
        <f>Summary!$F$60</f>
        <v>-6625109.3871079348</v>
      </c>
      <c r="K60" s="13">
        <f>[2]Results!$E$62</f>
        <v>-6625109.3871079348</v>
      </c>
      <c r="L60" s="13">
        <f t="shared" si="20"/>
        <v>0</v>
      </c>
      <c r="N60" s="13">
        <f>Summary!$H$60</f>
        <v>56207.192047362681</v>
      </c>
      <c r="O60" s="13">
        <f>[2]Results!$H$62</f>
        <v>56207.192047362681</v>
      </c>
      <c r="P60" s="13">
        <f t="shared" si="21"/>
        <v>0</v>
      </c>
      <c r="R60" s="13">
        <f>Summary!$J$60</f>
        <v>-6568902.1950605717</v>
      </c>
      <c r="S60" s="13">
        <f>[2]Results!$I$62</f>
        <v>-6568902.1950605717</v>
      </c>
      <c r="T60" s="13">
        <f t="shared" si="22"/>
        <v>0</v>
      </c>
      <c r="V60" s="13">
        <f>Summary!$L$60</f>
        <v>0</v>
      </c>
      <c r="W60" s="13"/>
      <c r="X60" s="13">
        <f t="shared" si="23"/>
        <v>0</v>
      </c>
    </row>
    <row r="61" spans="1:24">
      <c r="A61" s="15"/>
      <c r="B61" s="13">
        <f>Summary!$B$61</f>
        <v>0</v>
      </c>
      <c r="C61" s="13">
        <f>[2]Results!$C$63</f>
        <v>0</v>
      </c>
      <c r="D61" s="13">
        <f t="shared" si="18"/>
        <v>0</v>
      </c>
      <c r="F61" s="13">
        <f>Summary!$D$61</f>
        <v>0</v>
      </c>
      <c r="G61" s="13">
        <f>[2]Results!$D$63</f>
        <v>0</v>
      </c>
      <c r="H61" s="13">
        <f t="shared" si="19"/>
        <v>0</v>
      </c>
      <c r="J61" s="13">
        <f>Summary!$F$61</f>
        <v>0</v>
      </c>
      <c r="K61" s="13">
        <f>[2]Results!$E$63</f>
        <v>0</v>
      </c>
      <c r="L61" s="13">
        <f t="shared" si="20"/>
        <v>0</v>
      </c>
      <c r="N61" s="13">
        <f>Summary!$H$61</f>
        <v>0</v>
      </c>
      <c r="O61" s="13">
        <f>[2]Results!$H$63</f>
        <v>0</v>
      </c>
      <c r="P61" s="13">
        <f t="shared" si="21"/>
        <v>0</v>
      </c>
      <c r="R61" s="13">
        <f>Summary!$J$61</f>
        <v>0</v>
      </c>
      <c r="S61" s="13">
        <f>[2]Results!$I$63</f>
        <v>0</v>
      </c>
      <c r="T61" s="13">
        <f t="shared" si="22"/>
        <v>0</v>
      </c>
      <c r="V61" s="13">
        <f>Summary!$L$61</f>
        <v>0</v>
      </c>
      <c r="W61" s="13"/>
      <c r="X61" s="13">
        <f t="shared" si="23"/>
        <v>0</v>
      </c>
    </row>
    <row r="62" spans="1:24" ht="13.5" thickBot="1">
      <c r="A62" s="15" t="s">
        <v>105</v>
      </c>
      <c r="B62" s="14">
        <f>Summary!$B$62</f>
        <v>-747879265.27939713</v>
      </c>
      <c r="C62" s="14">
        <f>[2]Results!$C$64</f>
        <v>-747879265.27939713</v>
      </c>
      <c r="D62" s="14">
        <f t="shared" si="18"/>
        <v>0</v>
      </c>
      <c r="F62" s="14">
        <f>Summary!$D$62</f>
        <v>-15247524.817124221</v>
      </c>
      <c r="G62" s="14">
        <f>[2]Results!$D$64</f>
        <v>-15247524.817124221</v>
      </c>
      <c r="H62" s="14">
        <f t="shared" si="19"/>
        <v>0</v>
      </c>
      <c r="J62" s="14">
        <f>Summary!$F$62</f>
        <v>-763126790.0965215</v>
      </c>
      <c r="K62" s="14">
        <f>[2]Results!$E$64</f>
        <v>-763126790.0965215</v>
      </c>
      <c r="L62" s="14">
        <f t="shared" si="20"/>
        <v>0</v>
      </c>
      <c r="N62" s="14">
        <f>Summary!$H$62</f>
        <v>15719848.282999719</v>
      </c>
      <c r="O62" s="14">
        <f>[2]Results!$H$64</f>
        <v>15719848.282999715</v>
      </c>
      <c r="P62" s="14">
        <f t="shared" si="21"/>
        <v>0</v>
      </c>
      <c r="R62" s="14">
        <f>Summary!$J$62</f>
        <v>-747406941.81352174</v>
      </c>
      <c r="S62" s="14">
        <f>[2]Results!$I$64</f>
        <v>-747406941.81352174</v>
      </c>
      <c r="T62" s="14">
        <f t="shared" si="22"/>
        <v>0</v>
      </c>
      <c r="V62" s="14">
        <f>Summary!$L$62</f>
        <v>0</v>
      </c>
      <c r="W62" s="14"/>
      <c r="X62" s="14">
        <f t="shared" si="23"/>
        <v>0</v>
      </c>
    </row>
    <row r="63" spans="1:24" ht="13.5" thickTop="1">
      <c r="A63" s="15"/>
      <c r="B63" s="13"/>
      <c r="C63" s="13"/>
      <c r="D63" s="13"/>
      <c r="F63" s="13"/>
      <c r="G63" s="13"/>
      <c r="H63" s="13"/>
      <c r="J63" s="13"/>
      <c r="K63" s="13"/>
      <c r="L63" s="13"/>
      <c r="N63" s="13"/>
      <c r="O63" s="13"/>
      <c r="P63" s="13"/>
      <c r="R63" s="13"/>
      <c r="S63" s="13"/>
      <c r="T63" s="13"/>
      <c r="V63" s="13"/>
      <c r="W63" s="13"/>
      <c r="X63" s="13"/>
    </row>
    <row r="64" spans="1:24" ht="13.5" thickBot="1">
      <c r="A64" s="15" t="s">
        <v>106</v>
      </c>
      <c r="B64" s="14">
        <f>Summary!$B$64</f>
        <v>757510776.52255499</v>
      </c>
      <c r="C64" s="14">
        <f>[2]Results!$C$66</f>
        <v>757510776.52255499</v>
      </c>
      <c r="D64" s="14">
        <f>C64-B64</f>
        <v>0</v>
      </c>
      <c r="F64" s="14">
        <f>Summary!$D$64</f>
        <v>-3758155.1200532913</v>
      </c>
      <c r="G64" s="14">
        <f>[2]Results!$D$66</f>
        <v>-3758155.1200805381</v>
      </c>
      <c r="H64" s="14">
        <f>G64-F64</f>
        <v>-2.7246773242950439E-5</v>
      </c>
      <c r="J64" s="14">
        <f>Summary!$F$64</f>
        <v>753752621.40250146</v>
      </c>
      <c r="K64" s="14">
        <f>[2]Results!$E$66</f>
        <v>753752621.40247428</v>
      </c>
      <c r="L64" s="14">
        <f>K64-J64</f>
        <v>-2.7179718017578125E-5</v>
      </c>
      <c r="N64" s="14">
        <f>Summary!$H$64</f>
        <v>-3256780.8848090786</v>
      </c>
      <c r="O64" s="14">
        <f>[2]Results!$H$66</f>
        <v>-3256780.8848086055</v>
      </c>
      <c r="P64" s="14">
        <f>O64-N64</f>
        <v>4.7311186790466309E-7</v>
      </c>
      <c r="R64" s="14">
        <f>Summary!$J$64</f>
        <v>750495840.51769245</v>
      </c>
      <c r="S64" s="14">
        <f>[2]Results!$I$66</f>
        <v>750495840.51766574</v>
      </c>
      <c r="T64" s="14">
        <f>S64-R64</f>
        <v>-2.6702880859375E-5</v>
      </c>
      <c r="V64" s="14">
        <f>Summary!$L$64</f>
        <v>0</v>
      </c>
      <c r="W64" s="14"/>
      <c r="X64" s="14">
        <f>W64-V64</f>
        <v>0</v>
      </c>
    </row>
    <row r="65" spans="1:24" ht="13.5" thickTop="1">
      <c r="A65" s="15"/>
      <c r="B65" s="13"/>
      <c r="C65" s="13"/>
      <c r="D65" s="13"/>
      <c r="F65" s="13"/>
      <c r="G65" s="13"/>
      <c r="H65" s="13"/>
      <c r="J65" s="13"/>
      <c r="K65" s="13"/>
      <c r="L65" s="13"/>
      <c r="N65" s="13"/>
      <c r="O65" s="13"/>
      <c r="P65" s="13"/>
      <c r="R65" s="13"/>
      <c r="S65" s="13"/>
      <c r="T65" s="13"/>
      <c r="V65" s="13"/>
      <c r="W65" s="13"/>
      <c r="X65" s="13"/>
    </row>
    <row r="66" spans="1:24">
      <c r="A66" s="15" t="s">
        <v>55</v>
      </c>
      <c r="B66" s="29"/>
      <c r="C66" s="29"/>
      <c r="D66" s="29"/>
      <c r="F66" s="29"/>
      <c r="G66" s="29"/>
      <c r="H66" s="29"/>
      <c r="J66" s="29"/>
      <c r="K66" s="29"/>
      <c r="L66" s="29"/>
      <c r="N66" s="29"/>
      <c r="O66" s="29"/>
      <c r="P66" s="29"/>
      <c r="R66" s="29"/>
      <c r="S66" s="29"/>
      <c r="T66" s="29"/>
      <c r="V66" s="29"/>
      <c r="W66" s="29"/>
      <c r="X66" s="29"/>
    </row>
    <row r="67" spans="1:24">
      <c r="A67" s="15" t="s">
        <v>107</v>
      </c>
      <c r="B67" s="29">
        <f>Summary!$B$67</f>
        <v>4.6123743735480255E-2</v>
      </c>
      <c r="C67" s="29">
        <f>[2]Results!$C$69</f>
        <v>4.6123743735480255E-2</v>
      </c>
      <c r="D67" s="29">
        <f t="shared" ref="D67" si="24">C67-B67</f>
        <v>0</v>
      </c>
      <c r="F67" s="29">
        <f>Summary!$D$67</f>
        <v>2.5866455225270077E-2</v>
      </c>
      <c r="G67" s="29">
        <f>[2]Results!$D$69</f>
        <v>2.061290562599391E-2</v>
      </c>
      <c r="H67" s="29">
        <f t="shared" ref="H67" si="25">G67-F67</f>
        <v>-5.2535495992761666E-3</v>
      </c>
      <c r="J67" s="29">
        <f>Summary!$F$67</f>
        <v>7.1990198960750332E-2</v>
      </c>
      <c r="K67" s="29">
        <f>[2]Results!$E$69</f>
        <v>6.6736649361473943E-2</v>
      </c>
      <c r="L67" s="29">
        <f t="shared" ref="L67" si="26">K67-J67</f>
        <v>-5.2535495992763886E-3</v>
      </c>
      <c r="N67" s="29">
        <f>Summary!$H$67</f>
        <v>2.7315350041415651E-2</v>
      </c>
      <c r="O67" s="29">
        <f>[2]Results!$H$69</f>
        <v>9.4172746555505199E-3</v>
      </c>
      <c r="P67" s="29">
        <f t="shared" ref="P67" si="27">O67-N67</f>
        <v>-1.7898075385865131E-2</v>
      </c>
      <c r="R67" s="29">
        <f>Summary!$J$67</f>
        <v>9.9305549002165983E-2</v>
      </c>
      <c r="S67" s="29">
        <f>[2]Results!$I$69</f>
        <v>7.6153924017024352E-2</v>
      </c>
      <c r="T67" s="29">
        <f t="shared" ref="T67" si="28">S67-R67</f>
        <v>-2.3151624985141631E-2</v>
      </c>
      <c r="V67" s="29"/>
      <c r="W67" s="29"/>
      <c r="X67" s="29"/>
    </row>
    <row r="68" spans="1:24">
      <c r="A68" s="15"/>
      <c r="B68" s="27"/>
      <c r="C68" s="27"/>
      <c r="D68" s="27"/>
      <c r="F68" s="27"/>
      <c r="G68" s="27"/>
      <c r="H68" s="27"/>
      <c r="J68" s="27"/>
      <c r="K68" s="27"/>
      <c r="L68" s="27"/>
      <c r="N68" s="27"/>
      <c r="O68" s="27"/>
      <c r="P68" s="27"/>
      <c r="R68" s="27"/>
      <c r="S68" s="27"/>
      <c r="T68" s="27"/>
      <c r="V68" s="27"/>
      <c r="W68" s="27"/>
      <c r="X68" s="27"/>
    </row>
    <row r="69" spans="1:24">
      <c r="A69" s="15" t="s">
        <v>108</v>
      </c>
      <c r="B69" s="13"/>
      <c r="C69" s="13"/>
      <c r="D69" s="13"/>
      <c r="F69" s="13"/>
      <c r="G69" s="13"/>
      <c r="H69" s="13"/>
      <c r="J69" s="13"/>
      <c r="K69" s="13"/>
      <c r="L69" s="13"/>
      <c r="N69" s="13"/>
      <c r="O69" s="13"/>
      <c r="P69" s="13"/>
      <c r="R69" s="13"/>
      <c r="S69" s="13"/>
      <c r="T69" s="13"/>
      <c r="V69" s="13"/>
      <c r="W69" s="13"/>
      <c r="X69" s="13"/>
    </row>
    <row r="70" spans="1:24">
      <c r="A70" s="15" t="s">
        <v>109</v>
      </c>
      <c r="B70" s="13">
        <f>Summary!$B$71</f>
        <v>48491627.679538943</v>
      </c>
      <c r="C70" s="13">
        <f>[2]Results!$C$72</f>
        <v>48491627.679538943</v>
      </c>
      <c r="D70" s="13">
        <f t="shared" ref="D70:D79" si="29">C70-B70</f>
        <v>0</v>
      </c>
      <c r="F70" s="13">
        <f>Summary!$D$71</f>
        <v>10125496.330785833</v>
      </c>
      <c r="G70" s="13">
        <f>[2]Results!$D$72</f>
        <v>7134266.3307490116</v>
      </c>
      <c r="H70" s="13">
        <f t="shared" ref="H70:H76" si="30">G70-F70</f>
        <v>-2991230.0000368217</v>
      </c>
      <c r="J70" s="13">
        <f>Summary!$F$71</f>
        <v>58617124.010324851</v>
      </c>
      <c r="K70" s="13">
        <f>[2]Results!$E$72</f>
        <v>55625894.01028803</v>
      </c>
      <c r="L70" s="13">
        <f t="shared" ref="L70:L76" si="31">K70-J70</f>
        <v>-2991230.0000368208</v>
      </c>
      <c r="N70" s="13">
        <f>Summary!$H$71</f>
        <v>14636806.504739149</v>
      </c>
      <c r="O70" s="13">
        <f>[2]Results!$H$72</f>
        <v>4397273.7033683471</v>
      </c>
      <c r="P70" s="13">
        <f t="shared" ref="P70:P76" si="32">O70-N70</f>
        <v>-10239532.801370801</v>
      </c>
      <c r="R70" s="13">
        <f>Summary!$J$71</f>
        <v>73253930.515063941</v>
      </c>
      <c r="S70" s="13">
        <f>[2]Results!$I$72</f>
        <v>60023167.713656306</v>
      </c>
      <c r="T70" s="13">
        <f t="shared" ref="T70:T76" si="33">S70-R70</f>
        <v>-13230762.801407635</v>
      </c>
      <c r="V70" s="13">
        <f>Summary!$L$71</f>
        <v>-770729.85503239138</v>
      </c>
      <c r="W70" s="13">
        <f>[2]Results!$H$161</f>
        <v>12354227.594219413</v>
      </c>
      <c r="X70" s="13">
        <f t="shared" ref="X70:X76" si="34">W70-V70</f>
        <v>13124957.449251805</v>
      </c>
    </row>
    <row r="71" spans="1:24">
      <c r="A71" s="15" t="s">
        <v>110</v>
      </c>
      <c r="B71" s="13">
        <f>Summary!$B$72</f>
        <v>0</v>
      </c>
      <c r="C71" s="13">
        <f>[2]Results!$C$73</f>
        <v>0</v>
      </c>
      <c r="D71" s="13">
        <f t="shared" si="29"/>
        <v>0</v>
      </c>
      <c r="F71" s="13">
        <f>Summary!$D$72</f>
        <v>0</v>
      </c>
      <c r="G71" s="13">
        <f>[2]Results!$D$73</f>
        <v>0</v>
      </c>
      <c r="H71" s="13">
        <f t="shared" si="30"/>
        <v>0</v>
      </c>
      <c r="J71" s="13">
        <f>Summary!$F$72</f>
        <v>0</v>
      </c>
      <c r="K71" s="13">
        <f>[2]Results!$E$73</f>
        <v>0</v>
      </c>
      <c r="L71" s="13">
        <f t="shared" si="31"/>
        <v>0</v>
      </c>
      <c r="N71" s="13">
        <f>Summary!$H$72</f>
        <v>0</v>
      </c>
      <c r="O71" s="13">
        <f>[2]Results!$H$73</f>
        <v>0</v>
      </c>
      <c r="P71" s="13">
        <f t="shared" si="32"/>
        <v>0</v>
      </c>
      <c r="R71" s="13">
        <f>Summary!$J$72</f>
        <v>0</v>
      </c>
      <c r="S71" s="13">
        <f>[2]Results!$I$73</f>
        <v>0</v>
      </c>
      <c r="T71" s="13">
        <f t="shared" si="33"/>
        <v>0</v>
      </c>
      <c r="V71" s="13">
        <f>Summary!$L$72</f>
        <v>0</v>
      </c>
      <c r="W71" s="13"/>
      <c r="X71" s="13">
        <f t="shared" si="34"/>
        <v>0</v>
      </c>
    </row>
    <row r="72" spans="1:24">
      <c r="A72" s="15" t="s">
        <v>111</v>
      </c>
      <c r="B72" s="13">
        <f>Summary!$B$73</f>
        <v>-5402816.7261669245</v>
      </c>
      <c r="C72" s="13">
        <f>[2]Results!$C$74</f>
        <v>-5402816.7261669245</v>
      </c>
      <c r="D72" s="13">
        <f t="shared" si="29"/>
        <v>0</v>
      </c>
      <c r="F72" s="13">
        <f>Summary!$D$73</f>
        <v>239226.0290480254</v>
      </c>
      <c r="G72" s="13">
        <f>[2]Results!$D$74</f>
        <v>239226.0290480254</v>
      </c>
      <c r="H72" s="13">
        <f t="shared" si="30"/>
        <v>0</v>
      </c>
      <c r="J72" s="13">
        <f>Summary!$F$73</f>
        <v>-5163590.6971188989</v>
      </c>
      <c r="K72" s="13">
        <f>[2]Results!$E$74</f>
        <v>-5163590.6971188989</v>
      </c>
      <c r="L72" s="13">
        <f t="shared" si="31"/>
        <v>0</v>
      </c>
      <c r="N72" s="13">
        <f>Summary!$H$73</f>
        <v>0</v>
      </c>
      <c r="O72" s="13">
        <f>[2]Results!$H$74</f>
        <v>0</v>
      </c>
      <c r="P72" s="13">
        <f t="shared" si="32"/>
        <v>0</v>
      </c>
      <c r="R72" s="13">
        <f>Summary!$J$73</f>
        <v>-5163590.6971188989</v>
      </c>
      <c r="S72" s="13">
        <f>[2]Results!$I$74</f>
        <v>-5163590.6971188989</v>
      </c>
      <c r="T72" s="13">
        <f t="shared" si="33"/>
        <v>0</v>
      </c>
      <c r="V72" s="13">
        <f>Summary!$L$73</f>
        <v>0</v>
      </c>
      <c r="W72" s="13"/>
      <c r="X72" s="13">
        <f t="shared" si="34"/>
        <v>0</v>
      </c>
    </row>
    <row r="73" spans="1:24">
      <c r="A73" s="15" t="s">
        <v>112</v>
      </c>
      <c r="B73" s="13">
        <f>Summary!$B$74</f>
        <v>22961344.056319799</v>
      </c>
      <c r="C73" s="13">
        <f>[2]Results!$C$75</f>
        <v>22961344.056319799</v>
      </c>
      <c r="D73" s="13">
        <f t="shared" si="29"/>
        <v>0</v>
      </c>
      <c r="F73" s="13">
        <f>Summary!$D$74</f>
        <v>-992771.65397105366</v>
      </c>
      <c r="G73" s="13">
        <f>[2]Results!$D$75</f>
        <v>-992771.65397184342</v>
      </c>
      <c r="H73" s="13">
        <f t="shared" si="30"/>
        <v>-7.8976154327392578E-7</v>
      </c>
      <c r="J73" s="13">
        <f>Summary!$F$74</f>
        <v>21968572.402348746</v>
      </c>
      <c r="K73" s="13">
        <f>[2]Results!$E$75</f>
        <v>21968572.402347956</v>
      </c>
      <c r="L73" s="13">
        <f t="shared" si="31"/>
        <v>-7.8976154327392578E-7</v>
      </c>
      <c r="N73" s="13">
        <f>Summary!$H$74</f>
        <v>-94920.83295628801</v>
      </c>
      <c r="O73" s="13">
        <f>[2]Results!$H$75</f>
        <v>-94920.832956276834</v>
      </c>
      <c r="P73" s="13">
        <f t="shared" si="32"/>
        <v>1.1175870895385742E-8</v>
      </c>
      <c r="R73" s="13">
        <f>Summary!$J$74</f>
        <v>21873651.569392458</v>
      </c>
      <c r="S73" s="13">
        <f>[2]Results!$I$75</f>
        <v>21873651.569391679</v>
      </c>
      <c r="T73" s="13">
        <f t="shared" si="33"/>
        <v>-7.7858567237854004E-7</v>
      </c>
      <c r="V73" s="13">
        <f>Summary!$L$74</f>
        <v>0</v>
      </c>
      <c r="W73" s="13"/>
      <c r="X73" s="13">
        <f t="shared" si="34"/>
        <v>0</v>
      </c>
    </row>
    <row r="74" spans="1:24">
      <c r="A74" s="15" t="s">
        <v>113</v>
      </c>
      <c r="B74" s="13">
        <f>Summary!$B$75</f>
        <v>69682519.662425429</v>
      </c>
      <c r="C74" s="13">
        <f>[2]Results!$C$76</f>
        <v>69682519.662425429</v>
      </c>
      <c r="D74" s="13">
        <f t="shared" si="29"/>
        <v>0</v>
      </c>
      <c r="F74" s="13">
        <f>Summary!$D$75</f>
        <v>-4945929.2323369179</v>
      </c>
      <c r="G74" s="13">
        <f>[2]Results!$D$76</f>
        <v>-4945929.2323369188</v>
      </c>
      <c r="H74" s="13">
        <f t="shared" si="30"/>
        <v>0</v>
      </c>
      <c r="J74" s="13">
        <f>Summary!$F$75</f>
        <v>64736590.430088513</v>
      </c>
      <c r="K74" s="13">
        <f>[2]Results!$E$76</f>
        <v>64736590.430088513</v>
      </c>
      <c r="L74" s="13">
        <f t="shared" si="31"/>
        <v>0</v>
      </c>
      <c r="N74" s="13">
        <f>Summary!$H$75</f>
        <v>682548.26504344889</v>
      </c>
      <c r="O74" s="13">
        <f>[2]Results!$H$76</f>
        <v>707575.056237009</v>
      </c>
      <c r="P74" s="13">
        <f t="shared" si="32"/>
        <v>25026.791193560115</v>
      </c>
      <c r="R74" s="13">
        <f>Summary!$J$75</f>
        <v>65419138.695131965</v>
      </c>
      <c r="S74" s="13">
        <f>[2]Results!$I$76</f>
        <v>65444165.486325525</v>
      </c>
      <c r="T74" s="13">
        <f t="shared" si="33"/>
        <v>25026.791193559766</v>
      </c>
      <c r="V74" s="13">
        <f>Summary!$L$75</f>
        <v>0</v>
      </c>
      <c r="W74" s="13"/>
      <c r="X74" s="13">
        <f t="shared" si="34"/>
        <v>0</v>
      </c>
    </row>
    <row r="75" spans="1:24">
      <c r="A75" s="15" t="s">
        <v>114</v>
      </c>
      <c r="B75" s="12">
        <f>Summary!$B$76</f>
        <v>126084593.94117269</v>
      </c>
      <c r="C75" s="12">
        <f>[2]Results!$C$77</f>
        <v>126084593.94117269</v>
      </c>
      <c r="D75" s="12">
        <f t="shared" si="29"/>
        <v>0</v>
      </c>
      <c r="F75" s="12">
        <f>Summary!$D$76</f>
        <v>116992.72253218386</v>
      </c>
      <c r="G75" s="12">
        <f>[2]Results!$D$77</f>
        <v>116992.72253300529</v>
      </c>
      <c r="H75" s="12">
        <f t="shared" si="30"/>
        <v>8.2142651081085205E-7</v>
      </c>
      <c r="J75" s="12">
        <f>Summary!$F$76</f>
        <v>126201586.66370487</v>
      </c>
      <c r="K75" s="12">
        <f>[2]Results!$E$77</f>
        <v>126201586.66370569</v>
      </c>
      <c r="L75" s="12">
        <f t="shared" si="31"/>
        <v>8.1956386566162109E-7</v>
      </c>
      <c r="N75" s="12">
        <f>Summary!$H$76</f>
        <v>1375958.3254740317</v>
      </c>
      <c r="O75" s="12">
        <f>[2]Results!$H$77</f>
        <v>1597480.7706653667</v>
      </c>
      <c r="P75" s="12">
        <f t="shared" si="32"/>
        <v>221522.44519133493</v>
      </c>
      <c r="R75" s="12">
        <f>Summary!$J$76</f>
        <v>127577544.98917891</v>
      </c>
      <c r="S75" s="12">
        <f>[2]Results!$I$77</f>
        <v>127799067.43437105</v>
      </c>
      <c r="T75" s="12">
        <f t="shared" si="33"/>
        <v>221522.44519214332</v>
      </c>
      <c r="V75" s="12">
        <f>Summary!$L$76</f>
        <v>0</v>
      </c>
      <c r="W75" s="12"/>
      <c r="X75" s="12">
        <f t="shared" si="34"/>
        <v>0</v>
      </c>
    </row>
    <row r="76" spans="1:24">
      <c r="A76" s="15" t="s">
        <v>115</v>
      </c>
      <c r="B76" s="13">
        <f>Summary!$B$77</f>
        <v>-25468973.929361194</v>
      </c>
      <c r="C76" s="13">
        <f>[2]Results!$C$78</f>
        <v>-25468973.929361194</v>
      </c>
      <c r="D76" s="13">
        <f t="shared" si="29"/>
        <v>0</v>
      </c>
      <c r="F76" s="13">
        <f>Summary!$D$77</f>
        <v>5816120.0008397596</v>
      </c>
      <c r="G76" s="13">
        <f>[2]Results!$D$78</f>
        <v>2824890.0008029053</v>
      </c>
      <c r="H76" s="13">
        <f t="shared" si="30"/>
        <v>-2991230.0000368543</v>
      </c>
      <c r="J76" s="13">
        <f>Summary!$F$77</f>
        <v>-19652853.928521365</v>
      </c>
      <c r="K76" s="13">
        <f>[2]Results!$E$78</f>
        <v>-22644083.92855829</v>
      </c>
      <c r="L76" s="13">
        <f t="shared" si="31"/>
        <v>-2991230.0000369251</v>
      </c>
      <c r="N76" s="13">
        <f>Summary!$H$77</f>
        <v>14038317.277264854</v>
      </c>
      <c r="O76" s="13">
        <f>[2]Results!$H$78</f>
        <v>3602288.8218962667</v>
      </c>
      <c r="P76" s="13">
        <f t="shared" si="32"/>
        <v>-10436028.455368588</v>
      </c>
      <c r="R76" s="13">
        <f>Summary!$J$77</f>
        <v>-5614536.6512565762</v>
      </c>
      <c r="S76" s="13">
        <f>[2]Results!$I$78</f>
        <v>-19041795.106662024</v>
      </c>
      <c r="T76" s="13">
        <f t="shared" si="33"/>
        <v>-13427258.455405448</v>
      </c>
      <c r="V76" s="13">
        <f>Summary!$L$77</f>
        <v>-770729.85503239138</v>
      </c>
      <c r="W76" s="13">
        <f>W70</f>
        <v>12354227.594219413</v>
      </c>
      <c r="X76" s="13">
        <f t="shared" si="34"/>
        <v>13124957.449251805</v>
      </c>
    </row>
    <row r="77" spans="1:24">
      <c r="A77" s="15"/>
      <c r="B77" s="13"/>
      <c r="C77" s="13"/>
      <c r="D77" s="13"/>
      <c r="F77" s="13"/>
      <c r="G77" s="13"/>
      <c r="H77" s="13"/>
      <c r="J77" s="13"/>
      <c r="K77" s="13"/>
      <c r="L77" s="13"/>
      <c r="N77" s="13"/>
      <c r="O77" s="13"/>
      <c r="P77" s="13"/>
      <c r="R77" s="13"/>
      <c r="S77" s="13"/>
      <c r="T77" s="13"/>
      <c r="V77" s="13"/>
      <c r="W77" s="13"/>
      <c r="X77" s="13"/>
    </row>
    <row r="78" spans="1:24">
      <c r="A78" s="15" t="s">
        <v>116</v>
      </c>
      <c r="B78" s="13">
        <f>Summary!$B$79</f>
        <v>0</v>
      </c>
      <c r="C78" s="13">
        <f>[2]Results!$C$80</f>
        <v>0</v>
      </c>
      <c r="D78" s="13">
        <f t="shared" si="29"/>
        <v>0</v>
      </c>
      <c r="F78" s="13">
        <f>Summary!$D$79</f>
        <v>0</v>
      </c>
      <c r="G78" s="13">
        <f>[2]Results!$D$80</f>
        <v>0</v>
      </c>
      <c r="H78" s="13">
        <f t="shared" ref="H78:H79" si="35">G78-F78</f>
        <v>0</v>
      </c>
      <c r="J78" s="13">
        <f>Summary!$F$79</f>
        <v>0</v>
      </c>
      <c r="K78" s="13">
        <f>[2]Results!$E$80</f>
        <v>0</v>
      </c>
      <c r="L78" s="13">
        <f t="shared" ref="L78:L79" si="36">K78-J78</f>
        <v>0</v>
      </c>
      <c r="N78" s="13">
        <f>Summary!$H$79</f>
        <v>0</v>
      </c>
      <c r="O78" s="13">
        <f>[2]Results!$H$80</f>
        <v>0</v>
      </c>
      <c r="P78" s="13">
        <f t="shared" ref="P78:P79" si="37">O78-N78</f>
        <v>0</v>
      </c>
      <c r="R78" s="13">
        <f>Summary!$J$79</f>
        <v>0</v>
      </c>
      <c r="S78" s="13">
        <f>[2]Results!$I$80</f>
        <v>0</v>
      </c>
      <c r="T78" s="13">
        <f t="shared" ref="T78:T79" si="38">S78-R78</f>
        <v>0</v>
      </c>
      <c r="V78" s="13">
        <f>Summary!$L$79</f>
        <v>0</v>
      </c>
      <c r="W78" s="13"/>
      <c r="X78" s="13">
        <f t="shared" ref="X78:X79" si="39">W78-V78</f>
        <v>0</v>
      </c>
    </row>
    <row r="79" spans="1:24">
      <c r="A79" s="15" t="s">
        <v>117</v>
      </c>
      <c r="B79" s="13">
        <f>Summary!$B$80</f>
        <v>-25468973.929361194</v>
      </c>
      <c r="C79" s="13">
        <f>[2]Results!$C$81</f>
        <v>-25468973.929361194</v>
      </c>
      <c r="D79" s="13">
        <f t="shared" si="29"/>
        <v>0</v>
      </c>
      <c r="F79" s="13">
        <f>Summary!$D$80</f>
        <v>5816120.0008397596</v>
      </c>
      <c r="G79" s="13">
        <f>[2]Results!$D$81</f>
        <v>2824890.0008029053</v>
      </c>
      <c r="H79" s="13">
        <f t="shared" si="35"/>
        <v>-2991230.0000368543</v>
      </c>
      <c r="J79" s="13">
        <f>Summary!$F$80</f>
        <v>-19652853.928521365</v>
      </c>
      <c r="K79" s="13">
        <f>[2]Results!$E$81</f>
        <v>-22644083.92855829</v>
      </c>
      <c r="L79" s="13">
        <f t="shared" si="36"/>
        <v>-2991230.0000369251</v>
      </c>
      <c r="N79" s="13">
        <f>Summary!$H$80</f>
        <v>14038317.277264854</v>
      </c>
      <c r="O79" s="13">
        <f>[2]Results!$H$81</f>
        <v>3602288.8218962667</v>
      </c>
      <c r="P79" s="13">
        <f t="shared" si="37"/>
        <v>-10436028.455368588</v>
      </c>
      <c r="R79" s="13">
        <f>Summary!$J$80</f>
        <v>-5614536.6512565762</v>
      </c>
      <c r="S79" s="13">
        <f>[2]Results!$I$81</f>
        <v>-19041795.106662024</v>
      </c>
      <c r="T79" s="13">
        <f t="shared" si="38"/>
        <v>-13427258.455405448</v>
      </c>
      <c r="V79" s="13">
        <f>Summary!$L$80</f>
        <v>-770729.85503239138</v>
      </c>
      <c r="W79" s="13">
        <f>[2]Results!$H$161</f>
        <v>12354227.594219413</v>
      </c>
      <c r="X79" s="13">
        <f t="shared" si="39"/>
        <v>13124957.449251805</v>
      </c>
    </row>
    <row r="80" spans="1:24">
      <c r="A80" s="15"/>
      <c r="B80" s="13"/>
      <c r="C80" s="13"/>
      <c r="D80" s="13"/>
      <c r="F80" s="13"/>
      <c r="G80" s="13"/>
      <c r="H80" s="13"/>
      <c r="J80" s="13"/>
      <c r="K80" s="13"/>
      <c r="L80" s="13"/>
      <c r="N80" s="13"/>
      <c r="O80" s="13"/>
      <c r="P80" s="13"/>
      <c r="R80" s="13"/>
      <c r="S80" s="13"/>
      <c r="T80" s="13"/>
      <c r="V80" s="13"/>
      <c r="W80" s="13"/>
      <c r="X80" s="13"/>
    </row>
    <row r="81" spans="1:24">
      <c r="A81" s="15" t="s">
        <v>166</v>
      </c>
      <c r="B81" s="13">
        <f>Summary!$B$82</f>
        <v>-8914140.8752764165</v>
      </c>
      <c r="C81" s="13"/>
      <c r="D81" s="13"/>
      <c r="F81" s="13">
        <f>Summary!$D$82</f>
        <v>2035642.0002939156</v>
      </c>
      <c r="G81" s="13"/>
      <c r="H81" s="13"/>
      <c r="J81" s="13">
        <f>Summary!$F$82</f>
        <v>-6878498.8749824772</v>
      </c>
      <c r="K81" s="13"/>
      <c r="L81" s="13"/>
      <c r="N81" s="13">
        <f>Summary!$H$82</f>
        <v>4913411.0470426986</v>
      </c>
      <c r="O81" s="13"/>
      <c r="P81" s="13"/>
      <c r="R81" s="13">
        <f>Summary!$J$82</f>
        <v>-1965087.8279398016</v>
      </c>
      <c r="S81" s="13"/>
      <c r="T81" s="13"/>
      <c r="V81" s="13">
        <f>Summary!$L$82</f>
        <v>-269755.44926133699</v>
      </c>
      <c r="W81" s="13"/>
      <c r="X81" s="13"/>
    </row>
    <row r="82" spans="1:24">
      <c r="A82" s="15" t="s">
        <v>167</v>
      </c>
      <c r="B82" s="13">
        <f>Summary!$B$83</f>
        <v>-4530657.6032752618</v>
      </c>
      <c r="C82" s="13"/>
      <c r="D82" s="13"/>
      <c r="F82" s="13">
        <f>Summary!$D$83</f>
        <v>0</v>
      </c>
      <c r="G82" s="13"/>
      <c r="H82" s="13"/>
      <c r="J82" s="13">
        <f>Summary!$F$83</f>
        <v>-4530657.6032752618</v>
      </c>
      <c r="K82" s="13"/>
      <c r="L82" s="13"/>
      <c r="N82" s="13">
        <f>Summary!$H$83</f>
        <v>-1105653.619989312</v>
      </c>
      <c r="O82" s="13"/>
      <c r="P82" s="13"/>
      <c r="R82" s="13">
        <f>Summary!$J$83</f>
        <v>-5636311.2232645741</v>
      </c>
      <c r="S82" s="13"/>
      <c r="T82" s="13"/>
      <c r="V82" s="13">
        <f>Summary!$L$83</f>
        <v>0</v>
      </c>
      <c r="W82" s="13"/>
      <c r="X82" s="13"/>
    </row>
    <row r="83" spans="1:24">
      <c r="A83" s="15" t="s">
        <v>168</v>
      </c>
      <c r="B83" s="13">
        <f>Summary!$B$84</f>
        <v>-13444798.478551678</v>
      </c>
      <c r="C83" s="13">
        <f>[2]Results!$C$83</f>
        <v>-13444798.478551678</v>
      </c>
      <c r="D83" s="13">
        <f t="shared" ref="D83" si="40">C83-B83</f>
        <v>0</v>
      </c>
      <c r="F83" s="13">
        <f>Summary!$D$84</f>
        <v>2035642.0002939156</v>
      </c>
      <c r="G83" s="13">
        <f>[2]Results!$D$83</f>
        <v>988711.50028101681</v>
      </c>
      <c r="H83" s="13">
        <f t="shared" ref="H83" si="41">G83-F83</f>
        <v>-1046930.5000128988</v>
      </c>
      <c r="J83" s="13">
        <f>Summary!$F$84</f>
        <v>-11409156.478257738</v>
      </c>
      <c r="K83" s="13">
        <f>[2]Results!$E$83</f>
        <v>-12456086.978270661</v>
      </c>
      <c r="L83" s="13">
        <f t="shared" ref="L83" si="42">K83-J83</f>
        <v>-1046930.500012923</v>
      </c>
      <c r="N83" s="13">
        <f>Summary!$H$84</f>
        <v>3807757.4270533863</v>
      </c>
      <c r="O83" s="13">
        <f>[2]Results!$H$83</f>
        <v>155147.46767438436</v>
      </c>
      <c r="P83" s="13">
        <f t="shared" ref="P83" si="43">O83-N83</f>
        <v>-3652609.959379002</v>
      </c>
      <c r="R83" s="13">
        <f>Summary!$J$84</f>
        <v>-7601399.0512043759</v>
      </c>
      <c r="S83" s="13">
        <f>[2]Results!$I$83</f>
        <v>-12300939.510596277</v>
      </c>
      <c r="T83" s="13">
        <f t="shared" ref="T83" si="44">S83-R83</f>
        <v>-4699540.4593919013</v>
      </c>
      <c r="V83" s="13">
        <f>Summary!$L$84</f>
        <v>-269755.44926133699</v>
      </c>
      <c r="W83" s="13">
        <f>[2]Results!$H$171</f>
        <v>4323979.6579767941</v>
      </c>
      <c r="X83" s="13">
        <f t="shared" ref="X83" si="45">W83-V83</f>
        <v>4593735.1072381306</v>
      </c>
    </row>
    <row r="84" spans="1:24">
      <c r="A84" s="15"/>
      <c r="B84" s="13"/>
      <c r="C84" s="13"/>
      <c r="D84" s="13"/>
    </row>
    <row r="85" spans="1:24">
      <c r="A85" s="15"/>
      <c r="B85" s="13"/>
      <c r="C85" s="13"/>
      <c r="D85" s="13"/>
    </row>
    <row r="86" spans="1:24">
      <c r="A86" s="15"/>
      <c r="B86" s="13"/>
      <c r="C86" s="13"/>
      <c r="D86" s="13"/>
    </row>
    <row r="87" spans="1:24">
      <c r="A87" s="28"/>
      <c r="B87" s="13"/>
      <c r="C87" s="13"/>
      <c r="D87" s="13"/>
    </row>
    <row r="88" spans="1:24">
      <c r="A88" s="26"/>
      <c r="B88" s="10"/>
      <c r="C88" s="10"/>
      <c r="D88" s="10"/>
    </row>
    <row r="89" spans="1:24">
      <c r="A89" s="26"/>
    </row>
    <row r="90" spans="1:24">
      <c r="A90" s="26"/>
    </row>
    <row r="91" spans="1:24">
      <c r="A91" s="26"/>
    </row>
    <row r="92" spans="1:24">
      <c r="A92" s="26"/>
    </row>
    <row r="93" spans="1:24">
      <c r="A93" s="26"/>
    </row>
    <row r="94" spans="1:24">
      <c r="A94" s="26"/>
    </row>
    <row r="95" spans="1:24">
      <c r="A95" s="26"/>
    </row>
    <row r="96" spans="1:24">
      <c r="A96" s="26"/>
    </row>
    <row r="97" spans="1:1">
      <c r="A97" s="26"/>
    </row>
    <row r="98" spans="1:1">
      <c r="A98" s="26"/>
    </row>
    <row r="99" spans="1:1">
      <c r="A99" s="26"/>
    </row>
    <row r="100" spans="1:1">
      <c r="A100" s="26"/>
    </row>
    <row r="101" spans="1:1">
      <c r="A101" s="26"/>
    </row>
    <row r="102" spans="1:1">
      <c r="A102" s="26"/>
    </row>
    <row r="103" spans="1:1">
      <c r="A103" s="26"/>
    </row>
    <row r="104" spans="1:1">
      <c r="A104" s="26"/>
    </row>
    <row r="105" spans="1:1">
      <c r="A105" s="26"/>
    </row>
    <row r="106" spans="1:1">
      <c r="A106" s="26"/>
    </row>
    <row r="107" spans="1:1">
      <c r="A107" s="26"/>
    </row>
    <row r="108" spans="1:1">
      <c r="A108" s="26"/>
    </row>
    <row r="109" spans="1:1">
      <c r="A109" s="26"/>
    </row>
    <row r="110" spans="1:1">
      <c r="A110" s="26"/>
    </row>
    <row r="111" spans="1:1">
      <c r="A111" s="26"/>
    </row>
    <row r="112" spans="1:1">
      <c r="A112" s="26"/>
    </row>
    <row r="113" spans="1:1">
      <c r="A113" s="26"/>
    </row>
    <row r="114" spans="1:1">
      <c r="A114" s="26"/>
    </row>
    <row r="115" spans="1:1">
      <c r="A115" s="26"/>
    </row>
    <row r="116" spans="1:1">
      <c r="A116" s="26"/>
    </row>
    <row r="117" spans="1:1">
      <c r="A117" s="26"/>
    </row>
    <row r="118" spans="1:1">
      <c r="A118" s="26"/>
    </row>
    <row r="119" spans="1:1">
      <c r="A119" s="26"/>
    </row>
    <row r="120" spans="1:1">
      <c r="A120" s="26"/>
    </row>
    <row r="121" spans="1:1">
      <c r="A121" s="26"/>
    </row>
    <row r="122" spans="1:1">
      <c r="A122" s="26"/>
    </row>
    <row r="123" spans="1:1">
      <c r="A123" s="26"/>
    </row>
    <row r="124" spans="1:1">
      <c r="A124" s="26"/>
    </row>
    <row r="125" spans="1:1">
      <c r="A125" s="26"/>
    </row>
    <row r="126" spans="1:1">
      <c r="A126" s="26"/>
    </row>
    <row r="127" spans="1:1">
      <c r="A127" s="26"/>
    </row>
    <row r="128" spans="1:1">
      <c r="A128" s="26"/>
    </row>
    <row r="129" spans="1:1">
      <c r="A129" s="26"/>
    </row>
    <row r="130" spans="1:1">
      <c r="A130" s="26"/>
    </row>
    <row r="131" spans="1:1">
      <c r="A131" s="26"/>
    </row>
    <row r="132" spans="1:1">
      <c r="A132" s="26"/>
    </row>
    <row r="133" spans="1:1">
      <c r="A133" s="26"/>
    </row>
    <row r="134" spans="1:1">
      <c r="A134" s="26"/>
    </row>
    <row r="135" spans="1:1">
      <c r="A135" s="26"/>
    </row>
    <row r="136" spans="1:1">
      <c r="A136" s="26"/>
    </row>
    <row r="137" spans="1:1">
      <c r="A137" s="26"/>
    </row>
    <row r="138" spans="1:1">
      <c r="A138" s="26"/>
    </row>
    <row r="139" spans="1:1">
      <c r="A139" s="26"/>
    </row>
    <row r="140" spans="1:1">
      <c r="A140" s="26"/>
    </row>
    <row r="141" spans="1:1">
      <c r="A141" s="26"/>
    </row>
    <row r="142" spans="1:1">
      <c r="A142" s="26"/>
    </row>
    <row r="143" spans="1:1">
      <c r="A143" s="26"/>
    </row>
    <row r="144" spans="1:1">
      <c r="A144" s="26"/>
    </row>
  </sheetData>
  <pageMargins left="1.03" right="0.5" top="0.5" bottom="0.5" header="0.5" footer="0.5"/>
  <pageSetup scale="29" orientation="portrait"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H77"/>
  <sheetViews>
    <sheetView zoomScaleNormal="100" workbookViewId="0">
      <selection activeCell="F8" sqref="F8"/>
    </sheetView>
  </sheetViews>
  <sheetFormatPr defaultRowHeight="11.25"/>
  <cols>
    <col min="1" max="1" width="4.28515625" style="112" customWidth="1"/>
    <col min="2" max="2" width="11.140625" style="292" customWidth="1"/>
    <col min="3" max="3" width="37.42578125" style="112" bestFit="1" customWidth="1"/>
    <col min="4" max="6" width="10.7109375" style="112" customWidth="1"/>
    <col min="7" max="7" width="21.140625" style="112" bestFit="1" customWidth="1"/>
    <col min="8" max="16384" width="9.140625" style="112"/>
  </cols>
  <sheetData>
    <row r="1" spans="1:8" ht="19.5">
      <c r="A1" s="300" t="s">
        <v>283</v>
      </c>
      <c r="C1" s="301"/>
      <c r="D1" s="301"/>
      <c r="E1" s="301"/>
      <c r="F1" s="301"/>
      <c r="G1" s="301"/>
    </row>
    <row r="2" spans="1:8" ht="6" customHeight="1">
      <c r="A2" s="302"/>
    </row>
    <row r="3" spans="1:8" ht="12.75" customHeight="1">
      <c r="A3" s="868" t="s">
        <v>333</v>
      </c>
      <c r="B3" s="868"/>
      <c r="C3" s="868"/>
      <c r="D3" s="868"/>
      <c r="E3" s="868"/>
      <c r="F3" s="868"/>
      <c r="G3" s="868"/>
    </row>
    <row r="4" spans="1:8" ht="12.75" customHeight="1">
      <c r="A4" s="868"/>
      <c r="B4" s="868"/>
      <c r="C4" s="868"/>
      <c r="D4" s="868"/>
      <c r="E4" s="868"/>
      <c r="F4" s="868"/>
      <c r="G4" s="868"/>
    </row>
    <row r="5" spans="1:8" ht="12.75">
      <c r="B5" s="303"/>
    </row>
    <row r="6" spans="1:8">
      <c r="B6" s="310" t="s">
        <v>334</v>
      </c>
      <c r="C6" s="310" t="s">
        <v>335</v>
      </c>
      <c r="D6" s="310" t="s">
        <v>336</v>
      </c>
      <c r="E6" s="310" t="s">
        <v>337</v>
      </c>
      <c r="F6" s="310" t="s">
        <v>338</v>
      </c>
      <c r="G6" s="310" t="s">
        <v>339</v>
      </c>
    </row>
    <row r="7" spans="1:8">
      <c r="D7" s="304" t="s">
        <v>220</v>
      </c>
      <c r="E7" s="305" t="s">
        <v>221</v>
      </c>
      <c r="F7" s="304" t="s">
        <v>223</v>
      </c>
      <c r="G7" s="293" t="s">
        <v>193</v>
      </c>
    </row>
    <row r="8" spans="1:8">
      <c r="C8" s="294" t="s">
        <v>222</v>
      </c>
      <c r="D8" s="295">
        <f>ROUND(Unadj_Op_revenue,0)</f>
        <v>39356668</v>
      </c>
      <c r="E8" s="295">
        <f>ROUND(Unadj_rate_base,0)</f>
        <v>757510777</v>
      </c>
      <c r="F8" s="295">
        <f>-(D8-(E8*Overall_ROR))/gross_up_factor</f>
        <v>31076642.761233736</v>
      </c>
      <c r="G8" s="110" t="s">
        <v>281</v>
      </c>
    </row>
    <row r="9" spans="1:8">
      <c r="C9" s="294"/>
      <c r="D9" s="295"/>
      <c r="E9" s="295"/>
      <c r="F9" s="295"/>
      <c r="G9" s="110"/>
    </row>
    <row r="10" spans="1:8" s="308" customFormat="1" ht="24.75" customHeight="1">
      <c r="A10" s="306" t="s">
        <v>332</v>
      </c>
      <c r="B10" s="306" t="s">
        <v>313</v>
      </c>
      <c r="C10" s="306"/>
      <c r="D10" s="306"/>
      <c r="E10" s="306"/>
      <c r="F10" s="307"/>
      <c r="G10" s="307"/>
    </row>
    <row r="11" spans="1:8">
      <c r="A11" s="292">
        <v>1</v>
      </c>
      <c r="B11" s="291">
        <v>3.1</v>
      </c>
      <c r="C11" s="112" t="s">
        <v>118</v>
      </c>
      <c r="D11" s="110">
        <f>'Total Adj'!$C40</f>
        <v>2065366.1795000006</v>
      </c>
      <c r="E11" s="110">
        <f>'Total Adj'!$C67</f>
        <v>0</v>
      </c>
      <c r="F11" s="110">
        <f>-(D11-(E11*0.0774))/0.62023</f>
        <v>-3330000.45063928</v>
      </c>
      <c r="G11" s="110" t="s">
        <v>314</v>
      </c>
      <c r="H11" s="114"/>
    </row>
    <row r="12" spans="1:8">
      <c r="A12" s="292">
        <f>A11+1</f>
        <v>2</v>
      </c>
      <c r="B12" s="291">
        <v>3.2</v>
      </c>
      <c r="C12" s="112" t="s">
        <v>119</v>
      </c>
      <c r="D12" s="110">
        <f>'Total Adj'!$D40</f>
        <v>9163677.3999999948</v>
      </c>
      <c r="E12" s="110">
        <f>'Total Adj'!$D67</f>
        <v>0</v>
      </c>
      <c r="F12" s="110">
        <f t="shared" ref="F12:F63" si="0">-(D12-(E12*Overall_ROR))/gross_up_factor</f>
        <v>-14774643.922415871</v>
      </c>
      <c r="G12" s="110" t="s">
        <v>314</v>
      </c>
    </row>
    <row r="13" spans="1:8">
      <c r="A13" s="292">
        <f t="shared" ref="A13:A77" si="1">A12+1</f>
        <v>3</v>
      </c>
      <c r="B13" s="291">
        <v>3.3</v>
      </c>
      <c r="C13" s="112" t="s">
        <v>134</v>
      </c>
      <c r="D13" s="110">
        <f>'Total Adj'!$E40</f>
        <v>21569261.453999996</v>
      </c>
      <c r="E13" s="110">
        <f>'Total Adj'!$E67</f>
        <v>0</v>
      </c>
      <c r="F13" s="110">
        <f>-(D13-(E13*Overall_ROR))/gross_up_factor</f>
        <v>-34776230.51771117</v>
      </c>
      <c r="G13" s="110" t="s">
        <v>314</v>
      </c>
    </row>
    <row r="14" spans="1:8">
      <c r="A14" s="292">
        <f t="shared" si="1"/>
        <v>4</v>
      </c>
      <c r="B14" s="291">
        <v>3.4</v>
      </c>
      <c r="C14" s="112" t="s">
        <v>251</v>
      </c>
      <c r="D14" s="110">
        <f>'Total Adj'!$F40</f>
        <v>425743.90133370459</v>
      </c>
      <c r="E14" s="110">
        <f>'Total Adj'!$F67</f>
        <v>-1995224.0762694315</v>
      </c>
      <c r="F14" s="110">
        <f t="shared" si="0"/>
        <v>-935417.90116079303</v>
      </c>
      <c r="G14" s="110" t="s">
        <v>314</v>
      </c>
    </row>
    <row r="15" spans="1:8">
      <c r="A15" s="292">
        <f t="shared" si="1"/>
        <v>5</v>
      </c>
      <c r="B15" s="291">
        <v>3.5</v>
      </c>
      <c r="C15" s="112" t="s">
        <v>227</v>
      </c>
      <c r="D15" s="110">
        <f>'Total Adj'!$G40</f>
        <v>-5352010.177307141</v>
      </c>
      <c r="E15" s="110">
        <f>'Total Adj'!$G67</f>
        <v>0</v>
      </c>
      <c r="F15" s="110">
        <f t="shared" si="0"/>
        <v>8629073.3716639653</v>
      </c>
      <c r="G15" s="110" t="s">
        <v>314</v>
      </c>
    </row>
    <row r="16" spans="1:8">
      <c r="A16" s="292">
        <f t="shared" si="1"/>
        <v>6</v>
      </c>
      <c r="B16" s="291">
        <v>3.6</v>
      </c>
      <c r="C16" s="112" t="s">
        <v>121</v>
      </c>
      <c r="D16" s="110">
        <f>'Total Adj'!$H40</f>
        <v>602352.36190478317</v>
      </c>
      <c r="E16" s="110">
        <f>'Total Adj'!$H67</f>
        <v>0</v>
      </c>
      <c r="F16" s="110">
        <f t="shared" si="0"/>
        <v>-971175.79269752069</v>
      </c>
      <c r="G16" s="110" t="s">
        <v>314</v>
      </c>
    </row>
    <row r="17" spans="1:7">
      <c r="A17" s="292">
        <f t="shared" si="1"/>
        <v>7</v>
      </c>
      <c r="B17" s="291">
        <v>3.7</v>
      </c>
      <c r="C17" s="112" t="s">
        <v>229</v>
      </c>
      <c r="D17" s="113">
        <f>'Total Adj'!$I40</f>
        <v>654922.81931942562</v>
      </c>
      <c r="E17" s="113">
        <f>'Total Adj'!$I67</f>
        <v>0</v>
      </c>
      <c r="F17" s="113">
        <f>-(D17-(E17*Overall_ROR))/gross_up_factor</f>
        <v>-1055935.4099598951</v>
      </c>
      <c r="G17" s="110" t="s">
        <v>323</v>
      </c>
    </row>
    <row r="18" spans="1:7">
      <c r="A18" s="292">
        <f t="shared" si="1"/>
        <v>8</v>
      </c>
      <c r="B18" s="291"/>
      <c r="C18" s="294" t="s">
        <v>325</v>
      </c>
      <c r="D18" s="295">
        <f>SUM(D11:D17)</f>
        <v>29129313.938750766</v>
      </c>
      <c r="E18" s="295">
        <f t="shared" ref="E18:F18" si="2">SUM(E11:E17)</f>
        <v>-1995224.0762694315</v>
      </c>
      <c r="F18" s="295">
        <f t="shared" si="2"/>
        <v>-47214330.622920565</v>
      </c>
      <c r="G18" s="110"/>
    </row>
    <row r="19" spans="1:7">
      <c r="A19" s="292">
        <f t="shared" si="1"/>
        <v>9</v>
      </c>
      <c r="D19" s="110"/>
      <c r="E19" s="110"/>
      <c r="F19" s="110"/>
      <c r="G19" s="110"/>
    </row>
    <row r="20" spans="1:7">
      <c r="A20" s="292">
        <f t="shared" si="1"/>
        <v>10</v>
      </c>
      <c r="B20" s="291">
        <v>4.0999999999999996</v>
      </c>
      <c r="C20" s="112" t="s">
        <v>122</v>
      </c>
      <c r="D20" s="110">
        <f>'Total Adj'!$J40</f>
        <v>86025.10682635993</v>
      </c>
      <c r="E20" s="110">
        <f>'Total Adj'!$J67</f>
        <v>0</v>
      </c>
      <c r="F20" s="110">
        <f t="shared" si="0"/>
        <v>-138698.71954977981</v>
      </c>
      <c r="G20" s="110" t="s">
        <v>315</v>
      </c>
    </row>
    <row r="21" spans="1:7">
      <c r="A21" s="292">
        <f t="shared" si="1"/>
        <v>11</v>
      </c>
      <c r="B21" s="291">
        <v>4.2</v>
      </c>
      <c r="C21" s="112" t="s">
        <v>277</v>
      </c>
      <c r="D21" s="110">
        <f>'Total Adj'!$K40</f>
        <v>70897.978747582063</v>
      </c>
      <c r="E21" s="110">
        <f>'Total Adj'!$K67</f>
        <v>0</v>
      </c>
      <c r="F21" s="110">
        <f t="shared" si="0"/>
        <v>-114309.17360911609</v>
      </c>
      <c r="G21" s="110" t="s">
        <v>315</v>
      </c>
    </row>
    <row r="22" spans="1:7">
      <c r="A22" s="292">
        <f t="shared" si="1"/>
        <v>12</v>
      </c>
      <c r="B22" s="291">
        <v>4.3</v>
      </c>
      <c r="C22" s="112" t="s">
        <v>278</v>
      </c>
      <c r="D22" s="110">
        <f>'Total Adj'!$L40</f>
        <v>0</v>
      </c>
      <c r="E22" s="110">
        <f>'Total Adj'!$L67</f>
        <v>0</v>
      </c>
      <c r="F22" s="110">
        <f>-(D22-(E22*Overall_ROR))/gross_up_factor</f>
        <v>0</v>
      </c>
      <c r="G22" s="110" t="s">
        <v>315</v>
      </c>
    </row>
    <row r="23" spans="1:7">
      <c r="A23" s="292">
        <f t="shared" si="1"/>
        <v>13</v>
      </c>
      <c r="B23" s="291">
        <v>4.4000000000000004</v>
      </c>
      <c r="C23" s="112" t="s">
        <v>254</v>
      </c>
      <c r="D23" s="110">
        <f>'Total Adj'!$M40</f>
        <v>722907.98959938949</v>
      </c>
      <c r="E23" s="110">
        <f>'Total Adj'!$M67</f>
        <v>7282596.1270833286</v>
      </c>
      <c r="F23" s="110">
        <f>-(D23-(E23*Overall_ROR))/gross_up_factor</f>
        <v>-256735.48419641086</v>
      </c>
      <c r="G23" s="110" t="s">
        <v>315</v>
      </c>
    </row>
    <row r="24" spans="1:7">
      <c r="A24" s="292">
        <f t="shared" si="1"/>
        <v>14</v>
      </c>
      <c r="B24" s="291">
        <v>4.5</v>
      </c>
      <c r="C24" s="112" t="s">
        <v>123</v>
      </c>
      <c r="D24" s="110">
        <f>'Total Adj'!$N40</f>
        <v>-61216.664693535815</v>
      </c>
      <c r="E24" s="110">
        <f>'Total Adj'!$N67</f>
        <v>56244.919679730992</v>
      </c>
      <c r="F24" s="110">
        <f t="shared" si="0"/>
        <v>105718.88086153039</v>
      </c>
      <c r="G24" s="110" t="s">
        <v>315</v>
      </c>
    </row>
    <row r="25" spans="1:7">
      <c r="A25" s="292">
        <f t="shared" si="1"/>
        <v>15</v>
      </c>
      <c r="B25" s="291">
        <v>4.5999999999999996</v>
      </c>
      <c r="C25" s="112" t="s">
        <v>136</v>
      </c>
      <c r="D25" s="110">
        <f>'Total Adj'!$O40</f>
        <v>32798.565992366755</v>
      </c>
      <c r="E25" s="110">
        <f>'Total Adj'!$O67</f>
        <v>-1087279.6666666667</v>
      </c>
      <c r="F25" s="110">
        <f t="shared" si="0"/>
        <v>-188565.5517991177</v>
      </c>
      <c r="G25" s="110" t="s">
        <v>315</v>
      </c>
    </row>
    <row r="26" spans="1:7">
      <c r="A26" s="292">
        <f t="shared" si="1"/>
        <v>16</v>
      </c>
      <c r="B26" s="291">
        <v>4.7</v>
      </c>
      <c r="C26" s="112" t="s">
        <v>230</v>
      </c>
      <c r="D26" s="110">
        <f>'Total Adj'!$P40</f>
        <v>714064.77513409406</v>
      </c>
      <c r="E26" s="110">
        <f>'Total Adj'!$P67</f>
        <v>0</v>
      </c>
      <c r="F26" s="110">
        <f t="shared" si="0"/>
        <v>-1151290.2876902022</v>
      </c>
      <c r="G26" s="110" t="s">
        <v>316</v>
      </c>
    </row>
    <row r="27" spans="1:7">
      <c r="A27" s="292">
        <f t="shared" si="1"/>
        <v>17</v>
      </c>
      <c r="B27" s="291">
        <v>4.8</v>
      </c>
      <c r="C27" s="112" t="s">
        <v>231</v>
      </c>
      <c r="D27" s="110">
        <f>'Total Adj'!$Q40</f>
        <v>-2384.8170024567889</v>
      </c>
      <c r="E27" s="110">
        <f>'Total Adj'!$Q67</f>
        <v>0</v>
      </c>
      <c r="F27" s="110">
        <f t="shared" si="0"/>
        <v>3845.0526457230208</v>
      </c>
      <c r="G27" s="110" t="s">
        <v>316</v>
      </c>
    </row>
    <row r="28" spans="1:7">
      <c r="A28" s="292">
        <f t="shared" si="1"/>
        <v>18</v>
      </c>
      <c r="B28" s="291">
        <v>4.9000000000000004</v>
      </c>
      <c r="C28" s="112" t="s">
        <v>233</v>
      </c>
      <c r="D28" s="110">
        <f>'Total Adj'!$R40</f>
        <v>92445.477524220623</v>
      </c>
      <c r="E28" s="110">
        <f>'Total Adj'!$R67</f>
        <v>-79630.904999999548</v>
      </c>
      <c r="F28" s="110">
        <f t="shared" si="0"/>
        <v>-158987.6490515141</v>
      </c>
      <c r="G28" s="110" t="s">
        <v>316</v>
      </c>
    </row>
    <row r="29" spans="1:7">
      <c r="A29" s="292">
        <f t="shared" si="1"/>
        <v>19</v>
      </c>
      <c r="B29" s="296">
        <v>4.0999999999999996</v>
      </c>
      <c r="C29" s="112" t="s">
        <v>235</v>
      </c>
      <c r="D29" s="110">
        <f>'Total Adj'!$S40</f>
        <v>9368.5899177937645</v>
      </c>
      <c r="E29" s="110">
        <f>'Total Adj'!$S67</f>
        <v>0</v>
      </c>
      <c r="F29" s="110">
        <f t="shared" si="0"/>
        <v>-15105.025422494502</v>
      </c>
      <c r="G29" s="110" t="s">
        <v>316</v>
      </c>
    </row>
    <row r="30" spans="1:7">
      <c r="A30" s="292">
        <f t="shared" si="1"/>
        <v>20</v>
      </c>
      <c r="B30" s="291">
        <v>4.1100000000000003</v>
      </c>
      <c r="C30" s="112" t="s">
        <v>253</v>
      </c>
      <c r="D30" s="110">
        <f>'Total Adj'!$T40</f>
        <v>-166295.03833923308</v>
      </c>
      <c r="E30" s="110">
        <f>'Total Adj'!$T67</f>
        <v>0</v>
      </c>
      <c r="F30" s="110">
        <f>-(D30-(E30*Overall_ROR))/gross_up_factor</f>
        <v>268118.34051760333</v>
      </c>
      <c r="G30" s="110" t="s">
        <v>316</v>
      </c>
    </row>
    <row r="31" spans="1:7">
      <c r="A31" s="292">
        <f t="shared" si="1"/>
        <v>21</v>
      </c>
      <c r="B31" s="291">
        <v>4.12</v>
      </c>
      <c r="C31" s="112" t="s">
        <v>200</v>
      </c>
      <c r="D31" s="110">
        <f>'Total Adj'!$U40</f>
        <v>-28304.510248875617</v>
      </c>
      <c r="E31" s="110">
        <f>'Total Adj'!$U67</f>
        <v>0</v>
      </c>
      <c r="F31" s="110">
        <f t="shared" si="0"/>
        <v>45635.506584453542</v>
      </c>
      <c r="G31" s="110" t="s">
        <v>316</v>
      </c>
    </row>
    <row r="32" spans="1:7">
      <c r="A32" s="292">
        <f t="shared" si="1"/>
        <v>22</v>
      </c>
      <c r="B32" s="291">
        <v>4.13</v>
      </c>
      <c r="C32" s="112" t="s">
        <v>238</v>
      </c>
      <c r="D32" s="113">
        <f>'Total Adj'!$V40</f>
        <v>-885.67661004467527</v>
      </c>
      <c r="E32" s="113">
        <f>'Total Adj'!$V67</f>
        <v>0</v>
      </c>
      <c r="F32" s="113">
        <f t="shared" si="0"/>
        <v>1427.9809265025481</v>
      </c>
      <c r="G32" s="110" t="s">
        <v>316</v>
      </c>
    </row>
    <row r="33" spans="1:7">
      <c r="A33" s="292">
        <f t="shared" si="1"/>
        <v>23</v>
      </c>
      <c r="B33" s="291"/>
      <c r="C33" s="294" t="s">
        <v>326</v>
      </c>
      <c r="D33" s="298">
        <f>SUM(D20:D32)</f>
        <v>1469421.7768476608</v>
      </c>
      <c r="E33" s="298">
        <f t="shared" ref="E33:F33" si="3">SUM(E20:E32)</f>
        <v>6171930.4750963934</v>
      </c>
      <c r="F33" s="298">
        <f t="shared" si="3"/>
        <v>-1598946.1297828222</v>
      </c>
      <c r="G33" s="110"/>
    </row>
    <row r="34" spans="1:7">
      <c r="A34" s="292">
        <f t="shared" si="1"/>
        <v>24</v>
      </c>
      <c r="D34" s="110"/>
      <c r="E34" s="110"/>
      <c r="F34" s="110"/>
      <c r="G34" s="110"/>
    </row>
    <row r="35" spans="1:7">
      <c r="A35" s="292">
        <f t="shared" si="1"/>
        <v>25</v>
      </c>
      <c r="B35" s="291">
        <v>5.0999999999999996</v>
      </c>
      <c r="C35" s="112" t="s">
        <v>124</v>
      </c>
      <c r="D35" s="110">
        <f>'Total Adj'!$W40</f>
        <v>1059367.7048230357</v>
      </c>
      <c r="E35" s="110">
        <f>'Total Adj'!$W67</f>
        <v>0</v>
      </c>
      <c r="F35" s="110">
        <f t="shared" si="0"/>
        <v>-1708023.966630179</v>
      </c>
      <c r="G35" s="110" t="s">
        <v>317</v>
      </c>
    </row>
    <row r="36" spans="1:7">
      <c r="A36" s="292">
        <f t="shared" si="1"/>
        <v>26</v>
      </c>
      <c r="B36" s="292" t="s">
        <v>255</v>
      </c>
      <c r="C36" s="112" t="s">
        <v>257</v>
      </c>
      <c r="D36" s="110">
        <f>'Total Adj'!$X40</f>
        <v>-8868109.6037769392</v>
      </c>
      <c r="E36" s="110">
        <f>'Total Adj'!$X67</f>
        <v>0</v>
      </c>
      <c r="F36" s="110">
        <f>-(D36-(E36*Overall_ROR))/gross_up_factor</f>
        <v>14298098.453439755</v>
      </c>
      <c r="G36" s="110" t="s">
        <v>317</v>
      </c>
    </row>
    <row r="37" spans="1:7">
      <c r="A37" s="292">
        <f t="shared" si="1"/>
        <v>27</v>
      </c>
      <c r="B37" s="291">
        <v>5.2</v>
      </c>
      <c r="C37" s="112" t="s">
        <v>135</v>
      </c>
      <c r="D37" s="110">
        <f>'Total Adj'!$Y40</f>
        <v>715348.71199201676</v>
      </c>
      <c r="E37" s="110">
        <f>'Total Adj'!$Y67</f>
        <v>0</v>
      </c>
      <c r="F37" s="110">
        <f>-(D37-(E37*Overall_ROR))/gross_up_factor</f>
        <v>-1153360.3856505116</v>
      </c>
      <c r="G37" s="110" t="s">
        <v>317</v>
      </c>
    </row>
    <row r="38" spans="1:7">
      <c r="A38" s="292">
        <f t="shared" si="1"/>
        <v>28</v>
      </c>
      <c r="B38" s="291">
        <v>5.3</v>
      </c>
      <c r="C38" s="112" t="s">
        <v>125</v>
      </c>
      <c r="D38" s="110">
        <f>'Total Adj'!$Z40</f>
        <v>-5703246.7505000001</v>
      </c>
      <c r="E38" s="110">
        <f>'Total Adj'!$Z67</f>
        <v>0</v>
      </c>
      <c r="F38" s="110">
        <f t="shared" si="0"/>
        <v>9195373.8943617698</v>
      </c>
      <c r="G38" s="110" t="s">
        <v>317</v>
      </c>
    </row>
    <row r="39" spans="1:7">
      <c r="A39" s="292">
        <f t="shared" si="1"/>
        <v>29</v>
      </c>
      <c r="B39" s="291">
        <v>5.4</v>
      </c>
      <c r="C39" s="112" t="s">
        <v>239</v>
      </c>
      <c r="D39" s="113">
        <f>'Total Adj'!$AA40</f>
        <v>305298.54482166702</v>
      </c>
      <c r="E39" s="113">
        <f>'Total Adj'!$AA67</f>
        <v>-8629458.7270486429</v>
      </c>
      <c r="F39" s="113">
        <f t="shared" si="0"/>
        <v>-1569125.4055676637</v>
      </c>
      <c r="G39" s="110" t="s">
        <v>317</v>
      </c>
    </row>
    <row r="40" spans="1:7">
      <c r="A40" s="292">
        <f t="shared" si="1"/>
        <v>30</v>
      </c>
      <c r="B40" s="291"/>
      <c r="C40" s="294" t="s">
        <v>327</v>
      </c>
      <c r="D40" s="295">
        <f>SUM(D35:D39)</f>
        <v>-12491341.39264022</v>
      </c>
      <c r="E40" s="295">
        <f t="shared" ref="E40:F40" si="4">SUM(E35:E39)</f>
        <v>-8629458.7270486429</v>
      </c>
      <c r="F40" s="295">
        <f t="shared" si="4"/>
        <v>19062962.589953169</v>
      </c>
      <c r="G40" s="110"/>
    </row>
    <row r="41" spans="1:7">
      <c r="A41" s="292">
        <f t="shared" si="1"/>
        <v>31</v>
      </c>
      <c r="D41" s="110"/>
      <c r="E41" s="110"/>
      <c r="F41" s="110"/>
      <c r="G41" s="110"/>
    </row>
    <row r="42" spans="1:7">
      <c r="A42" s="292">
        <f t="shared" si="1"/>
        <v>32</v>
      </c>
      <c r="B42" s="291">
        <v>6.1</v>
      </c>
      <c r="C42" s="112" t="s">
        <v>126</v>
      </c>
      <c r="D42" s="113">
        <f>'Total Adj'!$AB40</f>
        <v>-78582.625805387739</v>
      </c>
      <c r="E42" s="113">
        <f>'Total Adj'!$AB67</f>
        <v>273209.90369618993</v>
      </c>
      <c r="F42" s="113">
        <f t="shared" si="0"/>
        <v>160793.69322908088</v>
      </c>
      <c r="G42" s="110" t="s">
        <v>318</v>
      </c>
    </row>
    <row r="43" spans="1:7">
      <c r="A43" s="292">
        <f t="shared" si="1"/>
        <v>33</v>
      </c>
      <c r="B43" s="291"/>
      <c r="C43" s="294" t="s">
        <v>328</v>
      </c>
      <c r="D43" s="295">
        <f>SUM(D42)</f>
        <v>-78582.625805387739</v>
      </c>
      <c r="E43" s="295">
        <f t="shared" ref="E43:F43" si="5">SUM(E42)</f>
        <v>273209.90369618993</v>
      </c>
      <c r="F43" s="295">
        <f t="shared" si="5"/>
        <v>160793.69322908088</v>
      </c>
      <c r="G43" s="110"/>
    </row>
    <row r="44" spans="1:7">
      <c r="A44" s="292">
        <f t="shared" si="1"/>
        <v>34</v>
      </c>
      <c r="D44" s="110"/>
      <c r="E44" s="110"/>
      <c r="F44" s="110"/>
      <c r="G44" s="110"/>
    </row>
    <row r="45" spans="1:7">
      <c r="A45" s="292">
        <f t="shared" si="1"/>
        <v>35</v>
      </c>
      <c r="B45" s="291">
        <v>7.1</v>
      </c>
      <c r="C45" s="112" t="s">
        <v>127</v>
      </c>
      <c r="D45" s="110">
        <f>'Total Adj'!$AC40</f>
        <v>-380692.37042456953</v>
      </c>
      <c r="E45" s="110">
        <f>'Total Adj'!$AC67</f>
        <v>0</v>
      </c>
      <c r="F45" s="110">
        <f t="shared" si="0"/>
        <v>613792.25517077465</v>
      </c>
      <c r="G45" s="110" t="s">
        <v>319</v>
      </c>
    </row>
    <row r="46" spans="1:7">
      <c r="A46" s="292">
        <f t="shared" si="1"/>
        <v>36</v>
      </c>
      <c r="B46" s="291">
        <v>7.2</v>
      </c>
      <c r="C46" s="112" t="s">
        <v>269</v>
      </c>
      <c r="D46" s="110">
        <f>'Total Adj'!$AD40</f>
        <v>786766.39813783229</v>
      </c>
      <c r="E46" s="110">
        <f>'Total Adj'!$AD67</f>
        <v>0</v>
      </c>
      <c r="F46" s="110">
        <f>-(D46-(E46*Overall_ROR))/gross_up_factor</f>
        <v>-1268507.4861548657</v>
      </c>
      <c r="G46" s="110" t="s">
        <v>319</v>
      </c>
    </row>
    <row r="47" spans="1:7">
      <c r="A47" s="292">
        <f t="shared" si="1"/>
        <v>37</v>
      </c>
      <c r="B47" s="291">
        <v>7.3</v>
      </c>
      <c r="C47" s="112" t="s">
        <v>128</v>
      </c>
      <c r="D47" s="110">
        <f>'Total Adj'!$AE40</f>
        <v>296778.81346373697</v>
      </c>
      <c r="E47" s="110">
        <f>'Total Adj'!$AE67</f>
        <v>-222584.42473664155</v>
      </c>
      <c r="F47" s="110">
        <f t="shared" si="0"/>
        <v>-506274.84632854431</v>
      </c>
      <c r="G47" s="110" t="s">
        <v>319</v>
      </c>
    </row>
    <row r="48" spans="1:7">
      <c r="A48" s="292">
        <f t="shared" si="1"/>
        <v>38</v>
      </c>
      <c r="B48" s="291">
        <v>7.4</v>
      </c>
      <c r="C48" s="112" t="s">
        <v>258</v>
      </c>
      <c r="D48" s="110">
        <f>'Total Adj'!$AF40</f>
        <v>-1132118.2339999997</v>
      </c>
      <c r="E48" s="110">
        <f>'Total Adj'!$AF67</f>
        <v>0</v>
      </c>
      <c r="F48" s="110">
        <f>-(D48-(E48*Overall_ROR))/gross_up_factor</f>
        <v>1825320.0167679728</v>
      </c>
      <c r="G48" s="110" t="s">
        <v>319</v>
      </c>
    </row>
    <row r="49" spans="1:7">
      <c r="A49" s="292">
        <f t="shared" si="1"/>
        <v>39</v>
      </c>
      <c r="B49" s="291">
        <v>7.5</v>
      </c>
      <c r="C49" s="112" t="s">
        <v>240</v>
      </c>
      <c r="D49" s="110">
        <f>'Total Adj'!$AG40</f>
        <v>83729.110166808881</v>
      </c>
      <c r="E49" s="110">
        <f>'Total Adj'!$AG67</f>
        <v>0</v>
      </c>
      <c r="F49" s="110">
        <f t="shared" si="0"/>
        <v>-134996.87239702835</v>
      </c>
      <c r="G49" s="110" t="s">
        <v>319</v>
      </c>
    </row>
    <row r="50" spans="1:7">
      <c r="A50" s="292">
        <f t="shared" si="1"/>
        <v>40</v>
      </c>
      <c r="B50" s="292" t="s">
        <v>310</v>
      </c>
      <c r="C50" s="112" t="s">
        <v>241</v>
      </c>
      <c r="D50" s="110">
        <f>'Total Adj'!$AH40+'Total Adj'!$AI40</f>
        <v>-396343.93645358831</v>
      </c>
      <c r="E50" s="110">
        <f>'Total Adj'!$AH67+'Total Adj'!$AI67</f>
        <v>-2089738.2646262255</v>
      </c>
      <c r="F50" s="110">
        <f t="shared" si="0"/>
        <v>378243.86884142732</v>
      </c>
      <c r="G50" s="110" t="s">
        <v>341</v>
      </c>
    </row>
    <row r="51" spans="1:7">
      <c r="A51" s="292">
        <f t="shared" si="1"/>
        <v>41</v>
      </c>
      <c r="B51" s="291">
        <v>7.7</v>
      </c>
      <c r="C51" s="112" t="s">
        <v>243</v>
      </c>
      <c r="D51" s="110">
        <f>'Total Adj'!$AJ40</f>
        <v>1877339</v>
      </c>
      <c r="E51" s="110">
        <f>'Total Adj'!$AJ67</f>
        <v>953690</v>
      </c>
      <c r="F51" s="110">
        <f t="shared" si="0"/>
        <v>-2907829.9888750953</v>
      </c>
      <c r="G51" s="110" t="s">
        <v>320</v>
      </c>
    </row>
    <row r="52" spans="1:7">
      <c r="A52" s="292">
        <f t="shared" si="1"/>
        <v>42</v>
      </c>
      <c r="B52" s="291">
        <v>7.8</v>
      </c>
      <c r="C52" s="112" t="s">
        <v>262</v>
      </c>
      <c r="D52" s="113">
        <f>'Total Adj'!$AK40</f>
        <v>-20913</v>
      </c>
      <c r="E52" s="113">
        <f>'Total Adj'!$AK67</f>
        <v>-773349.3887389946</v>
      </c>
      <c r="F52" s="113">
        <f t="shared" si="0"/>
        <v>-62790.001593599445</v>
      </c>
      <c r="G52" s="110" t="s">
        <v>320</v>
      </c>
    </row>
    <row r="53" spans="1:7">
      <c r="A53" s="292">
        <f t="shared" si="1"/>
        <v>43</v>
      </c>
      <c r="B53" s="291"/>
      <c r="C53" s="294" t="s">
        <v>329</v>
      </c>
      <c r="D53" s="295">
        <f>SUM(D45:D52)</f>
        <v>1114545.7808902205</v>
      </c>
      <c r="E53" s="295">
        <f t="shared" ref="E53:F53" si="6">SUM(E45:E52)</f>
        <v>-2131982.0781018613</v>
      </c>
      <c r="F53" s="295">
        <f t="shared" si="6"/>
        <v>-2063043.054568958</v>
      </c>
      <c r="G53" s="110"/>
    </row>
    <row r="54" spans="1:7">
      <c r="A54" s="292">
        <f t="shared" si="1"/>
        <v>44</v>
      </c>
      <c r="D54" s="110"/>
      <c r="E54" s="110"/>
      <c r="F54" s="110"/>
      <c r="G54" s="110"/>
    </row>
    <row r="55" spans="1:7">
      <c r="A55" s="292">
        <f t="shared" si="1"/>
        <v>45</v>
      </c>
      <c r="B55" s="291">
        <v>8.1</v>
      </c>
      <c r="C55" s="112" t="s">
        <v>103</v>
      </c>
      <c r="D55" s="110">
        <f>'Total Adj'!$AL40</f>
        <v>-6548.163818181818</v>
      </c>
      <c r="E55" s="110">
        <f>'Total Adj'!$AL67</f>
        <v>-3291205.6015833332</v>
      </c>
      <c r="F55" s="110">
        <f t="shared" si="0"/>
        <v>-400159.85963975976</v>
      </c>
      <c r="G55" s="110" t="s">
        <v>321</v>
      </c>
    </row>
    <row r="56" spans="1:7">
      <c r="A56" s="292">
        <f t="shared" si="1"/>
        <v>46</v>
      </c>
      <c r="B56" s="291">
        <v>8.1999999999999993</v>
      </c>
      <c r="C56" s="112" t="s">
        <v>130</v>
      </c>
      <c r="D56" s="110">
        <f>'Total Adj'!$AM40</f>
        <v>0</v>
      </c>
      <c r="E56" s="110">
        <f>'Total Adj'!$AM67</f>
        <v>32582682.633573584</v>
      </c>
      <c r="F56" s="110">
        <f t="shared" si="0"/>
        <v>4066071.6763758534</v>
      </c>
      <c r="G56" s="110" t="s">
        <v>321</v>
      </c>
    </row>
    <row r="57" spans="1:7">
      <c r="A57" s="292">
        <f t="shared" si="1"/>
        <v>47</v>
      </c>
      <c r="B57" s="291">
        <v>8.3000000000000007</v>
      </c>
      <c r="C57" s="112" t="s">
        <v>131</v>
      </c>
      <c r="D57" s="110">
        <f>'Total Adj'!$AN40</f>
        <v>-220086.03398960872</v>
      </c>
      <c r="E57" s="110">
        <f>'Total Adj'!$AN67</f>
        <v>-97120.704204546346</v>
      </c>
      <c r="F57" s="110">
        <f t="shared" si="0"/>
        <v>342725.91052380059</v>
      </c>
      <c r="G57" s="110" t="s">
        <v>321</v>
      </c>
    </row>
    <row r="58" spans="1:7">
      <c r="A58" s="292">
        <f t="shared" si="1"/>
        <v>48</v>
      </c>
      <c r="B58" s="291">
        <v>8.4</v>
      </c>
      <c r="C58" s="112" t="s">
        <v>132</v>
      </c>
      <c r="D58" s="110">
        <f>'Total Adj'!$AO40</f>
        <v>0</v>
      </c>
      <c r="E58" s="110">
        <f>'Total Adj'!$AO67</f>
        <v>-293988.17735592474</v>
      </c>
      <c r="F58" s="110">
        <f t="shared" si="0"/>
        <v>-36687.494844410263</v>
      </c>
      <c r="G58" s="110" t="s">
        <v>321</v>
      </c>
    </row>
    <row r="59" spans="1:7">
      <c r="A59" s="292">
        <f t="shared" si="1"/>
        <v>49</v>
      </c>
      <c r="B59" s="291">
        <v>8.5</v>
      </c>
      <c r="C59" s="112" t="s">
        <v>343</v>
      </c>
      <c r="D59" s="110">
        <f>'Total Adj'!$AP40</f>
        <v>17990.552799178593</v>
      </c>
      <c r="E59" s="110">
        <f>'Total Adj'!$AP67</f>
        <v>-423015.57377275266</v>
      </c>
      <c r="F59" s="110">
        <f t="shared" si="0"/>
        <v>-81795.395593875903</v>
      </c>
      <c r="G59" s="110" t="s">
        <v>321</v>
      </c>
    </row>
    <row r="60" spans="1:7">
      <c r="A60" s="292">
        <f t="shared" si="1"/>
        <v>50</v>
      </c>
      <c r="B60" s="292" t="s">
        <v>311</v>
      </c>
      <c r="C60" s="112" t="s">
        <v>244</v>
      </c>
      <c r="D60" s="110">
        <f>'Total Adj'!$AQ40+'Total Adj'!$AR40+'Total Adj'!$AS40</f>
        <v>-71784.749346106531</v>
      </c>
      <c r="E60" s="110">
        <f>'Total Adj'!$AQ67+'Total Adj'!$AR67+'Total Adj'!$AS67</f>
        <v>-20525786.101863846</v>
      </c>
      <c r="F60" s="110">
        <f t="shared" si="0"/>
        <v>-2445723.5137580498</v>
      </c>
      <c r="G60" s="110" t="s">
        <v>342</v>
      </c>
    </row>
    <row r="61" spans="1:7">
      <c r="A61" s="292">
        <f t="shared" si="1"/>
        <v>51</v>
      </c>
      <c r="B61" s="291">
        <v>8.6999999999999993</v>
      </c>
      <c r="C61" s="112" t="s">
        <v>137</v>
      </c>
      <c r="D61" s="110">
        <f>'Total Adj'!$AT40</f>
        <v>299506.03828321683</v>
      </c>
      <c r="E61" s="110">
        <f>'Total Adj'!$AT67</f>
        <v>-315733.83958087338</v>
      </c>
      <c r="F61" s="110">
        <f>-(D61-(E61*Overall_ROR))/gross_up_factor</f>
        <v>-522296.30534926796</v>
      </c>
      <c r="G61" s="110" t="s">
        <v>322</v>
      </c>
    </row>
    <row r="62" spans="1:7">
      <c r="A62" s="292">
        <f t="shared" si="1"/>
        <v>52</v>
      </c>
      <c r="B62" s="291">
        <v>8.8000000000000007</v>
      </c>
      <c r="C62" s="112" t="s">
        <v>249</v>
      </c>
      <c r="D62" s="110">
        <f>'Total Adj'!$AU40</f>
        <v>-1935442.56</v>
      </c>
      <c r="E62" s="110">
        <f>'Total Adj'!$AU67</f>
        <v>-1356953.3966253332</v>
      </c>
      <c r="F62" s="110">
        <f t="shared" si="0"/>
        <v>2951186.4422894721</v>
      </c>
      <c r="G62" s="110" t="s">
        <v>322</v>
      </c>
    </row>
    <row r="63" spans="1:7">
      <c r="A63" s="292">
        <f t="shared" si="1"/>
        <v>53</v>
      </c>
      <c r="B63" s="291">
        <v>8.9</v>
      </c>
      <c r="C63" s="112" t="s">
        <v>250</v>
      </c>
      <c r="D63" s="110">
        <f>'Total Adj'!$AV40</f>
        <v>166473.91694577364</v>
      </c>
      <c r="E63" s="110">
        <f>'Total Adj'!$AV67</f>
        <v>1078475.3317584428</v>
      </c>
      <c r="F63" s="110">
        <f t="shared" si="0"/>
        <v>-133821.20546840716</v>
      </c>
      <c r="G63" s="110" t="s">
        <v>322</v>
      </c>
    </row>
    <row r="64" spans="1:7">
      <c r="A64" s="292">
        <f t="shared" si="1"/>
        <v>54</v>
      </c>
      <c r="B64" s="291">
        <v>8.1</v>
      </c>
      <c r="C64" s="112" t="s">
        <v>276</v>
      </c>
      <c r="D64" s="113">
        <f>'Total Adj'!$AW40</f>
        <v>59960.22929765837</v>
      </c>
      <c r="E64" s="113">
        <f>'Total Adj'!$AW67</f>
        <v>-36215.42239254131</v>
      </c>
      <c r="F64" s="113">
        <f>-(D64-(E64*Overall_ROR))/gross_up_factor</f>
        <v>-101193.59429702058</v>
      </c>
      <c r="G64" s="110" t="s">
        <v>322</v>
      </c>
    </row>
    <row r="65" spans="1:7">
      <c r="A65" s="292">
        <f t="shared" si="1"/>
        <v>55</v>
      </c>
      <c r="B65" s="291"/>
      <c r="C65" s="294" t="s">
        <v>330</v>
      </c>
      <c r="D65" s="295">
        <f>SUM(D55:D64)</f>
        <v>-1689930.7698280697</v>
      </c>
      <c r="E65" s="295">
        <f t="shared" ref="E65:F65" si="7">SUM(E55:E64)</f>
        <v>7321139.1479528751</v>
      </c>
      <c r="F65" s="295">
        <f t="shared" si="7"/>
        <v>3638306.6602383344</v>
      </c>
      <c r="G65" s="110"/>
    </row>
    <row r="66" spans="1:7">
      <c r="A66" s="292">
        <f t="shared" si="1"/>
        <v>56</v>
      </c>
      <c r="D66" s="110"/>
      <c r="E66" s="110"/>
      <c r="F66" s="110"/>
      <c r="G66" s="110"/>
    </row>
    <row r="67" spans="1:7">
      <c r="A67" s="292">
        <f t="shared" si="1"/>
        <v>57</v>
      </c>
      <c r="B67" s="292" t="s">
        <v>312</v>
      </c>
      <c r="C67" s="112" t="s">
        <v>139</v>
      </c>
      <c r="D67" s="113">
        <f>'Total Adj'!$AX40+'Total Adj'!$AY40</f>
        <v>1779257.7897174992</v>
      </c>
      <c r="E67" s="113">
        <f>'Total Adj'!$AX67+'Total Adj'!$AY67</f>
        <v>-8024550.6501878975</v>
      </c>
      <c r="F67" s="113">
        <f>-(D67-(E67*Overall_ROR))/gross_up_factor</f>
        <v>-3870109.4917079834</v>
      </c>
      <c r="G67" s="110" t="s">
        <v>324</v>
      </c>
    </row>
    <row r="68" spans="1:7">
      <c r="A68" s="292">
        <f t="shared" si="1"/>
        <v>58</v>
      </c>
      <c r="C68" s="294" t="s">
        <v>331</v>
      </c>
      <c r="D68" s="295">
        <f>SUM(D67)</f>
        <v>1779257.7897174992</v>
      </c>
      <c r="E68" s="295">
        <f t="shared" ref="E68:F68" si="8">SUM(E67)</f>
        <v>-8024550.6501878975</v>
      </c>
      <c r="F68" s="295">
        <f t="shared" si="8"/>
        <v>-3870109.4917079834</v>
      </c>
      <c r="G68" s="110"/>
    </row>
    <row r="69" spans="1:7">
      <c r="A69" s="292">
        <f t="shared" si="1"/>
        <v>59</v>
      </c>
      <c r="D69" s="297"/>
      <c r="E69" s="297"/>
      <c r="F69" s="297"/>
      <c r="G69" s="110"/>
    </row>
    <row r="70" spans="1:7">
      <c r="A70" s="292">
        <f t="shared" si="1"/>
        <v>60</v>
      </c>
      <c r="C70" s="299" t="s">
        <v>340</v>
      </c>
      <c r="D70" s="298">
        <f>D18+D33+D40+D43+D53+D65+D68</f>
        <v>19232684.497932468</v>
      </c>
      <c r="E70" s="298">
        <f>E18+E33+E40+E43+E53+E65+E68</f>
        <v>-7014936.0048623746</v>
      </c>
      <c r="F70" s="298">
        <f>F18+F33+F40+F43+F53+F65+F68</f>
        <v>-31884366.355559751</v>
      </c>
      <c r="G70" s="110"/>
    </row>
    <row r="71" spans="1:7">
      <c r="A71" s="292">
        <f t="shared" si="1"/>
        <v>61</v>
      </c>
      <c r="C71" s="299"/>
      <c r="D71" s="298"/>
      <c r="E71" s="298"/>
      <c r="F71" s="298"/>
      <c r="G71" s="110"/>
    </row>
    <row r="72" spans="1:7" s="111" customFormat="1">
      <c r="A72" s="292">
        <f t="shared" si="1"/>
        <v>62</v>
      </c>
      <c r="C72" s="309" t="s">
        <v>274</v>
      </c>
      <c r="D72" s="309">
        <f>D8+D70</f>
        <v>58589352.497932464</v>
      </c>
      <c r="E72" s="309">
        <f>E8+E70</f>
        <v>750495840.99513757</v>
      </c>
      <c r="F72" s="309">
        <f>F8+F70</f>
        <v>-807723.59432601556</v>
      </c>
      <c r="G72" s="107" t="s">
        <v>281</v>
      </c>
    </row>
    <row r="73" spans="1:7">
      <c r="A73" s="292">
        <f t="shared" si="1"/>
        <v>63</v>
      </c>
      <c r="C73" s="299"/>
      <c r="D73" s="298"/>
      <c r="E73" s="298"/>
      <c r="F73" s="298"/>
      <c r="G73" s="110"/>
    </row>
    <row r="74" spans="1:7">
      <c r="A74" s="292">
        <f t="shared" si="1"/>
        <v>64</v>
      </c>
      <c r="C74" s="299"/>
      <c r="D74" s="298"/>
      <c r="E74" s="298"/>
      <c r="F74" s="298"/>
      <c r="G74" s="110"/>
    </row>
    <row r="75" spans="1:7">
      <c r="A75" s="292">
        <f t="shared" si="1"/>
        <v>65</v>
      </c>
      <c r="B75" s="302" t="s">
        <v>224</v>
      </c>
    </row>
    <row r="76" spans="1:7">
      <c r="A76" s="292">
        <f t="shared" si="1"/>
        <v>66</v>
      </c>
      <c r="B76" s="302" t="s">
        <v>280</v>
      </c>
    </row>
    <row r="77" spans="1:7">
      <c r="A77" s="292">
        <f t="shared" si="1"/>
        <v>67</v>
      </c>
      <c r="B77" s="302" t="s">
        <v>282</v>
      </c>
    </row>
  </sheetData>
  <mergeCells count="1">
    <mergeCell ref="A3:G4"/>
  </mergeCells>
  <pageMargins left="1" right="0.5" top="0.75" bottom="0.75" header="0.3" footer="0.3"/>
  <pageSetup scale="79" orientation="portrait" r:id="rId1"/>
  <headerFooter>
    <oddHeader>&amp;RExhibit No.__(RBD-2)
Page &amp;P</oddHeader>
  </headerFooter>
</worksheet>
</file>

<file path=xl/worksheets/sheet25.xml><?xml version="1.0" encoding="utf-8"?>
<worksheet xmlns="http://schemas.openxmlformats.org/spreadsheetml/2006/main" xmlns:r="http://schemas.openxmlformats.org/officeDocument/2006/relationships">
  <dimension ref="A1:Q84"/>
  <sheetViews>
    <sheetView view="pageBreakPreview" topLeftCell="C1" zoomScaleNormal="100" zoomScaleSheetLayoutView="100" workbookViewId="0">
      <selection activeCell="F12" sqref="F12"/>
    </sheetView>
  </sheetViews>
  <sheetFormatPr defaultRowHeight="11.25"/>
  <cols>
    <col min="1" max="1" width="3.42578125" style="175" customWidth="1"/>
    <col min="2" max="2" width="28" style="175" customWidth="1"/>
    <col min="3" max="3" width="12.28515625" style="175" customWidth="1"/>
    <col min="4" max="4" width="3.28515625" style="175" customWidth="1"/>
    <col min="5" max="10" width="11.85546875" style="175" customWidth="1"/>
    <col min="11" max="11" width="10.140625" style="175" customWidth="1"/>
    <col min="12" max="12" width="3" style="175" customWidth="1"/>
    <col min="13" max="13" width="11.85546875" style="175" customWidth="1"/>
    <col min="14" max="14" width="3.140625" style="175" customWidth="1"/>
    <col min="15" max="15" width="11.85546875" style="175" customWidth="1"/>
    <col min="16" max="16" width="11.85546875" style="177" hidden="1" customWidth="1"/>
    <col min="17" max="17" width="0" style="177" hidden="1" customWidth="1"/>
    <col min="18" max="16384" width="9.140625" style="175"/>
  </cols>
  <sheetData>
    <row r="1" spans="1:17" ht="12">
      <c r="A1" s="173" t="s">
        <v>52</v>
      </c>
      <c r="B1" s="174"/>
      <c r="E1" s="176"/>
      <c r="F1" s="176"/>
      <c r="G1" s="176"/>
      <c r="H1" s="176"/>
      <c r="I1" s="176"/>
      <c r="J1" s="176"/>
      <c r="K1" s="176"/>
      <c r="L1" s="176"/>
      <c r="M1" s="176"/>
      <c r="N1" s="176"/>
      <c r="O1" s="176"/>
    </row>
    <row r="2" spans="1:17" ht="12">
      <c r="A2" s="869" t="s">
        <v>284</v>
      </c>
      <c r="B2" s="870"/>
      <c r="E2" s="176"/>
      <c r="F2" s="176"/>
      <c r="G2" s="176"/>
      <c r="H2" s="176"/>
      <c r="I2" s="176"/>
      <c r="J2" s="176"/>
      <c r="K2" s="176"/>
      <c r="L2" s="176"/>
      <c r="M2" s="176"/>
      <c r="N2" s="176"/>
      <c r="O2" s="176"/>
    </row>
    <row r="3" spans="1:17" ht="12">
      <c r="A3" s="869" t="s">
        <v>285</v>
      </c>
      <c r="B3" s="870"/>
      <c r="E3" s="176"/>
      <c r="F3" s="176"/>
      <c r="G3" s="176"/>
      <c r="H3" s="176"/>
      <c r="I3" s="176"/>
      <c r="J3" s="176"/>
      <c r="K3" s="176"/>
      <c r="L3" s="176"/>
      <c r="M3" s="176"/>
      <c r="N3" s="176"/>
      <c r="O3" s="176"/>
    </row>
    <row r="4" spans="1:17" ht="12">
      <c r="A4" s="178" t="s">
        <v>308</v>
      </c>
      <c r="B4" s="174"/>
      <c r="E4" s="176"/>
      <c r="F4" s="176"/>
      <c r="G4" s="176"/>
      <c r="H4" s="176"/>
      <c r="I4" s="176"/>
      <c r="J4" s="176"/>
      <c r="K4" s="176"/>
      <c r="L4" s="176"/>
      <c r="M4" s="176"/>
      <c r="N4" s="176"/>
      <c r="O4" s="176"/>
    </row>
    <row r="5" spans="1:17" ht="12.75">
      <c r="A5" s="179"/>
      <c r="E5" s="176"/>
      <c r="F5" s="176"/>
      <c r="G5" s="176"/>
      <c r="H5" s="176"/>
      <c r="I5" s="176"/>
      <c r="J5" s="176"/>
      <c r="K5" s="176"/>
      <c r="L5" s="176"/>
      <c r="M5" s="176"/>
      <c r="N5" s="176"/>
      <c r="O5" s="176"/>
    </row>
    <row r="6" spans="1:17">
      <c r="A6" s="180"/>
      <c r="C6" s="180"/>
      <c r="K6" s="181" t="s">
        <v>286</v>
      </c>
      <c r="L6" s="182"/>
      <c r="M6" s="182"/>
      <c r="P6" s="175"/>
      <c r="Q6" s="175"/>
    </row>
    <row r="7" spans="1:17">
      <c r="C7" s="183"/>
      <c r="D7" s="184"/>
      <c r="E7" s="181" t="s">
        <v>287</v>
      </c>
      <c r="F7" s="182"/>
      <c r="G7" s="182"/>
      <c r="H7" s="182"/>
      <c r="I7" s="182"/>
      <c r="J7" s="182"/>
      <c r="M7" s="185" t="s">
        <v>288</v>
      </c>
      <c r="P7" s="186" t="s">
        <v>289</v>
      </c>
    </row>
    <row r="8" spans="1:17">
      <c r="C8" s="185"/>
      <c r="D8" s="184"/>
      <c r="E8" s="185" t="s">
        <v>290</v>
      </c>
      <c r="F8" s="185" t="s">
        <v>291</v>
      </c>
      <c r="G8" s="185" t="s">
        <v>292</v>
      </c>
      <c r="H8" s="185" t="s">
        <v>37</v>
      </c>
      <c r="I8" s="185" t="s">
        <v>293</v>
      </c>
      <c r="J8" s="185" t="s">
        <v>294</v>
      </c>
      <c r="K8" s="234" t="s">
        <v>295</v>
      </c>
      <c r="L8" s="184"/>
      <c r="M8" s="185" t="s">
        <v>296</v>
      </c>
      <c r="P8" s="177" t="s">
        <v>297</v>
      </c>
    </row>
    <row r="9" spans="1:17" ht="45">
      <c r="C9" s="187" t="s">
        <v>309</v>
      </c>
      <c r="D9" s="188"/>
      <c r="E9" s="187" t="s">
        <v>298</v>
      </c>
      <c r="F9" s="187" t="s">
        <v>299</v>
      </c>
      <c r="G9" s="187" t="s">
        <v>300</v>
      </c>
      <c r="H9" s="187" t="s">
        <v>301</v>
      </c>
      <c r="I9" s="187" t="s">
        <v>302</v>
      </c>
      <c r="J9" s="187" t="s">
        <v>303</v>
      </c>
      <c r="K9" s="187" t="s">
        <v>139</v>
      </c>
      <c r="L9" s="188"/>
      <c r="M9" s="187" t="s">
        <v>304</v>
      </c>
      <c r="O9" s="187" t="s">
        <v>305</v>
      </c>
      <c r="P9" s="189" t="s">
        <v>306</v>
      </c>
    </row>
    <row r="10" spans="1:17">
      <c r="A10" s="190">
        <v>1</v>
      </c>
      <c r="B10" s="190" t="s">
        <v>56</v>
      </c>
    </row>
    <row r="11" spans="1:17">
      <c r="A11" s="190">
        <v>2</v>
      </c>
      <c r="B11" s="190" t="s">
        <v>57</v>
      </c>
      <c r="C11" s="107">
        <f>Summary!B9</f>
        <v>256639553.00999802</v>
      </c>
      <c r="D11" s="191"/>
      <c r="E11" s="107">
        <f>'Page 1.4'!D6</f>
        <v>49416669.589999989</v>
      </c>
      <c r="F11" s="107">
        <f>'Page 1.4'!E6</f>
        <v>0</v>
      </c>
      <c r="G11" s="107">
        <f>'Page 1.4'!F6</f>
        <v>0</v>
      </c>
      <c r="H11" s="107">
        <f>'Page 1.4'!G6</f>
        <v>0</v>
      </c>
      <c r="I11" s="107">
        <f>'Page 1.4'!H6</f>
        <v>0</v>
      </c>
      <c r="J11" s="107">
        <f>'Page 1.4'!I6</f>
        <v>0</v>
      </c>
      <c r="K11" s="107">
        <f>'Page 1.4'!J6</f>
        <v>0</v>
      </c>
      <c r="M11" s="107">
        <f>SUM(E11:L11)</f>
        <v>49416669.589999989</v>
      </c>
      <c r="O11" s="192">
        <f>+C11+M11</f>
        <v>306056222.599998</v>
      </c>
      <c r="P11" s="193">
        <v>271765424.50999999</v>
      </c>
      <c r="Q11" s="193">
        <f>O11-P11</f>
        <v>34290798.089998007</v>
      </c>
    </row>
    <row r="12" spans="1:17">
      <c r="A12" s="190">
        <v>3</v>
      </c>
      <c r="B12" s="190" t="s">
        <v>58</v>
      </c>
      <c r="C12" s="107">
        <f>Summary!B10</f>
        <v>0</v>
      </c>
      <c r="D12" s="191"/>
      <c r="E12" s="107">
        <f>'Page 1.4'!D7</f>
        <v>0</v>
      </c>
      <c r="F12" s="107">
        <f>'Page 1.4'!E7</f>
        <v>0</v>
      </c>
      <c r="G12" s="107">
        <f>'Page 1.4'!F7</f>
        <v>0</v>
      </c>
      <c r="H12" s="107">
        <f>'Page 1.4'!G7</f>
        <v>0</v>
      </c>
      <c r="I12" s="107">
        <f>'Page 1.4'!H7</f>
        <v>0</v>
      </c>
      <c r="J12" s="107">
        <f>'Page 1.4'!I7</f>
        <v>0</v>
      </c>
      <c r="K12" s="107">
        <f>'Page 1.4'!J7</f>
        <v>0</v>
      </c>
      <c r="M12" s="107">
        <f>SUM(E12:L12)</f>
        <v>0</v>
      </c>
      <c r="O12" s="192">
        <f>+C12+M12</f>
        <v>0</v>
      </c>
      <c r="P12" s="193">
        <v>0</v>
      </c>
      <c r="Q12" s="193">
        <f t="shared" ref="Q12:Q66" si="0">O12-P12</f>
        <v>0</v>
      </c>
    </row>
    <row r="13" spans="1:17">
      <c r="A13" s="190">
        <v>4</v>
      </c>
      <c r="B13" s="190" t="s">
        <v>59</v>
      </c>
      <c r="C13" s="107">
        <f>Summary!B11</f>
        <v>74513001.340099305</v>
      </c>
      <c r="D13" s="191"/>
      <c r="E13" s="107">
        <f>'Page 1.4'!D8</f>
        <v>0</v>
      </c>
      <c r="F13" s="107">
        <f>'Page 1.4'!E8</f>
        <v>0</v>
      </c>
      <c r="G13" s="107">
        <f>'Page 1.4'!F8</f>
        <v>-32050019.618184611</v>
      </c>
      <c r="H13" s="107">
        <f>'Page 1.4'!G8</f>
        <v>0</v>
      </c>
      <c r="I13" s="107">
        <f>'Page 1.4'!H8</f>
        <v>0</v>
      </c>
      <c r="J13" s="107">
        <f>'Page 1.4'!I8</f>
        <v>0</v>
      </c>
      <c r="K13" s="107">
        <f>'Page 1.4'!J8</f>
        <v>-742252.92049907148</v>
      </c>
      <c r="M13" s="107">
        <f>SUM(E13:L13)</f>
        <v>-32792272.538683683</v>
      </c>
      <c r="O13" s="192">
        <f>+C13+M13</f>
        <v>41720728.801415622</v>
      </c>
      <c r="P13" s="193">
        <v>38970998.203098312</v>
      </c>
      <c r="Q13" s="193">
        <f t="shared" si="0"/>
        <v>2749730.5983173102</v>
      </c>
    </row>
    <row r="14" spans="1:17">
      <c r="A14" s="190">
        <v>5</v>
      </c>
      <c r="B14" s="190" t="s">
        <v>60</v>
      </c>
      <c r="C14" s="107">
        <f>Summary!B12</f>
        <v>25032633.964374781</v>
      </c>
      <c r="D14" s="191"/>
      <c r="E14" s="107">
        <f>'Page 1.4'!D9</f>
        <v>-6364745.672551631</v>
      </c>
      <c r="F14" s="107">
        <f>'Page 1.4'!E9</f>
        <v>-8855002</v>
      </c>
      <c r="G14" s="107">
        <f>'Page 1.4'!F9</f>
        <v>1100536.4799877179</v>
      </c>
      <c r="H14" s="107">
        <f>'Page 1.4'!G9</f>
        <v>0</v>
      </c>
      <c r="I14" s="107">
        <f>'Page 1.4'!H9</f>
        <v>0</v>
      </c>
      <c r="J14" s="107">
        <f>'Page 1.4'!I9</f>
        <v>-3000000</v>
      </c>
      <c r="K14" s="107">
        <f>'Page 1.4'!J9</f>
        <v>-19237.377670185408</v>
      </c>
      <c r="M14" s="107">
        <f>SUM(E14:L14)</f>
        <v>-17138448.570234098</v>
      </c>
      <c r="O14" s="192">
        <f>+C14+M14</f>
        <v>7894185.3941406831</v>
      </c>
      <c r="P14" s="193">
        <v>6612736.0503272489</v>
      </c>
      <c r="Q14" s="193">
        <f t="shared" si="0"/>
        <v>1281449.3438134342</v>
      </c>
    </row>
    <row r="15" spans="1:17">
      <c r="A15" s="190">
        <v>6</v>
      </c>
      <c r="B15" s="190" t="s">
        <v>61</v>
      </c>
      <c r="C15" s="194">
        <f>SUM(C11:C14)</f>
        <v>356185188.31447208</v>
      </c>
      <c r="D15" s="195"/>
      <c r="E15" s="194">
        <f t="shared" ref="E15:O15" si="1">SUM(E11:E14)</f>
        <v>43051923.917448357</v>
      </c>
      <c r="F15" s="194">
        <f t="shared" si="1"/>
        <v>-8855002</v>
      </c>
      <c r="G15" s="194">
        <f t="shared" si="1"/>
        <v>-30949483.138196893</v>
      </c>
      <c r="H15" s="194">
        <f t="shared" si="1"/>
        <v>0</v>
      </c>
      <c r="I15" s="194">
        <f t="shared" si="1"/>
        <v>0</v>
      </c>
      <c r="J15" s="194">
        <f t="shared" si="1"/>
        <v>-3000000</v>
      </c>
      <c r="K15" s="194">
        <f t="shared" si="1"/>
        <v>-761490.29816925689</v>
      </c>
      <c r="M15" s="194">
        <f t="shared" si="1"/>
        <v>-514051.51891779155</v>
      </c>
      <c r="O15" s="194">
        <f t="shared" si="1"/>
        <v>355671136.79555428</v>
      </c>
      <c r="P15" s="196">
        <v>317349158.76342553</v>
      </c>
      <c r="Q15" s="193">
        <f t="shared" si="0"/>
        <v>38321978.032128751</v>
      </c>
    </row>
    <row r="16" spans="1:17" ht="12.75">
      <c r="A16" s="190">
        <v>7</v>
      </c>
      <c r="B16" s="190"/>
      <c r="C16" s="197"/>
      <c r="D16" s="191"/>
      <c r="E16" s="197"/>
      <c r="F16" s="197"/>
      <c r="G16" s="197"/>
      <c r="H16" s="197"/>
      <c r="I16" s="197"/>
      <c r="J16" s="197"/>
      <c r="K16" s="197"/>
      <c r="M16" s="197"/>
      <c r="Q16" s="193">
        <f t="shared" si="0"/>
        <v>0</v>
      </c>
    </row>
    <row r="17" spans="1:17" ht="12.75">
      <c r="A17" s="190">
        <v>8</v>
      </c>
      <c r="B17" s="190" t="s">
        <v>62</v>
      </c>
      <c r="C17" s="197"/>
      <c r="D17" s="191"/>
      <c r="E17" s="197"/>
      <c r="F17" s="197"/>
      <c r="G17" s="197"/>
      <c r="H17" s="197"/>
      <c r="I17" s="197"/>
      <c r="J17" s="197"/>
      <c r="K17" s="197"/>
      <c r="M17" s="197"/>
      <c r="Q17" s="193">
        <f t="shared" si="0"/>
        <v>0</v>
      </c>
    </row>
    <row r="18" spans="1:17">
      <c r="A18" s="190">
        <v>9</v>
      </c>
      <c r="B18" s="190" t="s">
        <v>63</v>
      </c>
      <c r="C18" s="107">
        <f>Summary!B16</f>
        <v>54286269.73826427</v>
      </c>
      <c r="D18" s="191"/>
      <c r="E18" s="107">
        <f>'Page 1.4'!D13</f>
        <v>0</v>
      </c>
      <c r="F18" s="107">
        <f>'Page 1.4'!E13</f>
        <v>28003.968153647347</v>
      </c>
      <c r="G18" s="107">
        <f>'Page 1.4'!F13</f>
        <v>778502.85572713334</v>
      </c>
      <c r="H18" s="107">
        <f>'Page 1.4'!G13</f>
        <v>0</v>
      </c>
      <c r="I18" s="107">
        <f>'Page 1.4'!H13</f>
        <v>0</v>
      </c>
      <c r="J18" s="107">
        <f>'Page 1.4'!I13</f>
        <v>0</v>
      </c>
      <c r="K18" s="107">
        <f>'Page 1.4'!J13</f>
        <v>-963921.04310683114</v>
      </c>
      <c r="M18" s="107">
        <f t="shared" ref="M18:M36" si="2">SUM(E18:L18)</f>
        <v>-157414.21922605042</v>
      </c>
      <c r="O18" s="192">
        <f t="shared" ref="O18:O27" si="3">+C18+M18</f>
        <v>54128855.519038223</v>
      </c>
      <c r="P18" s="193">
        <v>51233952.117625967</v>
      </c>
      <c r="Q18" s="193">
        <f t="shared" si="0"/>
        <v>2894903.4014122561</v>
      </c>
    </row>
    <row r="19" spans="1:17">
      <c r="A19" s="190">
        <v>10</v>
      </c>
      <c r="B19" s="190" t="s">
        <v>64</v>
      </c>
      <c r="C19" s="107">
        <f>Summary!B17</f>
        <v>0</v>
      </c>
      <c r="D19" s="191"/>
      <c r="E19" s="107">
        <f>'Page 1.4'!D14</f>
        <v>0</v>
      </c>
      <c r="F19" s="107">
        <f>'Page 1.4'!E14</f>
        <v>0</v>
      </c>
      <c r="G19" s="107">
        <f>'Page 1.4'!F14</f>
        <v>0</v>
      </c>
      <c r="H19" s="107">
        <f>'Page 1.4'!G14</f>
        <v>0</v>
      </c>
      <c r="I19" s="107">
        <f>'Page 1.4'!H14</f>
        <v>0</v>
      </c>
      <c r="J19" s="107">
        <f>'Page 1.4'!I14</f>
        <v>0</v>
      </c>
      <c r="K19" s="107">
        <f>'Page 1.4'!J14</f>
        <v>0</v>
      </c>
      <c r="M19" s="107">
        <f t="shared" si="2"/>
        <v>0</v>
      </c>
      <c r="O19" s="192">
        <f t="shared" si="3"/>
        <v>0</v>
      </c>
      <c r="P19" s="193">
        <v>0</v>
      </c>
      <c r="Q19" s="193">
        <f t="shared" si="0"/>
        <v>0</v>
      </c>
    </row>
    <row r="20" spans="1:17">
      <c r="A20" s="198">
        <v>11</v>
      </c>
      <c r="B20" s="190" t="s">
        <v>65</v>
      </c>
      <c r="C20" s="107">
        <f>Summary!B18</f>
        <v>7051085.3167272415</v>
      </c>
      <c r="D20" s="191"/>
      <c r="E20" s="107">
        <f>'Page 1.4'!D15</f>
        <v>0</v>
      </c>
      <c r="F20" s="107">
        <f>'Page 1.4'!E15</f>
        <v>7511.6307386317376</v>
      </c>
      <c r="G20" s="107">
        <f>'Page 1.4'!F15</f>
        <v>0</v>
      </c>
      <c r="H20" s="107">
        <f>'Page 1.4'!G15</f>
        <v>0</v>
      </c>
      <c r="I20" s="107">
        <f>'Page 1.4'!H15</f>
        <v>0</v>
      </c>
      <c r="J20" s="107">
        <f>'Page 1.4'!I15</f>
        <v>-107276.52971351889</v>
      </c>
      <c r="K20" s="107">
        <f>'Page 1.4'!J15</f>
        <v>-121903.35511594545</v>
      </c>
      <c r="M20" s="107">
        <f t="shared" si="2"/>
        <v>-221668.2540908326</v>
      </c>
      <c r="O20" s="192">
        <f t="shared" si="3"/>
        <v>6829417.062636409</v>
      </c>
      <c r="P20" s="193">
        <v>6365130.4740653811</v>
      </c>
      <c r="Q20" s="193">
        <f t="shared" si="0"/>
        <v>464286.58857102785</v>
      </c>
    </row>
    <row r="21" spans="1:17">
      <c r="A21" s="190">
        <v>12</v>
      </c>
      <c r="B21" s="190" t="s">
        <v>66</v>
      </c>
      <c r="C21" s="107">
        <f>Summary!B19</f>
        <v>118807031.55930433</v>
      </c>
      <c r="D21" s="191"/>
      <c r="E21" s="107">
        <f>'Page 1.4'!D16</f>
        <v>0</v>
      </c>
      <c r="F21" s="107">
        <f>'Page 1.4'!E16</f>
        <v>-78184.270951648519</v>
      </c>
      <c r="G21" s="107">
        <f>'Page 1.4'!F16</f>
        <v>-8471921.4308384247</v>
      </c>
      <c r="H21" s="107">
        <f>'Page 1.4'!G16</f>
        <v>0</v>
      </c>
      <c r="I21" s="107">
        <f>'Page 1.4'!H16</f>
        <v>0</v>
      </c>
      <c r="J21" s="107">
        <f>'Page 1.4'!I16</f>
        <v>0</v>
      </c>
      <c r="K21" s="107">
        <f>'Page 1.4'!J16</f>
        <v>-1927445.6955781446</v>
      </c>
      <c r="M21" s="107">
        <f t="shared" si="2"/>
        <v>-10477551.397368219</v>
      </c>
      <c r="O21" s="192">
        <f t="shared" si="3"/>
        <v>108329480.1619361</v>
      </c>
      <c r="P21" s="193">
        <v>113752064.68169239</v>
      </c>
      <c r="Q21" s="193">
        <f t="shared" si="0"/>
        <v>-5422584.5197562873</v>
      </c>
    </row>
    <row r="22" spans="1:17">
      <c r="A22" s="190">
        <v>13</v>
      </c>
      <c r="B22" s="190" t="s">
        <v>67</v>
      </c>
      <c r="C22" s="107">
        <f>Summary!B20</f>
        <v>29119799.086048592</v>
      </c>
      <c r="D22" s="191"/>
      <c r="E22" s="107">
        <f>'Page 1.4'!D17</f>
        <v>-65153.370885581295</v>
      </c>
      <c r="F22" s="107">
        <f>'Page 1.4'!E17</f>
        <v>153724.70817177309</v>
      </c>
      <c r="G22" s="107">
        <f>'Page 1.4'!F17</f>
        <v>-3568926.1977596208</v>
      </c>
      <c r="H22" s="107">
        <f>'Page 1.4'!G17</f>
        <v>0</v>
      </c>
      <c r="I22" s="107">
        <f>'Page 1.4'!H17</f>
        <v>0</v>
      </c>
      <c r="J22" s="107">
        <f>'Page 1.4'!I17</f>
        <v>0</v>
      </c>
      <c r="K22" s="107">
        <f>'Page 1.4'!J17</f>
        <v>-356201.44079751149</v>
      </c>
      <c r="M22" s="107">
        <f t="shared" si="2"/>
        <v>-3836556.3012709403</v>
      </c>
      <c r="O22" s="192">
        <f t="shared" si="3"/>
        <v>25283242.784777652</v>
      </c>
      <c r="P22" s="193">
        <v>28559841.28457519</v>
      </c>
      <c r="Q22" s="193">
        <f t="shared" si="0"/>
        <v>-3276598.4997975379</v>
      </c>
    </row>
    <row r="23" spans="1:17">
      <c r="A23" s="190">
        <v>14</v>
      </c>
      <c r="B23" s="190" t="s">
        <v>68</v>
      </c>
      <c r="C23" s="107">
        <f>Summary!B21</f>
        <v>11983586.234546719</v>
      </c>
      <c r="D23" s="191"/>
      <c r="E23" s="107">
        <f>'Page 1.4'!D18</f>
        <v>0</v>
      </c>
      <c r="F23" s="107">
        <f>'Page 1.4'!E18</f>
        <v>344580.41397375759</v>
      </c>
      <c r="G23" s="107">
        <f>'Page 1.4'!F18</f>
        <v>0</v>
      </c>
      <c r="H23" s="107">
        <f>'Page 1.4'!G18</f>
        <v>0</v>
      </c>
      <c r="I23" s="107">
        <f>'Page 1.4'!H18</f>
        <v>0</v>
      </c>
      <c r="J23" s="107">
        <f>'Page 1.4'!I18</f>
        <v>0</v>
      </c>
      <c r="K23" s="107">
        <f>'Page 1.4'!J18</f>
        <v>0</v>
      </c>
      <c r="M23" s="107">
        <f t="shared" si="2"/>
        <v>344580.41397375759</v>
      </c>
      <c r="O23" s="192">
        <f t="shared" si="3"/>
        <v>12328166.648520477</v>
      </c>
      <c r="P23" s="193">
        <v>13720081.656609347</v>
      </c>
      <c r="Q23" s="193">
        <f t="shared" si="0"/>
        <v>-1391915.00808887</v>
      </c>
    </row>
    <row r="24" spans="1:17">
      <c r="A24" s="190">
        <v>15</v>
      </c>
      <c r="B24" s="190" t="s">
        <v>69</v>
      </c>
      <c r="C24" s="107">
        <f>Summary!B22</f>
        <v>8088803.4130521202</v>
      </c>
      <c r="D24" s="191"/>
      <c r="E24" s="107">
        <f>'Page 1.4'!D19</f>
        <v>0</v>
      </c>
      <c r="F24" s="107">
        <f>'Page 1.4'!E19</f>
        <v>-1101526.9172180209</v>
      </c>
      <c r="G24" s="107">
        <f>'Page 1.4'!F19</f>
        <v>0</v>
      </c>
      <c r="H24" s="107">
        <f>'Page 1.4'!G19</f>
        <v>0</v>
      </c>
      <c r="I24" s="107">
        <f>'Page 1.4'!H19</f>
        <v>0</v>
      </c>
      <c r="J24" s="107">
        <f>'Page 1.4'!I19</f>
        <v>-23470.439999999988</v>
      </c>
      <c r="K24" s="107">
        <f>'Page 1.4'!J19</f>
        <v>0</v>
      </c>
      <c r="M24" s="107">
        <f t="shared" si="2"/>
        <v>-1124997.3572180208</v>
      </c>
      <c r="O24" s="192">
        <f t="shared" si="3"/>
        <v>6963806.0558340997</v>
      </c>
      <c r="P24" s="193">
        <v>8088174.8739973465</v>
      </c>
      <c r="Q24" s="193">
        <f t="shared" si="0"/>
        <v>-1124368.8181632468</v>
      </c>
    </row>
    <row r="25" spans="1:17">
      <c r="A25" s="190">
        <v>16</v>
      </c>
      <c r="B25" s="190" t="s">
        <v>70</v>
      </c>
      <c r="C25" s="107">
        <f>Summary!B23</f>
        <v>9439582.4307300914</v>
      </c>
      <c r="D25" s="191"/>
      <c r="E25" s="107">
        <f>'Page 1.4'!D20</f>
        <v>0</v>
      </c>
      <c r="F25" s="107">
        <f>'Page 1.4'!E20</f>
        <v>-8808315.0298450738</v>
      </c>
      <c r="G25" s="107">
        <f>'Page 1.4'!F20</f>
        <v>0</v>
      </c>
      <c r="H25" s="107">
        <f>'Page 1.4'!G20</f>
        <v>0</v>
      </c>
      <c r="I25" s="107">
        <f>'Page 1.4'!H20</f>
        <v>0</v>
      </c>
      <c r="J25" s="107">
        <f>'Page 1.4'!I20</f>
        <v>0</v>
      </c>
      <c r="K25" s="107">
        <f>'Page 1.4'!J20</f>
        <v>0</v>
      </c>
      <c r="M25" s="107">
        <f t="shared" si="2"/>
        <v>-8808315.0298450738</v>
      </c>
      <c r="O25" s="192">
        <f t="shared" si="3"/>
        <v>631267.40088501759</v>
      </c>
      <c r="P25" s="193">
        <v>567248.60477840831</v>
      </c>
      <c r="Q25" s="193">
        <f t="shared" si="0"/>
        <v>64018.796106609283</v>
      </c>
    </row>
    <row r="26" spans="1:17">
      <c r="A26" s="190">
        <v>17</v>
      </c>
      <c r="B26" s="190" t="s">
        <v>71</v>
      </c>
      <c r="C26" s="107">
        <f>Summary!B24</f>
        <v>0</v>
      </c>
      <c r="D26" s="191"/>
      <c r="E26" s="107">
        <f>'Page 1.4'!D21</f>
        <v>0</v>
      </c>
      <c r="F26" s="107">
        <f>'Page 1.4'!E21</f>
        <v>0</v>
      </c>
      <c r="G26" s="107">
        <f>'Page 1.4'!F21</f>
        <v>0</v>
      </c>
      <c r="H26" s="107">
        <f>'Page 1.4'!G21</f>
        <v>0</v>
      </c>
      <c r="I26" s="107">
        <f>'Page 1.4'!H21</f>
        <v>0</v>
      </c>
      <c r="J26" s="107">
        <f>'Page 1.4'!I21</f>
        <v>0</v>
      </c>
      <c r="K26" s="107">
        <f>'Page 1.4'!J21</f>
        <v>0</v>
      </c>
      <c r="M26" s="107">
        <f t="shared" si="2"/>
        <v>0</v>
      </c>
      <c r="O26" s="192">
        <f t="shared" si="3"/>
        <v>0</v>
      </c>
      <c r="P26" s="193">
        <v>0</v>
      </c>
      <c r="Q26" s="193">
        <f t="shared" si="0"/>
        <v>0</v>
      </c>
    </row>
    <row r="27" spans="1:17">
      <c r="A27" s="190">
        <v>18</v>
      </c>
      <c r="B27" s="190" t="s">
        <v>72</v>
      </c>
      <c r="C27" s="107">
        <f>Summary!B25</f>
        <v>10269546.584633965</v>
      </c>
      <c r="D27" s="191"/>
      <c r="E27" s="107">
        <f>'Page 1.4'!D22</f>
        <v>0</v>
      </c>
      <c r="F27" s="107">
        <f>'Page 1.4'!E22</f>
        <v>-730685.07725948398</v>
      </c>
      <c r="G27" s="107">
        <f>'Page 1.4'!F22</f>
        <v>0</v>
      </c>
      <c r="H27" s="107">
        <f>'Page 1.4'!G22</f>
        <v>0</v>
      </c>
      <c r="I27" s="107">
        <f>'Page 1.4'!H22</f>
        <v>0</v>
      </c>
      <c r="J27" s="107">
        <f>'Page 1.4'!I22</f>
        <v>76772.861659234259</v>
      </c>
      <c r="K27" s="107">
        <f>'Page 1.4'!J22</f>
        <v>0</v>
      </c>
      <c r="M27" s="199">
        <f t="shared" si="2"/>
        <v>-653912.21560024971</v>
      </c>
      <c r="O27" s="192">
        <f t="shared" si="3"/>
        <v>9615634.3690337148</v>
      </c>
      <c r="P27" s="193">
        <v>10777818.836707022</v>
      </c>
      <c r="Q27" s="193">
        <f t="shared" si="0"/>
        <v>-1162184.4676733073</v>
      </c>
    </row>
    <row r="28" spans="1:17">
      <c r="A28" s="190">
        <v>19</v>
      </c>
      <c r="B28" s="190" t="s">
        <v>73</v>
      </c>
      <c r="C28" s="232">
        <f>SUM(C18:C27)</f>
        <v>249045704.36330736</v>
      </c>
      <c r="D28" s="195"/>
      <c r="E28" s="232">
        <f t="shared" ref="E28:J28" si="4">SUM(E18:E27)</f>
        <v>-65153.370885581295</v>
      </c>
      <c r="F28" s="232">
        <f t="shared" si="4"/>
        <v>-10184890.574236419</v>
      </c>
      <c r="G28" s="232">
        <f t="shared" si="4"/>
        <v>-11262344.772870913</v>
      </c>
      <c r="H28" s="232">
        <f t="shared" si="4"/>
        <v>0</v>
      </c>
      <c r="I28" s="232">
        <f t="shared" si="4"/>
        <v>0</v>
      </c>
      <c r="J28" s="232">
        <f t="shared" si="4"/>
        <v>-53974.108054284618</v>
      </c>
      <c r="K28" s="232">
        <f>SUM(K18:K27)</f>
        <v>-3369471.5345984325</v>
      </c>
      <c r="M28" s="192">
        <f>SUM(M18:M27)</f>
        <v>-24935834.360645629</v>
      </c>
      <c r="O28" s="232">
        <f>SUM(O18:O27)</f>
        <v>224109870.00266171</v>
      </c>
      <c r="P28" s="201">
        <v>233064312.53005108</v>
      </c>
      <c r="Q28" s="193">
        <f t="shared" si="0"/>
        <v>-8954442.5273893774</v>
      </c>
    </row>
    <row r="29" spans="1:17">
      <c r="A29" s="190">
        <v>20</v>
      </c>
      <c r="B29" s="190" t="s">
        <v>74</v>
      </c>
      <c r="C29" s="107">
        <f>Summary!B27</f>
        <v>37836762.427732483</v>
      </c>
      <c r="D29" s="191"/>
      <c r="E29" s="107">
        <f>'Page 1.4'!D24</f>
        <v>0</v>
      </c>
      <c r="F29" s="107">
        <f>'Page 1.4'!E24</f>
        <v>-62393.007246632129</v>
      </c>
      <c r="G29" s="107">
        <f>'Page 1.4'!F24</f>
        <v>-408883.72009548731</v>
      </c>
      <c r="H29" s="107">
        <f>'Page 1.4'!G24</f>
        <v>0</v>
      </c>
      <c r="I29" s="107">
        <f>'Page 1.4'!H24</f>
        <v>0</v>
      </c>
      <c r="J29" s="107">
        <f>'Page 1.4'!I24</f>
        <v>-17990.552799178593</v>
      </c>
      <c r="K29" s="107">
        <f>'Page 1.4'!J24</f>
        <v>-299560.07775915402</v>
      </c>
      <c r="M29" s="107">
        <f t="shared" si="2"/>
        <v>-788827.3579004521</v>
      </c>
      <c r="O29" s="192">
        <f t="shared" ref="O29:O36" si="5">+C29+M29</f>
        <v>37047935.069832027</v>
      </c>
      <c r="P29" s="193">
        <v>36261383.29916583</v>
      </c>
      <c r="Q29" s="193">
        <f t="shared" si="0"/>
        <v>786551.77066619694</v>
      </c>
    </row>
    <row r="30" spans="1:17">
      <c r="A30" s="190">
        <v>21</v>
      </c>
      <c r="B30" s="190" t="s">
        <v>75</v>
      </c>
      <c r="C30" s="107">
        <f>Summary!B28</f>
        <v>4000829.4733088263</v>
      </c>
      <c r="D30" s="191"/>
      <c r="E30" s="107">
        <f>'Page 1.4'!D25</f>
        <v>0</v>
      </c>
      <c r="F30" s="107">
        <f>'Page 1.4'!E25</f>
        <v>0</v>
      </c>
      <c r="G30" s="107">
        <f>'Page 1.4'!F25</f>
        <v>0</v>
      </c>
      <c r="H30" s="107">
        <f>'Page 1.4'!G25</f>
        <v>0</v>
      </c>
      <c r="I30" s="107">
        <f>'Page 1.4'!H25</f>
        <v>0</v>
      </c>
      <c r="J30" s="107">
        <f>'Page 1.4'!I25</f>
        <v>-577160.48710398469</v>
      </c>
      <c r="K30" s="107">
        <f>'Page 1.4'!J25</f>
        <v>0</v>
      </c>
      <c r="M30" s="107">
        <f t="shared" si="2"/>
        <v>-577160.48710398469</v>
      </c>
      <c r="O30" s="192">
        <f t="shared" si="5"/>
        <v>3423668.9862048416</v>
      </c>
      <c r="P30" s="193">
        <v>3665152.1851653727</v>
      </c>
      <c r="Q30" s="193">
        <f t="shared" si="0"/>
        <v>-241483.19896053104</v>
      </c>
    </row>
    <row r="31" spans="1:17">
      <c r="A31" s="190">
        <v>22</v>
      </c>
      <c r="B31" s="190" t="s">
        <v>76</v>
      </c>
      <c r="C31" s="107">
        <f>Summary!B29</f>
        <v>17194582.105629764</v>
      </c>
      <c r="D31" s="191"/>
      <c r="E31" s="107">
        <f>'Page 1.4'!D26</f>
        <v>0</v>
      </c>
      <c r="F31" s="107">
        <f>'Page 1.4'!E26</f>
        <v>0</v>
      </c>
      <c r="G31" s="107">
        <f>'Page 1.4'!F26</f>
        <v>-46288.058459085209</v>
      </c>
      <c r="H31" s="107">
        <f>'Page 1.4'!G26</f>
        <v>0</v>
      </c>
      <c r="I31" s="107">
        <f>'Page 1.4'!H26</f>
        <v>1741720.3599999994</v>
      </c>
      <c r="J31" s="107">
        <f>'Page 1.4'!I26</f>
        <v>0</v>
      </c>
      <c r="K31" s="107">
        <f>'Page 1.4'!J26</f>
        <v>0</v>
      </c>
      <c r="M31" s="107">
        <f t="shared" si="2"/>
        <v>1695432.3015409142</v>
      </c>
      <c r="O31" s="192">
        <f t="shared" si="5"/>
        <v>18890014.407170679</v>
      </c>
      <c r="P31" s="193">
        <v>17274071.254904289</v>
      </c>
      <c r="Q31" s="193">
        <f t="shared" si="0"/>
        <v>1615943.1522663906</v>
      </c>
    </row>
    <row r="32" spans="1:17">
      <c r="A32" s="190">
        <v>23</v>
      </c>
      <c r="B32" s="190" t="s">
        <v>77</v>
      </c>
      <c r="C32" s="107">
        <f>Summary!B30</f>
        <v>-13444798.478551678</v>
      </c>
      <c r="D32" s="191"/>
      <c r="E32" s="107">
        <f>'Page 1.4'!D27</f>
        <v>14341027.588396063</v>
      </c>
      <c r="F32" s="107">
        <f>'Page 1.4'!E27</f>
        <v>25350.804635389868</v>
      </c>
      <c r="G32" s="107">
        <f>'Page 1.4'!F27</f>
        <v>-6854168.403356499</v>
      </c>
      <c r="H32" s="107">
        <f>'Page 1.4'!G27</f>
        <v>-932020.24015831109</v>
      </c>
      <c r="I32" s="107">
        <f>'Page 1.4'!H27</f>
        <v>-1518568.0222933162</v>
      </c>
      <c r="J32" s="107">
        <f>'Page 1.4'!I27</f>
        <v>-330554.24289585534</v>
      </c>
      <c r="K32" s="107">
        <f>'Page 1.4'!J27</f>
        <v>1112331.9430198302</v>
      </c>
      <c r="M32" s="107">
        <f t="shared" si="2"/>
        <v>5843399.4273473024</v>
      </c>
      <c r="O32" s="192">
        <f t="shared" si="5"/>
        <v>-7601399.0512043759</v>
      </c>
      <c r="P32" s="193">
        <v>-27893216.135399766</v>
      </c>
      <c r="Q32" s="193">
        <f t="shared" si="0"/>
        <v>20291817.08419539</v>
      </c>
    </row>
    <row r="33" spans="1:17">
      <c r="A33" s="190">
        <v>24</v>
      </c>
      <c r="B33" s="190" t="s">
        <v>78</v>
      </c>
      <c r="C33" s="107">
        <f>Summary!B31</f>
        <v>0</v>
      </c>
      <c r="D33" s="191"/>
      <c r="E33" s="107">
        <f>'Page 1.4'!D28</f>
        <v>0</v>
      </c>
      <c r="F33" s="107">
        <f>'Page 1.4'!E28</f>
        <v>0</v>
      </c>
      <c r="G33" s="107">
        <f>'Page 1.4'!F28</f>
        <v>0</v>
      </c>
      <c r="H33" s="107">
        <f>'Page 1.4'!G28</f>
        <v>0</v>
      </c>
      <c r="I33" s="107">
        <f>'Page 1.4'!H28</f>
        <v>0</v>
      </c>
      <c r="J33" s="107">
        <f>'Page 1.4'!I28</f>
        <v>0</v>
      </c>
      <c r="K33" s="107">
        <f>'Page 1.4'!J28</f>
        <v>0</v>
      </c>
      <c r="M33" s="107">
        <f t="shared" si="2"/>
        <v>0</v>
      </c>
      <c r="O33" s="192">
        <f t="shared" si="5"/>
        <v>0</v>
      </c>
      <c r="P33" s="193">
        <v>0</v>
      </c>
      <c r="Q33" s="193">
        <f t="shared" si="0"/>
        <v>0</v>
      </c>
    </row>
    <row r="34" spans="1:17">
      <c r="A34" s="190">
        <v>25</v>
      </c>
      <c r="B34" s="190" t="s">
        <v>79</v>
      </c>
      <c r="C34" s="107">
        <f>Summary!B32</f>
        <v>22579758.194182646</v>
      </c>
      <c r="D34" s="191"/>
      <c r="E34" s="107">
        <f>'Page 1.4'!D29</f>
        <v>342725.89115355402</v>
      </c>
      <c r="F34" s="107">
        <f>'Page 1.4'!E29</f>
        <v>-102491</v>
      </c>
      <c r="G34" s="107">
        <f>'Page 1.4'!F29</f>
        <v>113543.20922531039</v>
      </c>
      <c r="H34" s="107">
        <f>'Page 1.4'!G29</f>
        <v>1010602.8659636988</v>
      </c>
      <c r="I34" s="107">
        <f>'Page 1.4'!H29</f>
        <v>-1337698.118596904</v>
      </c>
      <c r="J34" s="107">
        <f>'Page 1.4'!I29</f>
        <v>-340463.93750044535</v>
      </c>
      <c r="K34" s="107">
        <f>'Page 1.4'!J29</f>
        <v>0</v>
      </c>
      <c r="M34" s="107">
        <f t="shared" si="2"/>
        <v>-313781.08975478605</v>
      </c>
      <c r="O34" s="192">
        <f t="shared" si="5"/>
        <v>22265977.104427859</v>
      </c>
      <c r="P34" s="193">
        <v>26083695.336452752</v>
      </c>
      <c r="Q34" s="193">
        <f t="shared" si="0"/>
        <v>-3817718.2320248932</v>
      </c>
    </row>
    <row r="35" spans="1:17">
      <c r="A35" s="190">
        <v>26</v>
      </c>
      <c r="B35" s="190" t="s">
        <v>80</v>
      </c>
      <c r="C35" s="107">
        <f>Summary!B33</f>
        <v>0</v>
      </c>
      <c r="D35" s="191"/>
      <c r="E35" s="107">
        <f>'Page 1.4'!D30</f>
        <v>0</v>
      </c>
      <c r="F35" s="107">
        <f>'Page 1.4'!E30</f>
        <v>0</v>
      </c>
      <c r="G35" s="107">
        <f>'Page 1.4'!F30</f>
        <v>0</v>
      </c>
      <c r="H35" s="107">
        <f>'Page 1.4'!G30</f>
        <v>0</v>
      </c>
      <c r="I35" s="107">
        <f>'Page 1.4'!H30</f>
        <v>0</v>
      </c>
      <c r="J35" s="107">
        <f>'Page 1.4'!I30</f>
        <v>0</v>
      </c>
      <c r="K35" s="107">
        <f>'Page 1.4'!J30</f>
        <v>0</v>
      </c>
      <c r="M35" s="107">
        <f t="shared" si="2"/>
        <v>0</v>
      </c>
      <c r="O35" s="192">
        <f t="shared" si="5"/>
        <v>0</v>
      </c>
      <c r="P35" s="193">
        <v>0</v>
      </c>
      <c r="Q35" s="193">
        <f t="shared" si="0"/>
        <v>0</v>
      </c>
    </row>
    <row r="36" spans="1:17">
      <c r="A36" s="190">
        <v>27</v>
      </c>
      <c r="B36" s="190" t="s">
        <v>81</v>
      </c>
      <c r="C36" s="107">
        <f>Summary!B34</f>
        <v>-384317.73504529492</v>
      </c>
      <c r="D36" s="191"/>
      <c r="E36" s="107">
        <f>'Page 1.4'!D31</f>
        <v>-695990.1299664448</v>
      </c>
      <c r="F36" s="107">
        <f>'Page 1.4'!E31</f>
        <v>0</v>
      </c>
      <c r="G36" s="107">
        <f>'Page 1.4'!F31</f>
        <v>0</v>
      </c>
      <c r="H36" s="107">
        <f>'Page 1.4'!G31</f>
        <v>0</v>
      </c>
      <c r="I36" s="107">
        <f>'Page 1.4'!H31</f>
        <v>0</v>
      </c>
      <c r="J36" s="107">
        <f>'Page 1.4'!I31</f>
        <v>10074.098181818181</v>
      </c>
      <c r="K36" s="107">
        <f>'Page 1.4'!J31</f>
        <v>15951.581451000529</v>
      </c>
      <c r="M36" s="107">
        <f t="shared" si="2"/>
        <v>-669964.45033362613</v>
      </c>
      <c r="O36" s="192">
        <f t="shared" si="5"/>
        <v>-1054282.185378921</v>
      </c>
      <c r="P36" s="193">
        <v>-544240.93044569634</v>
      </c>
      <c r="Q36" s="193">
        <f t="shared" si="0"/>
        <v>-510041.25493322464</v>
      </c>
    </row>
    <row r="37" spans="1:17">
      <c r="A37" s="190">
        <v>28</v>
      </c>
      <c r="B37" s="190" t="s">
        <v>82</v>
      </c>
      <c r="C37" s="202">
        <f>SUM(C28:C36)</f>
        <v>316828520.350564</v>
      </c>
      <c r="D37" s="195"/>
      <c r="E37" s="202">
        <f t="shared" ref="E37:J37" si="6">SUM(E28:E36)</f>
        <v>13922609.978697591</v>
      </c>
      <c r="F37" s="202">
        <f t="shared" si="6"/>
        <v>-10324423.776847661</v>
      </c>
      <c r="G37" s="202">
        <f t="shared" si="6"/>
        <v>-18458141.745556671</v>
      </c>
      <c r="H37" s="202">
        <f t="shared" si="6"/>
        <v>78582.625805387739</v>
      </c>
      <c r="I37" s="202">
        <f t="shared" si="6"/>
        <v>-1114545.7808902208</v>
      </c>
      <c r="J37" s="202">
        <f t="shared" si="6"/>
        <v>-1310069.2301719305</v>
      </c>
      <c r="K37" s="202">
        <f>SUM(K28:K36)</f>
        <v>-2540748.0878867558</v>
      </c>
      <c r="M37" s="202">
        <f>SUM(M28:M36)</f>
        <v>-19746736.016850259</v>
      </c>
      <c r="O37" s="202">
        <f>SUM(O28:O36)</f>
        <v>297081784.33371383</v>
      </c>
      <c r="P37" s="203">
        <v>287911157.53989387</v>
      </c>
      <c r="Q37" s="193">
        <f t="shared" si="0"/>
        <v>9170626.7938199639</v>
      </c>
    </row>
    <row r="38" spans="1:17" ht="12.75">
      <c r="A38" s="190">
        <v>29</v>
      </c>
      <c r="B38" s="190"/>
      <c r="C38" s="197"/>
      <c r="D38" s="191"/>
      <c r="E38" s="197"/>
      <c r="F38" s="197"/>
      <c r="G38" s="197"/>
      <c r="H38" s="197"/>
      <c r="I38" s="197"/>
      <c r="J38" s="197"/>
      <c r="K38" s="197"/>
      <c r="M38" s="197"/>
      <c r="O38" s="191"/>
      <c r="P38" s="204"/>
      <c r="Q38" s="193">
        <f t="shared" si="0"/>
        <v>0</v>
      </c>
    </row>
    <row r="39" spans="1:17" ht="12" thickBot="1">
      <c r="A39" s="190">
        <v>30</v>
      </c>
      <c r="B39" s="205" t="s">
        <v>83</v>
      </c>
      <c r="C39" s="206">
        <f>C15-C37</f>
        <v>39356667.963908076</v>
      </c>
      <c r="D39" s="207"/>
      <c r="E39" s="206">
        <f t="shared" ref="E39:K39" si="7">E15-E37</f>
        <v>29129313.938750766</v>
      </c>
      <c r="F39" s="206">
        <f t="shared" si="7"/>
        <v>1469421.7768476605</v>
      </c>
      <c r="G39" s="206">
        <f t="shared" si="7"/>
        <v>-12491341.392640222</v>
      </c>
      <c r="H39" s="206">
        <f t="shared" si="7"/>
        <v>-78582.625805387739</v>
      </c>
      <c r="I39" s="206">
        <f t="shared" si="7"/>
        <v>1114545.7808902208</v>
      </c>
      <c r="J39" s="206">
        <f t="shared" si="7"/>
        <v>-1689930.7698280695</v>
      </c>
      <c r="K39" s="206">
        <f t="shared" si="7"/>
        <v>1779257.7897174989</v>
      </c>
      <c r="M39" s="206">
        <f>M15-M37</f>
        <v>19232684.497932468</v>
      </c>
      <c r="O39" s="206">
        <f>O15-O37</f>
        <v>58589352.461840451</v>
      </c>
      <c r="P39" s="208">
        <v>29438001.223531663</v>
      </c>
      <c r="Q39" s="193">
        <f t="shared" si="0"/>
        <v>29151351.238308787</v>
      </c>
    </row>
    <row r="40" spans="1:17" ht="13.5" thickTop="1">
      <c r="A40" s="190">
        <v>31</v>
      </c>
      <c r="B40" s="190"/>
      <c r="C40" s="197"/>
      <c r="D40" s="191"/>
      <c r="E40" s="197"/>
      <c r="F40" s="197"/>
      <c r="G40" s="197"/>
      <c r="H40" s="197"/>
      <c r="I40" s="197"/>
      <c r="J40" s="197"/>
      <c r="K40" s="197"/>
      <c r="M40" s="197"/>
      <c r="Q40" s="193">
        <f t="shared" si="0"/>
        <v>0</v>
      </c>
    </row>
    <row r="41" spans="1:17" ht="12.75">
      <c r="A41" s="190">
        <v>32</v>
      </c>
      <c r="B41" s="190" t="s">
        <v>84</v>
      </c>
      <c r="C41" s="197"/>
      <c r="D41" s="191"/>
      <c r="E41" s="197"/>
      <c r="F41" s="197"/>
      <c r="G41" s="197"/>
      <c r="H41" s="197"/>
      <c r="I41" s="197"/>
      <c r="J41" s="197"/>
      <c r="K41" s="197"/>
      <c r="M41" s="197"/>
      <c r="Q41" s="193">
        <f t="shared" si="0"/>
        <v>0</v>
      </c>
    </row>
    <row r="42" spans="1:17">
      <c r="A42" s="190">
        <v>33</v>
      </c>
      <c r="B42" s="190" t="s">
        <v>85</v>
      </c>
      <c r="C42" s="107">
        <f>Summary!B40</f>
        <v>1463726641.7773561</v>
      </c>
      <c r="D42" s="191"/>
      <c r="E42" s="107">
        <f>'Page 1.4'!D37</f>
        <v>0</v>
      </c>
      <c r="F42" s="107">
        <f>'Page 1.4'!E37</f>
        <v>-2012269.6840151576</v>
      </c>
      <c r="G42" s="107">
        <f>'Page 1.4'!F37</f>
        <v>-26918433.364462718</v>
      </c>
      <c r="H42" s="107">
        <f>'Page 1.4'!G37</f>
        <v>0</v>
      </c>
      <c r="I42" s="107">
        <f>'Page 1.4'!H37</f>
        <v>0</v>
      </c>
      <c r="J42" s="107">
        <f>'Page 1.4'!I37</f>
        <v>57008379.026907839</v>
      </c>
      <c r="K42" s="107">
        <f>'Page 1.4'!J37</f>
        <v>-12145577.937201677</v>
      </c>
      <c r="M42" s="107">
        <f t="shared" ref="M42:M52" si="8">SUM(E42:L42)</f>
        <v>15932098.041228285</v>
      </c>
      <c r="O42" s="192">
        <f t="shared" ref="O42:O52" si="9">+C42+M42</f>
        <v>1479658739.8185844</v>
      </c>
      <c r="P42" s="193">
        <v>1405766403.7356484</v>
      </c>
      <c r="Q42" s="193">
        <f t="shared" si="0"/>
        <v>73892336.082936049</v>
      </c>
    </row>
    <row r="43" spans="1:17">
      <c r="A43" s="190">
        <v>34</v>
      </c>
      <c r="B43" s="190" t="s">
        <v>86</v>
      </c>
      <c r="C43" s="107">
        <f>Summary!B41</f>
        <v>37964.182804253716</v>
      </c>
      <c r="D43" s="191"/>
      <c r="E43" s="107">
        <f>'Page 1.4'!D38</f>
        <v>0</v>
      </c>
      <c r="F43" s="107">
        <f>'Page 1.4'!E38</f>
        <v>0</v>
      </c>
      <c r="G43" s="107">
        <f>'Page 1.4'!F38</f>
        <v>0</v>
      </c>
      <c r="H43" s="107">
        <f>'Page 1.4'!G38</f>
        <v>0</v>
      </c>
      <c r="I43" s="107">
        <f>'Page 1.4'!H38</f>
        <v>0</v>
      </c>
      <c r="J43" s="107">
        <f>'Page 1.4'!I38</f>
        <v>0</v>
      </c>
      <c r="K43" s="107">
        <f>'Page 1.4'!J38</f>
        <v>0</v>
      </c>
      <c r="M43" s="107">
        <f t="shared" si="8"/>
        <v>0</v>
      </c>
      <c r="O43" s="192">
        <f t="shared" si="9"/>
        <v>37964.182804253716</v>
      </c>
      <c r="P43" s="193">
        <v>37310.24459140328</v>
      </c>
      <c r="Q43" s="193">
        <f t="shared" si="0"/>
        <v>653.93821285043668</v>
      </c>
    </row>
    <row r="44" spans="1:17">
      <c r="A44" s="190">
        <v>35</v>
      </c>
      <c r="B44" s="190" t="s">
        <v>87</v>
      </c>
      <c r="C44" s="107">
        <f>Summary!B42</f>
        <v>21830245.365903828</v>
      </c>
      <c r="D44" s="191"/>
      <c r="E44" s="107">
        <f>'Page 1.4'!D39</f>
        <v>0</v>
      </c>
      <c r="F44" s="107">
        <f>'Page 1.4'!E39</f>
        <v>-79630.904999999548</v>
      </c>
      <c r="G44" s="107">
        <f>'Page 1.4'!F39</f>
        <v>0</v>
      </c>
      <c r="H44" s="107">
        <f>'Page 1.4'!G39</f>
        <v>0</v>
      </c>
      <c r="I44" s="107">
        <f>'Page 1.4'!H39</f>
        <v>0</v>
      </c>
      <c r="J44" s="107">
        <f>'Page 1.4'!I39</f>
        <v>-5548269.3351594238</v>
      </c>
      <c r="K44" s="107">
        <f>'Page 1.4'!J39</f>
        <v>-6730.423763757688</v>
      </c>
      <c r="M44" s="107">
        <f t="shared" si="8"/>
        <v>-5634630.6639231807</v>
      </c>
      <c r="O44" s="192">
        <f t="shared" si="9"/>
        <v>16195614.701980647</v>
      </c>
      <c r="P44" s="193">
        <v>19149090.866463043</v>
      </c>
      <c r="Q44" s="193">
        <f t="shared" si="0"/>
        <v>-2953476.1644823961</v>
      </c>
    </row>
    <row r="45" spans="1:17">
      <c r="A45" s="190">
        <v>36</v>
      </c>
      <c r="B45" s="190" t="s">
        <v>88</v>
      </c>
      <c r="C45" s="107">
        <f>Summary!B43</f>
        <v>0</v>
      </c>
      <c r="D45" s="191"/>
      <c r="E45" s="107">
        <f>'Page 1.4'!D40</f>
        <v>0</v>
      </c>
      <c r="F45" s="107">
        <f>'Page 1.4'!E40</f>
        <v>0</v>
      </c>
      <c r="G45" s="107">
        <f>'Page 1.4'!F40</f>
        <v>0</v>
      </c>
      <c r="H45" s="107">
        <f>'Page 1.4'!G40</f>
        <v>0</v>
      </c>
      <c r="I45" s="107">
        <f>'Page 1.4'!H40</f>
        <v>0</v>
      </c>
      <c r="J45" s="107">
        <f>'Page 1.4'!I40</f>
        <v>0</v>
      </c>
      <c r="K45" s="107">
        <f>'Page 1.4'!J40</f>
        <v>0</v>
      </c>
      <c r="M45" s="107">
        <f t="shared" si="8"/>
        <v>0</v>
      </c>
      <c r="O45" s="192">
        <f t="shared" si="9"/>
        <v>0</v>
      </c>
      <c r="P45" s="193">
        <v>0</v>
      </c>
      <c r="Q45" s="193">
        <f t="shared" si="0"/>
        <v>0</v>
      </c>
    </row>
    <row r="46" spans="1:17">
      <c r="A46" s="190">
        <v>37</v>
      </c>
      <c r="B46" s="190" t="s">
        <v>89</v>
      </c>
      <c r="C46" s="107">
        <f>Summary!B44</f>
        <v>0</v>
      </c>
      <c r="D46" s="191"/>
      <c r="E46" s="107">
        <f>'Page 1.4'!D41</f>
        <v>0</v>
      </c>
      <c r="F46" s="107">
        <f>'Page 1.4'!E41</f>
        <v>0</v>
      </c>
      <c r="G46" s="107">
        <f>'Page 1.4'!F41</f>
        <v>0</v>
      </c>
      <c r="H46" s="107">
        <f>'Page 1.4'!G41</f>
        <v>0</v>
      </c>
      <c r="I46" s="107">
        <f>'Page 1.4'!H41</f>
        <v>0</v>
      </c>
      <c r="J46" s="107">
        <f>'Page 1.4'!I41</f>
        <v>0</v>
      </c>
      <c r="K46" s="107">
        <f>'Page 1.4'!J41</f>
        <v>0</v>
      </c>
      <c r="M46" s="107">
        <f t="shared" si="8"/>
        <v>0</v>
      </c>
      <c r="O46" s="192">
        <f t="shared" si="9"/>
        <v>0</v>
      </c>
      <c r="P46" s="193">
        <v>0</v>
      </c>
      <c r="Q46" s="193">
        <f t="shared" si="0"/>
        <v>0</v>
      </c>
    </row>
    <row r="47" spans="1:17">
      <c r="A47" s="190">
        <v>38</v>
      </c>
      <c r="B47" s="190" t="s">
        <v>90</v>
      </c>
      <c r="C47" s="107">
        <f>Summary!B45</f>
        <v>2240510.2031514402</v>
      </c>
      <c r="D47" s="191"/>
      <c r="E47" s="107">
        <f>'Page 1.4'!D42</f>
        <v>0</v>
      </c>
      <c r="F47" s="107">
        <f>'Page 1.4'!E42</f>
        <v>0</v>
      </c>
      <c r="G47" s="107">
        <f>'Page 1.4'!F42</f>
        <v>0</v>
      </c>
      <c r="H47" s="107">
        <f>'Page 1.4'!G42</f>
        <v>0</v>
      </c>
      <c r="I47" s="107">
        <f>'Page 1.4'!H42</f>
        <v>0</v>
      </c>
      <c r="J47" s="107">
        <f>'Page 1.4'!I42</f>
        <v>-2240510.2035326045</v>
      </c>
      <c r="K47" s="107">
        <f>'Page 1.4'!J42</f>
        <v>0</v>
      </c>
      <c r="M47" s="107">
        <f t="shared" si="8"/>
        <v>-2240510.2035326045</v>
      </c>
      <c r="O47" s="192">
        <f t="shared" si="9"/>
        <v>-3.8116425275802612E-4</v>
      </c>
      <c r="P47" s="193">
        <v>-1.8892287742346525E-2</v>
      </c>
      <c r="Q47" s="193">
        <f t="shared" si="0"/>
        <v>1.8511123489588499E-2</v>
      </c>
    </row>
    <row r="48" spans="1:17">
      <c r="A48" s="190">
        <v>39</v>
      </c>
      <c r="B48" s="190" t="s">
        <v>91</v>
      </c>
      <c r="C48" s="107">
        <f>Summary!B46</f>
        <v>4907986.4739838019</v>
      </c>
      <c r="D48" s="191"/>
      <c r="E48" s="107">
        <f>'Page 1.4'!D43</f>
        <v>0</v>
      </c>
      <c r="F48" s="107">
        <f>'Page 1.4'!E43</f>
        <v>0</v>
      </c>
      <c r="G48" s="107">
        <f>'Page 1.4'!F43</f>
        <v>0</v>
      </c>
      <c r="H48" s="107">
        <f>'Page 1.4'!G43</f>
        <v>0</v>
      </c>
      <c r="I48" s="107">
        <f>'Page 1.4'!H43</f>
        <v>0</v>
      </c>
      <c r="J48" s="107">
        <f>'Page 1.4'!I43</f>
        <v>-4907986.4739838867</v>
      </c>
      <c r="K48" s="107">
        <f>'Page 1.4'!J43</f>
        <v>0</v>
      </c>
      <c r="M48" s="107">
        <f t="shared" si="8"/>
        <v>-4907986.4739838867</v>
      </c>
      <c r="O48" s="192">
        <f t="shared" si="9"/>
        <v>-8.4750354290008545E-8</v>
      </c>
      <c r="P48" s="193">
        <v>3524551.0469494397</v>
      </c>
      <c r="Q48" s="193">
        <f t="shared" si="0"/>
        <v>-3524551.0469495244</v>
      </c>
    </row>
    <row r="49" spans="1:17">
      <c r="A49" s="190">
        <v>40</v>
      </c>
      <c r="B49" s="190" t="s">
        <v>92</v>
      </c>
      <c r="C49" s="107">
        <f>Summary!B47</f>
        <v>7435680.6044854177</v>
      </c>
      <c r="D49" s="191"/>
      <c r="E49" s="107">
        <f>'Page 1.4'!D44</f>
        <v>0</v>
      </c>
      <c r="F49" s="107">
        <f>'Page 1.4'!E44</f>
        <v>0</v>
      </c>
      <c r="G49" s="107">
        <f>'Page 1.4'!F44</f>
        <v>0</v>
      </c>
      <c r="H49" s="107">
        <f>'Page 1.4'!G44</f>
        <v>0</v>
      </c>
      <c r="I49" s="107">
        <f>'Page 1.4'!H44</f>
        <v>0</v>
      </c>
      <c r="J49" s="107">
        <f>'Page 1.4'!I44</f>
        <v>-7435680.6054583685</v>
      </c>
      <c r="K49" s="107">
        <f>'Page 1.4'!J44</f>
        <v>0</v>
      </c>
      <c r="M49" s="107">
        <f t="shared" si="8"/>
        <v>-7435680.6054583685</v>
      </c>
      <c r="O49" s="192">
        <f t="shared" si="9"/>
        <v>-9.7295083105564117E-4</v>
      </c>
      <c r="P49" s="193">
        <v>7775702.6726858066</v>
      </c>
      <c r="Q49" s="193">
        <f t="shared" si="0"/>
        <v>-7775702.6736587575</v>
      </c>
    </row>
    <row r="50" spans="1:17">
      <c r="A50" s="190">
        <v>41</v>
      </c>
      <c r="B50" s="190" t="s">
        <v>93</v>
      </c>
      <c r="C50" s="107">
        <f>Summary!B48</f>
        <v>3098080.8131170203</v>
      </c>
      <c r="D50" s="191"/>
      <c r="E50" s="107">
        <f>'Page 1.4'!D45</f>
        <v>0</v>
      </c>
      <c r="F50" s="107">
        <f>'Page 1.4'!E45</f>
        <v>0</v>
      </c>
      <c r="G50" s="107">
        <f>'Page 1.4'!F45</f>
        <v>0</v>
      </c>
      <c r="H50" s="107">
        <f>'Page 1.4'!G45</f>
        <v>0</v>
      </c>
      <c r="I50" s="107">
        <f>'Page 1.4'!H45</f>
        <v>0</v>
      </c>
      <c r="J50" s="107">
        <f>'Page 1.4'!I45</f>
        <v>-3098080.8131170203</v>
      </c>
      <c r="K50" s="107">
        <f>'Page 1.4'!J45</f>
        <v>0</v>
      </c>
      <c r="M50" s="107">
        <f t="shared" si="8"/>
        <v>-3098080.8131170203</v>
      </c>
      <c r="O50" s="192">
        <f t="shared" si="9"/>
        <v>0</v>
      </c>
      <c r="P50" s="193">
        <v>11145151.052284811</v>
      </c>
      <c r="Q50" s="193">
        <f t="shared" si="0"/>
        <v>-11145151.052284811</v>
      </c>
    </row>
    <row r="51" spans="1:17">
      <c r="A51" s="190">
        <v>42</v>
      </c>
      <c r="B51" s="190" t="s">
        <v>94</v>
      </c>
      <c r="C51" s="107">
        <f>Summary!B49</f>
        <v>2010463.629199035</v>
      </c>
      <c r="D51" s="191"/>
      <c r="E51" s="107">
        <f>'Page 1.4'!D46</f>
        <v>0</v>
      </c>
      <c r="F51" s="107">
        <f>'Page 1.4'!E46</f>
        <v>0</v>
      </c>
      <c r="G51" s="107">
        <f>'Page 1.4'!F46</f>
        <v>0</v>
      </c>
      <c r="H51" s="107">
        <f>'Page 1.4'!G46</f>
        <v>0</v>
      </c>
      <c r="I51" s="107">
        <f>'Page 1.4'!H46</f>
        <v>0</v>
      </c>
      <c r="J51" s="107">
        <f>'Page 1.4'!I46</f>
        <v>0</v>
      </c>
      <c r="K51" s="107">
        <f>'Page 1.4'!J46</f>
        <v>0</v>
      </c>
      <c r="M51" s="107">
        <f t="shared" si="8"/>
        <v>0</v>
      </c>
      <c r="O51" s="192">
        <f t="shared" si="9"/>
        <v>2010463.629199035</v>
      </c>
      <c r="P51" s="193">
        <v>2046740.5986772478</v>
      </c>
      <c r="Q51" s="193">
        <f t="shared" si="0"/>
        <v>-36276.969478212763</v>
      </c>
    </row>
    <row r="52" spans="1:17">
      <c r="A52" s="190">
        <v>43</v>
      </c>
      <c r="B52" s="190" t="s">
        <v>95</v>
      </c>
      <c r="C52" s="107">
        <f>Summary!B50</f>
        <v>102468.75195101222</v>
      </c>
      <c r="D52" s="191"/>
      <c r="E52" s="107">
        <f>'Page 1.4'!D47</f>
        <v>0</v>
      </c>
      <c r="F52" s="107">
        <f>'Page 1.4'!E47</f>
        <v>0</v>
      </c>
      <c r="G52" s="107">
        <f>'Page 1.4'!F47</f>
        <v>0</v>
      </c>
      <c r="H52" s="107">
        <f>'Page 1.4'!G47</f>
        <v>0</v>
      </c>
      <c r="I52" s="107">
        <f>'Page 1.4'!H47</f>
        <v>0</v>
      </c>
      <c r="J52" s="107">
        <f>'Page 1.4'!I47</f>
        <v>-102468.75195108727</v>
      </c>
      <c r="K52" s="107">
        <f>'Page 1.4'!J47</f>
        <v>0</v>
      </c>
      <c r="M52" s="107">
        <f t="shared" si="8"/>
        <v>-102468.75195108727</v>
      </c>
      <c r="O52" s="192">
        <f t="shared" si="9"/>
        <v>-7.5044226832687855E-8</v>
      </c>
      <c r="P52" s="193">
        <v>-40047.559964868124</v>
      </c>
      <c r="Q52" s="193">
        <f t="shared" si="0"/>
        <v>40047.559964793079</v>
      </c>
    </row>
    <row r="53" spans="1:17">
      <c r="A53" s="190">
        <v>44</v>
      </c>
      <c r="B53" s="190" t="s">
        <v>96</v>
      </c>
      <c r="C53" s="202">
        <f>SUM(C42:C52)</f>
        <v>1505390041.8019521</v>
      </c>
      <c r="D53" s="195"/>
      <c r="E53" s="202">
        <f t="shared" ref="E53:K53" si="10">SUM(E42:E52)</f>
        <v>0</v>
      </c>
      <c r="F53" s="202">
        <f t="shared" si="10"/>
        <v>-2091900.5890151572</v>
      </c>
      <c r="G53" s="202">
        <f t="shared" si="10"/>
        <v>-26918433.364462718</v>
      </c>
      <c r="H53" s="202">
        <f t="shared" si="10"/>
        <v>0</v>
      </c>
      <c r="I53" s="202">
        <f t="shared" si="10"/>
        <v>0</v>
      </c>
      <c r="J53" s="202">
        <f t="shared" si="10"/>
        <v>33675382.843705446</v>
      </c>
      <c r="K53" s="202">
        <f t="shared" si="10"/>
        <v>-12152308.360965434</v>
      </c>
      <c r="M53" s="202">
        <f>SUM(M42:M52)</f>
        <v>-7487259.4707378615</v>
      </c>
      <c r="O53" s="202">
        <f>SUM(O42:O52)</f>
        <v>1497902782.3312142</v>
      </c>
      <c r="P53" s="203">
        <v>1449404902.6384428</v>
      </c>
      <c r="Q53" s="193">
        <f t="shared" si="0"/>
        <v>48497879.692771435</v>
      </c>
    </row>
    <row r="54" spans="1:17" ht="12.75">
      <c r="A54" s="190">
        <v>45</v>
      </c>
      <c r="B54" s="190"/>
      <c r="C54" s="197"/>
      <c r="D54" s="191"/>
      <c r="E54" s="197"/>
      <c r="F54" s="197"/>
      <c r="G54" s="197"/>
      <c r="H54" s="197"/>
      <c r="I54" s="197"/>
      <c r="J54" s="197"/>
      <c r="K54" s="197"/>
      <c r="M54" s="197"/>
      <c r="Q54" s="193">
        <f t="shared" si="0"/>
        <v>0</v>
      </c>
    </row>
    <row r="55" spans="1:17" ht="12.75">
      <c r="A55" s="190">
        <v>46</v>
      </c>
      <c r="B55" s="190" t="s">
        <v>97</v>
      </c>
      <c r="C55" s="197"/>
      <c r="D55" s="191"/>
      <c r="E55" s="197"/>
      <c r="F55" s="197"/>
      <c r="G55" s="197"/>
      <c r="H55" s="197"/>
      <c r="I55" s="197"/>
      <c r="J55" s="197"/>
      <c r="K55" s="197"/>
      <c r="M55" s="197"/>
      <c r="Q55" s="193">
        <f t="shared" si="0"/>
        <v>0</v>
      </c>
    </row>
    <row r="56" spans="1:17">
      <c r="A56" s="190">
        <v>47</v>
      </c>
      <c r="B56" s="190" t="s">
        <v>98</v>
      </c>
      <c r="C56" s="107">
        <f>Summary!B54</f>
        <v>-533422815.50845498</v>
      </c>
      <c r="D56" s="191"/>
      <c r="E56" s="107">
        <f>'Page 1.4'!D51</f>
        <v>0</v>
      </c>
      <c r="F56" s="107">
        <f>'Page 1.4'!E51</f>
        <v>9419911.8527651522</v>
      </c>
      <c r="G56" s="107">
        <f>'Page 1.4'!F51</f>
        <v>16700424.00742016</v>
      </c>
      <c r="H56" s="107">
        <f>'Page 1.4'!G51</f>
        <v>664248.66961093317</v>
      </c>
      <c r="I56" s="107">
        <f>'Page 1.4'!H51</f>
        <v>0</v>
      </c>
      <c r="J56" s="107">
        <f>'Page 1.4'!I51</f>
        <v>-25269963.073925041</v>
      </c>
      <c r="K56" s="107">
        <f>'Page 1.4'!J51</f>
        <v>4071550.5187301748</v>
      </c>
      <c r="M56" s="107">
        <f t="shared" ref="M56:M62" si="11">SUM(E56:L56)</f>
        <v>5586171.9746013768</v>
      </c>
      <c r="O56" s="192">
        <f t="shared" ref="O56:O63" si="12">+C56+M56</f>
        <v>-527836643.53385359</v>
      </c>
      <c r="P56" s="193">
        <v>-487107988.62874055</v>
      </c>
      <c r="Q56" s="193">
        <f t="shared" si="0"/>
        <v>-40728654.905113041</v>
      </c>
    </row>
    <row r="57" spans="1:17">
      <c r="A57" s="190">
        <v>48</v>
      </c>
      <c r="B57" s="190" t="s">
        <v>99</v>
      </c>
      <c r="C57" s="107">
        <f>Summary!B55</f>
        <v>-36329777.851548776</v>
      </c>
      <c r="D57" s="191"/>
      <c r="E57" s="107">
        <f>'Page 1.4'!D52</f>
        <v>0</v>
      </c>
      <c r="F57" s="107">
        <f>'Page 1.4'!E52</f>
        <v>0</v>
      </c>
      <c r="G57" s="107">
        <f>'Page 1.4'!F52</f>
        <v>0</v>
      </c>
      <c r="H57" s="107">
        <f>'Page 1.4'!G52</f>
        <v>0</v>
      </c>
      <c r="I57" s="107">
        <f>'Page 1.4'!H52</f>
        <v>0</v>
      </c>
      <c r="J57" s="107">
        <f>'Page 1.4'!I52</f>
        <v>0</v>
      </c>
      <c r="K57" s="107">
        <f>'Page 1.4'!J52</f>
        <v>0</v>
      </c>
      <c r="M57" s="107">
        <f t="shared" si="11"/>
        <v>0</v>
      </c>
      <c r="O57" s="192">
        <f t="shared" si="12"/>
        <v>-36329777.851548776</v>
      </c>
      <c r="P57" s="193">
        <v>-34606345.321051545</v>
      </c>
      <c r="Q57" s="193">
        <f t="shared" si="0"/>
        <v>-1723432.5304972306</v>
      </c>
    </row>
    <row r="58" spans="1:17">
      <c r="A58" s="190">
        <v>49</v>
      </c>
      <c r="B58" s="190" t="s">
        <v>100</v>
      </c>
      <c r="C58" s="107">
        <f>Summary!B56</f>
        <v>-172602482.97219428</v>
      </c>
      <c r="D58" s="191"/>
      <c r="E58" s="107">
        <f>'Page 1.4'!D53</f>
        <v>1220290.3429160728</v>
      </c>
      <c r="F58" s="107">
        <f>'Page 1.4'!E53</f>
        <v>-1212325.7083333335</v>
      </c>
      <c r="G58" s="107">
        <f>'Page 1.4'!F53</f>
        <v>1484568.406393917</v>
      </c>
      <c r="H58" s="107">
        <f>'Page 1.4'!G53</f>
        <v>-391038.76591474324</v>
      </c>
      <c r="I58" s="107">
        <f>'Page 1.4'!H53</f>
        <v>-2131982.0781018613</v>
      </c>
      <c r="J58" s="107">
        <f>'Page 1.4'!I53</f>
        <v>1319969.0734022022</v>
      </c>
      <c r="K58" s="107">
        <f>'Page 1.4'!J53</f>
        <v>0</v>
      </c>
      <c r="M58" s="107">
        <f t="shared" si="11"/>
        <v>289481.270362254</v>
      </c>
      <c r="O58" s="192">
        <f t="shared" si="12"/>
        <v>-172313001.70183203</v>
      </c>
      <c r="P58" s="193">
        <v>-140589362.44854355</v>
      </c>
      <c r="Q58" s="193">
        <f t="shared" si="0"/>
        <v>-31723639.253288478</v>
      </c>
    </row>
    <row r="59" spans="1:17">
      <c r="A59" s="190">
        <v>50</v>
      </c>
      <c r="B59" s="190" t="s">
        <v>101</v>
      </c>
      <c r="C59" s="107">
        <f>Summary!B57</f>
        <v>-876652.79522800003</v>
      </c>
      <c r="D59" s="191"/>
      <c r="E59" s="107">
        <f>'Page 1.4'!D54</f>
        <v>0</v>
      </c>
      <c r="F59" s="107">
        <f>'Page 1.4'!E54</f>
        <v>0</v>
      </c>
      <c r="G59" s="107">
        <f>'Page 1.4'!F54</f>
        <v>103982.22360000001</v>
      </c>
      <c r="H59" s="107">
        <f>'Page 1.4'!G54</f>
        <v>0</v>
      </c>
      <c r="I59" s="107">
        <f>'Page 1.4'!H54</f>
        <v>0</v>
      </c>
      <c r="J59" s="107">
        <f>'Page 1.4'!I54</f>
        <v>0</v>
      </c>
      <c r="K59" s="107">
        <f>'Page 1.4'!J54</f>
        <v>0</v>
      </c>
      <c r="M59" s="107">
        <f t="shared" si="11"/>
        <v>103982.22360000001</v>
      </c>
      <c r="O59" s="192">
        <f t="shared" si="12"/>
        <v>-772670.57162800001</v>
      </c>
      <c r="P59" s="193">
        <v>-952367.36036234268</v>
      </c>
      <c r="Q59" s="193">
        <f t="shared" si="0"/>
        <v>179696.78873434267</v>
      </c>
    </row>
    <row r="60" spans="1:17">
      <c r="A60" s="190">
        <v>51</v>
      </c>
      <c r="B60" s="190" t="s">
        <v>102</v>
      </c>
      <c r="C60" s="107">
        <f>Summary!B58</f>
        <v>-752.18065947094203</v>
      </c>
      <c r="D60" s="191"/>
      <c r="E60" s="107">
        <f>'Page 1.4'!D55</f>
        <v>0</v>
      </c>
      <c r="F60" s="107">
        <f>'Page 1.4'!E55</f>
        <v>0</v>
      </c>
      <c r="G60" s="107">
        <f>'Page 1.4'!F55</f>
        <v>0</v>
      </c>
      <c r="H60" s="107">
        <f>'Page 1.4'!G55</f>
        <v>0</v>
      </c>
      <c r="I60" s="107">
        <f>'Page 1.4'!H55</f>
        <v>0</v>
      </c>
      <c r="J60" s="107">
        <f>'Page 1.4'!I55</f>
        <v>-293988.17735592474</v>
      </c>
      <c r="K60" s="107">
        <f>'Page 1.4'!J55</f>
        <v>0</v>
      </c>
      <c r="M60" s="107">
        <f t="shared" si="11"/>
        <v>-293988.17735592474</v>
      </c>
      <c r="O60" s="192">
        <f t="shared" si="12"/>
        <v>-294740.3580153957</v>
      </c>
      <c r="P60" s="193">
        <v>-311357.44954026421</v>
      </c>
      <c r="Q60" s="193">
        <f t="shared" si="0"/>
        <v>16617.091524868505</v>
      </c>
    </row>
    <row r="61" spans="1:17">
      <c r="A61" s="190">
        <v>52</v>
      </c>
      <c r="B61" s="190" t="s">
        <v>103</v>
      </c>
      <c r="C61" s="107">
        <f>Summary!B59</f>
        <v>0</v>
      </c>
      <c r="D61" s="191"/>
      <c r="E61" s="107">
        <f>'Page 1.4'!D56</f>
        <v>0</v>
      </c>
      <c r="F61" s="107">
        <f>'Page 1.4'!E56</f>
        <v>0</v>
      </c>
      <c r="G61" s="107">
        <f>'Page 1.4'!F56</f>
        <v>0</v>
      </c>
      <c r="H61" s="107">
        <f>'Page 1.4'!G56</f>
        <v>0</v>
      </c>
      <c r="I61" s="107">
        <f>'Page 1.4'!H56</f>
        <v>0</v>
      </c>
      <c r="J61" s="107">
        <f>'Page 1.4'!I56</f>
        <v>-3291205.6015833332</v>
      </c>
      <c r="K61" s="107">
        <f>'Page 1.4'!J56</f>
        <v>0</v>
      </c>
      <c r="M61" s="107">
        <f t="shared" si="11"/>
        <v>-3291205.6015833332</v>
      </c>
      <c r="O61" s="192">
        <f t="shared" si="12"/>
        <v>-3291205.6015833332</v>
      </c>
      <c r="P61" s="193">
        <v>-2980495.6783333328</v>
      </c>
      <c r="Q61" s="193">
        <f t="shared" si="0"/>
        <v>-310709.92325000046</v>
      </c>
    </row>
    <row r="62" spans="1:17">
      <c r="A62" s="190">
        <v>53</v>
      </c>
      <c r="B62" s="190" t="s">
        <v>104</v>
      </c>
      <c r="C62" s="107">
        <f>Summary!B60</f>
        <v>-4646783.9713116912</v>
      </c>
      <c r="D62" s="191"/>
      <c r="E62" s="107">
        <f>'Page 1.4'!D57</f>
        <v>-3215514.4191855043</v>
      </c>
      <c r="F62" s="107">
        <f>'Page 1.4'!E57</f>
        <v>56244.919679730992</v>
      </c>
      <c r="G62" s="107">
        <f>'Page 1.4'!F57</f>
        <v>0</v>
      </c>
      <c r="H62" s="107">
        <f>'Page 1.4'!G57</f>
        <v>0</v>
      </c>
      <c r="I62" s="107">
        <f>'Page 1.4'!H57</f>
        <v>0</v>
      </c>
      <c r="J62" s="107">
        <f>'Page 1.4'!I57</f>
        <v>1180944.0837095301</v>
      </c>
      <c r="K62" s="107">
        <f>'Page 1.4'!J57</f>
        <v>56207.192047362681</v>
      </c>
      <c r="M62" s="107">
        <f t="shared" si="11"/>
        <v>-1922118.2237488804</v>
      </c>
      <c r="O62" s="192">
        <f t="shared" si="12"/>
        <v>-6568902.1950605717</v>
      </c>
      <c r="P62" s="193">
        <v>-8104429.6797070894</v>
      </c>
      <c r="Q62" s="193">
        <f t="shared" si="0"/>
        <v>1535527.4846465178</v>
      </c>
    </row>
    <row r="63" spans="1:17" ht="12.75">
      <c r="A63" s="190">
        <v>54</v>
      </c>
      <c r="B63" s="190"/>
      <c r="C63" s="197"/>
      <c r="D63" s="191"/>
      <c r="E63" s="107"/>
      <c r="F63" s="107"/>
      <c r="G63" s="107"/>
      <c r="H63" s="107"/>
      <c r="I63" s="107"/>
      <c r="J63" s="107"/>
      <c r="K63" s="107"/>
      <c r="M63" s="197"/>
      <c r="O63" s="192">
        <f t="shared" si="12"/>
        <v>0</v>
      </c>
      <c r="P63" s="193"/>
      <c r="Q63" s="193">
        <f t="shared" si="0"/>
        <v>0</v>
      </c>
    </row>
    <row r="64" spans="1:17">
      <c r="A64" s="190">
        <v>55</v>
      </c>
      <c r="B64" s="190" t="s">
        <v>105</v>
      </c>
      <c r="C64" s="202">
        <f>SUM(C56:C63)</f>
        <v>-747879265.27939713</v>
      </c>
      <c r="D64" s="195"/>
      <c r="E64" s="202">
        <f t="shared" ref="E64:K64" si="13">SUM(E56:E63)</f>
        <v>-1995224.0762694315</v>
      </c>
      <c r="F64" s="202">
        <f t="shared" si="13"/>
        <v>8263831.0641115494</v>
      </c>
      <c r="G64" s="202">
        <f t="shared" si="13"/>
        <v>18288974.637414075</v>
      </c>
      <c r="H64" s="202">
        <f t="shared" si="13"/>
        <v>273209.90369618993</v>
      </c>
      <c r="I64" s="202">
        <f t="shared" si="13"/>
        <v>-2131982.0781018613</v>
      </c>
      <c r="J64" s="202">
        <f t="shared" si="13"/>
        <v>-26354243.695752565</v>
      </c>
      <c r="K64" s="202">
        <f t="shared" si="13"/>
        <v>4127757.7107775374</v>
      </c>
      <c r="M64" s="202">
        <f>SUM(M56:M63)</f>
        <v>472323.4658754929</v>
      </c>
      <c r="O64" s="202">
        <f>SUM(O56:O63)</f>
        <v>-747406941.81352174</v>
      </c>
      <c r="P64" s="203">
        <v>-674652346.56627858</v>
      </c>
      <c r="Q64" s="193">
        <f t="shared" si="0"/>
        <v>-72754595.247243166</v>
      </c>
    </row>
    <row r="65" spans="1:17" ht="12.75">
      <c r="A65" s="190">
        <v>56</v>
      </c>
      <c r="B65" s="190"/>
      <c r="C65" s="197"/>
      <c r="D65" s="191"/>
      <c r="E65" s="197"/>
      <c r="F65" s="197"/>
      <c r="G65" s="197"/>
      <c r="H65" s="197"/>
      <c r="I65" s="197"/>
      <c r="J65" s="197"/>
      <c r="K65" s="197"/>
      <c r="M65" s="197"/>
      <c r="O65" s="191"/>
      <c r="P65" s="204"/>
      <c r="Q65" s="193">
        <f t="shared" si="0"/>
        <v>0</v>
      </c>
    </row>
    <row r="66" spans="1:17" ht="12" thickBot="1">
      <c r="A66" s="190">
        <v>57</v>
      </c>
      <c r="B66" s="190" t="s">
        <v>106</v>
      </c>
      <c r="C66" s="206">
        <f>C53+C64</f>
        <v>757510776.52255499</v>
      </c>
      <c r="D66" s="195"/>
      <c r="E66" s="206">
        <f t="shared" ref="E66:K66" si="14">E53+E64</f>
        <v>-1995224.0762694315</v>
      </c>
      <c r="F66" s="206">
        <f t="shared" si="14"/>
        <v>6171930.4750963924</v>
      </c>
      <c r="G66" s="206">
        <f t="shared" si="14"/>
        <v>-8629458.7270486429</v>
      </c>
      <c r="H66" s="206">
        <f t="shared" si="14"/>
        <v>273209.90369618993</v>
      </c>
      <c r="I66" s="206">
        <f t="shared" si="14"/>
        <v>-2131982.0781018613</v>
      </c>
      <c r="J66" s="206">
        <f t="shared" si="14"/>
        <v>7321139.1479528807</v>
      </c>
      <c r="K66" s="206">
        <f t="shared" si="14"/>
        <v>-8024550.6501878966</v>
      </c>
      <c r="M66" s="206">
        <f>M53+M64</f>
        <v>-7014936.0048623681</v>
      </c>
      <c r="O66" s="206">
        <f>O53+O64</f>
        <v>750495840.51769245</v>
      </c>
      <c r="P66" s="209">
        <v>774752556.07216418</v>
      </c>
      <c r="Q66" s="193">
        <f t="shared" si="0"/>
        <v>-24256715.554471731</v>
      </c>
    </row>
    <row r="67" spans="1:17" ht="13.5" thickTop="1">
      <c r="A67" s="190">
        <v>58</v>
      </c>
      <c r="B67" s="190"/>
      <c r="C67" s="197"/>
      <c r="D67" s="191"/>
      <c r="E67" s="197"/>
      <c r="F67" s="197"/>
      <c r="G67" s="197"/>
      <c r="H67" s="197"/>
      <c r="I67" s="197"/>
      <c r="J67" s="197"/>
      <c r="K67" s="197"/>
      <c r="M67" s="197"/>
      <c r="Q67" s="193"/>
    </row>
    <row r="68" spans="1:17" s="231" customFormat="1">
      <c r="A68" s="225">
        <v>59</v>
      </c>
      <c r="B68" s="225" t="s">
        <v>107</v>
      </c>
      <c r="C68" s="226">
        <f>Unadj_ROE</f>
        <v>4.6123743735480255E-2</v>
      </c>
      <c r="D68" s="227"/>
      <c r="E68" s="226">
        <f>'Page 1.4'!D63</f>
        <v>7.8803976686358038E-2</v>
      </c>
      <c r="F68" s="226">
        <f>'Page 1.4'!E63</f>
        <v>3.063613147975236E-3</v>
      </c>
      <c r="G68" s="226">
        <f>'Page 1.4'!F63</f>
        <v>-3.2752167050630318E-2</v>
      </c>
      <c r="H68" s="226">
        <f>'Page 1.4'!G63</f>
        <v>-2.4935316958354242E-4</v>
      </c>
      <c r="I68" s="226">
        <f>'Page 1.4'!H63</f>
        <v>3.3037024343713292E-3</v>
      </c>
      <c r="J68" s="226">
        <f>'Page 1.4'!I63</f>
        <v>-5.5129785211720933E-3</v>
      </c>
      <c r="K68" s="226">
        <f>'Page 1.4'!J63</f>
        <v>5.9679046098487787E-3</v>
      </c>
      <c r="L68" s="228"/>
      <c r="M68" s="226">
        <f>'Page 1.4'!C63</f>
        <v>5.318180526668595E-2</v>
      </c>
      <c r="N68" s="228"/>
      <c r="O68" s="226">
        <f>C68+M68</f>
        <v>9.9305549002166205E-2</v>
      </c>
      <c r="P68" s="229">
        <v>1.8806044860868055E-2</v>
      </c>
      <c r="Q68" s="230">
        <f>O68-P68</f>
        <v>8.0499504141298153E-2</v>
      </c>
    </row>
    <row r="69" spans="1:17">
      <c r="A69" s="190">
        <v>60</v>
      </c>
      <c r="B69" s="175" t="s">
        <v>169</v>
      </c>
      <c r="C69" s="107">
        <f>Summary!B68</f>
        <v>31076642.759843405</v>
      </c>
      <c r="D69" s="212"/>
      <c r="E69" s="107">
        <f>'Page 1.4'!D64</f>
        <v>-47214330.622920565</v>
      </c>
      <c r="F69" s="107">
        <f>'Page 1.4'!E64</f>
        <v>-1598946.1297828222</v>
      </c>
      <c r="G69" s="107">
        <f>'Page 1.4'!F64</f>
        <v>19062962.589953177</v>
      </c>
      <c r="H69" s="107">
        <f>'Page 1.4'!G64</f>
        <v>160793.69322908088</v>
      </c>
      <c r="I69" s="107">
        <f>'Page 1.4'!H64</f>
        <v>-2063043.054568958</v>
      </c>
      <c r="J69" s="107">
        <f>'Page 1.4'!I64</f>
        <v>3638306.6602383349</v>
      </c>
      <c r="K69" s="107">
        <f>'Page 1.4'!J64</f>
        <v>-3870109.491707983</v>
      </c>
      <c r="M69" s="107">
        <f>-(M39-(M66*Overall_ROR))/gross_up_factor</f>
        <v>-31884366.355559736</v>
      </c>
      <c r="O69" s="107">
        <f>-(O39-(O66*Overall_ROR))/gross_up_factor</f>
        <v>-807723.59571619297</v>
      </c>
      <c r="P69" s="210"/>
      <c r="Q69" s="211"/>
    </row>
    <row r="70" spans="1:17">
      <c r="A70" s="190">
        <v>61</v>
      </c>
      <c r="B70" s="190"/>
      <c r="C70" s="213"/>
      <c r="D70" s="191"/>
      <c r="E70" s="213"/>
      <c r="F70" s="213"/>
      <c r="G70" s="213"/>
      <c r="H70" s="213"/>
      <c r="I70" s="213"/>
      <c r="J70" s="213"/>
      <c r="K70" s="213"/>
      <c r="M70" s="213"/>
      <c r="Q70" s="193"/>
    </row>
    <row r="71" spans="1:17" ht="12.75">
      <c r="A71" s="190">
        <v>62</v>
      </c>
      <c r="B71" s="190" t="s">
        <v>108</v>
      </c>
      <c r="C71" s="197"/>
      <c r="D71" s="191"/>
      <c r="E71" s="197"/>
      <c r="F71" s="197"/>
      <c r="G71" s="197"/>
      <c r="H71" s="197"/>
      <c r="I71" s="197"/>
      <c r="J71" s="197"/>
      <c r="K71" s="197"/>
      <c r="M71" s="197"/>
      <c r="P71" s="193"/>
      <c r="Q71" s="193"/>
    </row>
    <row r="72" spans="1:17">
      <c r="A72" s="190">
        <v>63</v>
      </c>
      <c r="B72" s="190" t="s">
        <v>109</v>
      </c>
      <c r="C72" s="192">
        <f>Summary!B71</f>
        <v>48491627.679538943</v>
      </c>
      <c r="D72" s="192"/>
      <c r="E72" s="192">
        <f>'Page 1.4'!D67</f>
        <v>43813067.418300383</v>
      </c>
      <c r="F72" s="192">
        <f>'Page 1.4'!E67</f>
        <v>1392281.5814830512</v>
      </c>
      <c r="G72" s="192">
        <f>'Page 1.4'!F67</f>
        <v>-19231966.58677141</v>
      </c>
      <c r="H72" s="192">
        <f>'Page 1.4'!G67</f>
        <v>0</v>
      </c>
      <c r="I72" s="192">
        <f>'Page 1.4'!H67</f>
        <v>-1741720.3599999994</v>
      </c>
      <c r="J72" s="192">
        <f>'Page 1.4'!I67</f>
        <v>-2360948.9502243702</v>
      </c>
      <c r="K72" s="192">
        <f>'Page 1.4'!J67</f>
        <v>2891589.7327373289</v>
      </c>
      <c r="M72" s="192">
        <f>SUM(E72:L72)</f>
        <v>24762302.835524984</v>
      </c>
      <c r="O72" s="192">
        <f>+O15-O28-O29-O30-O31-O36</f>
        <v>73253930.515063941</v>
      </c>
      <c r="P72" s="193">
        <v>27628480.42458465</v>
      </c>
      <c r="Q72" s="193">
        <f>O72-P72</f>
        <v>45625450.090479292</v>
      </c>
    </row>
    <row r="73" spans="1:17">
      <c r="A73" s="190">
        <v>64</v>
      </c>
      <c r="B73" s="190" t="s">
        <v>110</v>
      </c>
      <c r="C73" s="192">
        <f>Summary!B72</f>
        <v>0</v>
      </c>
      <c r="D73" s="191"/>
      <c r="E73" s="192">
        <f>'Page 1.4'!D68</f>
        <v>27187973.857788429</v>
      </c>
      <c r="F73" s="192">
        <f>'Page 1.4'!E68</f>
        <v>1308493.7592352913</v>
      </c>
      <c r="G73" s="192">
        <f>'Page 1.4'!F68</f>
        <v>0</v>
      </c>
      <c r="H73" s="192">
        <f>'Page 1.4'!G68</f>
        <v>0</v>
      </c>
      <c r="I73" s="192">
        <f>'Page 1.4'!H68</f>
        <v>0</v>
      </c>
      <c r="J73" s="192">
        <f>'Page 1.4'!I68</f>
        <v>0</v>
      </c>
      <c r="K73" s="192">
        <f>'Page 1.4'!J68</f>
        <v>0</v>
      </c>
      <c r="Q73" s="193">
        <f t="shared" ref="Q73:Q83" si="15">O73-P73</f>
        <v>0</v>
      </c>
    </row>
    <row r="74" spans="1:17">
      <c r="A74" s="190">
        <v>65</v>
      </c>
      <c r="B74" s="190" t="s">
        <v>111</v>
      </c>
      <c r="C74" s="192">
        <f>Summary!B73</f>
        <v>-5402816.7261669245</v>
      </c>
      <c r="D74" s="191"/>
      <c r="E74" s="192">
        <f>'Page 1.4'!D69</f>
        <v>0</v>
      </c>
      <c r="F74" s="192">
        <f>'Page 1.4'!E69</f>
        <v>0</v>
      </c>
      <c r="G74" s="192">
        <f>'Page 1.4'!F69</f>
        <v>0</v>
      </c>
      <c r="H74" s="192">
        <f>'Page 1.4'!G69</f>
        <v>0</v>
      </c>
      <c r="I74" s="192">
        <f>'Page 1.4'!H69</f>
        <v>239226.0290480254</v>
      </c>
      <c r="J74" s="192">
        <f>'Page 1.4'!I69</f>
        <v>0</v>
      </c>
      <c r="K74" s="192">
        <f>'Page 1.4'!J69</f>
        <v>0</v>
      </c>
      <c r="M74" s="192">
        <f>SUM(E74:L74)</f>
        <v>239226.0290480254</v>
      </c>
      <c r="O74" s="192">
        <f>+C74+M74</f>
        <v>-5163590.6971188989</v>
      </c>
      <c r="P74" s="193">
        <v>-4382780.070768076</v>
      </c>
      <c r="Q74" s="193">
        <f t="shared" si="15"/>
        <v>-780810.62635082286</v>
      </c>
    </row>
    <row r="75" spans="1:17">
      <c r="A75" s="190">
        <v>66</v>
      </c>
      <c r="B75" s="190" t="s">
        <v>112</v>
      </c>
      <c r="C75" s="192">
        <f>Summary!B74</f>
        <v>22961344.056319799</v>
      </c>
      <c r="D75" s="191"/>
      <c r="E75" s="192">
        <f>'Page 1.4'!D70</f>
        <v>0</v>
      </c>
      <c r="F75" s="192">
        <f>'Page 1.4'!E70</f>
        <v>0</v>
      </c>
      <c r="G75" s="192">
        <f>'Page 1.4'!F70</f>
        <v>0</v>
      </c>
      <c r="H75" s="192">
        <f>'Page 1.4'!G70</f>
        <v>0</v>
      </c>
      <c r="I75" s="192">
        <f>'Page 1.4'!H70</f>
        <v>-1087692.4869273417</v>
      </c>
      <c r="J75" s="192">
        <f>'Page 1.4'!I70</f>
        <v>0</v>
      </c>
      <c r="K75" s="192">
        <f>'Page 1.4'!J70</f>
        <v>0</v>
      </c>
      <c r="M75" s="192">
        <f>SUM(E75:L75)</f>
        <v>-1087692.4869273417</v>
      </c>
      <c r="O75" s="192">
        <f>+C75+M75</f>
        <v>21873651.569392458</v>
      </c>
      <c r="P75" s="193">
        <v>21721272.563061625</v>
      </c>
      <c r="Q75" s="193">
        <f t="shared" si="15"/>
        <v>152379.00633083284</v>
      </c>
    </row>
    <row r="76" spans="1:17">
      <c r="A76" s="190">
        <v>67</v>
      </c>
      <c r="B76" s="214" t="s">
        <v>113</v>
      </c>
      <c r="C76" s="192">
        <f>Summary!B75</f>
        <v>69682519.662425429</v>
      </c>
      <c r="D76" s="195"/>
      <c r="E76" s="192">
        <f>'Page 1.4'!D71</f>
        <v>-1926141.0121197081</v>
      </c>
      <c r="F76" s="192">
        <f>'Page 1.4'!E71</f>
        <v>-1755019.3575030803</v>
      </c>
      <c r="G76" s="192">
        <f>'Page 1.4'!F71</f>
        <v>-52188</v>
      </c>
      <c r="H76" s="192">
        <f>'Page 1.4'!G71</f>
        <v>0</v>
      </c>
      <c r="I76" s="192">
        <f>'Page 1.4'!H71</f>
        <v>0</v>
      </c>
      <c r="J76" s="192">
        <f>'Page 1.4'!I71</f>
        <v>-530032.59767068073</v>
      </c>
      <c r="K76" s="192">
        <f>'Page 1.4'!J71</f>
        <v>0</v>
      </c>
      <c r="M76" s="192">
        <f>SUM(E76:L76)</f>
        <v>-4263380.9672934692</v>
      </c>
      <c r="O76" s="192">
        <f>+C76+M76</f>
        <v>65419138.695131958</v>
      </c>
      <c r="P76" s="193">
        <v>63975663.74036815</v>
      </c>
      <c r="Q76" s="193">
        <f t="shared" si="15"/>
        <v>1443474.9547638074</v>
      </c>
    </row>
    <row r="77" spans="1:17">
      <c r="A77" s="190">
        <v>68</v>
      </c>
      <c r="B77" s="214" t="s">
        <v>114</v>
      </c>
      <c r="C77" s="192">
        <f>Summary!B76</f>
        <v>126084593.94117269</v>
      </c>
      <c r="D77" s="195"/>
      <c r="E77" s="192">
        <f>'Page 1.4'!D72</f>
        <v>912561.86790620477</v>
      </c>
      <c r="F77" s="192">
        <f>'Page 1.4'!E72</f>
        <v>-435168.6464068573</v>
      </c>
      <c r="G77" s="192">
        <f>'Page 1.4'!F72</f>
        <v>299183.70853287209</v>
      </c>
      <c r="H77" s="192">
        <f>'Page 1.4'!G72</f>
        <v>2662914.971880889</v>
      </c>
      <c r="I77" s="192">
        <f>'Page 1.4'!H72</f>
        <v>0</v>
      </c>
      <c r="J77" s="192">
        <f>'Page 1.4'!I72</f>
        <v>-1946540.8539068929</v>
      </c>
      <c r="K77" s="192">
        <f>'Page 1.4'!J72</f>
        <v>0</v>
      </c>
      <c r="M77" s="215">
        <f>SUM(E77:L77)</f>
        <v>1492951.0480062154</v>
      </c>
      <c r="O77" s="192">
        <f>+C77+M77</f>
        <v>127577544.98917891</v>
      </c>
      <c r="P77" s="193">
        <v>137849879.86923069</v>
      </c>
      <c r="Q77" s="193">
        <f t="shared" si="15"/>
        <v>-10272334.880051777</v>
      </c>
    </row>
    <row r="78" spans="1:17">
      <c r="A78" s="190">
        <v>69</v>
      </c>
      <c r="B78" s="190" t="s">
        <v>115</v>
      </c>
      <c r="C78" s="233">
        <f>Summary!B77</f>
        <v>-25468973.929361194</v>
      </c>
      <c r="D78" s="191"/>
      <c r="E78" s="233">
        <f>'Page 1.4'!D73</f>
        <v>40974364.538274467</v>
      </c>
      <c r="F78" s="233">
        <f>'Page 1.4'!E73</f>
        <v>72430.870386828203</v>
      </c>
      <c r="G78" s="233">
        <f>'Page 1.4'!F73</f>
        <v>-19583338.295304283</v>
      </c>
      <c r="H78" s="233">
        <f>'Page 1.4'!G73</f>
        <v>-2662914.971880889</v>
      </c>
      <c r="I78" s="233">
        <f>'Page 1.4'!H73</f>
        <v>-893253.90212068311</v>
      </c>
      <c r="J78" s="233">
        <f>'Page 1.4'!I73</f>
        <v>-944440.69398815813</v>
      </c>
      <c r="K78" s="233">
        <f>'Page 1.4'!J73</f>
        <v>2891589.7327373289</v>
      </c>
      <c r="M78" s="216">
        <f>SUM(E78:L78)</f>
        <v>19854437.278104611</v>
      </c>
      <c r="O78" s="200">
        <f>+C78+M78</f>
        <v>-5614536.6512565836</v>
      </c>
      <c r="P78" s="201">
        <v>-63584228.196571395</v>
      </c>
      <c r="Q78" s="193">
        <f t="shared" si="15"/>
        <v>57969691.545314811</v>
      </c>
    </row>
    <row r="79" spans="1:17">
      <c r="A79" s="190">
        <v>70</v>
      </c>
      <c r="B79" s="190"/>
      <c r="C79" s="217"/>
      <c r="D79" s="191"/>
      <c r="E79" s="217"/>
      <c r="F79" s="217"/>
      <c r="G79" s="217"/>
      <c r="H79" s="217"/>
      <c r="I79" s="217"/>
      <c r="J79" s="217"/>
      <c r="K79" s="217"/>
      <c r="M79" s="217"/>
      <c r="Q79" s="193">
        <f t="shared" si="15"/>
        <v>0</v>
      </c>
    </row>
    <row r="80" spans="1:17">
      <c r="A80" s="190">
        <v>71</v>
      </c>
      <c r="B80" s="190" t="s">
        <v>116</v>
      </c>
      <c r="C80" s="192">
        <v>0</v>
      </c>
      <c r="D80" s="195"/>
      <c r="E80" s="192">
        <v>0</v>
      </c>
      <c r="F80" s="192">
        <v>0</v>
      </c>
      <c r="G80" s="192">
        <v>0</v>
      </c>
      <c r="H80" s="192">
        <v>0</v>
      </c>
      <c r="I80" s="192">
        <v>0</v>
      </c>
      <c r="J80" s="192">
        <v>0</v>
      </c>
      <c r="K80" s="192">
        <v>0</v>
      </c>
      <c r="M80" s="192">
        <f>SUM(E80:L80)</f>
        <v>0</v>
      </c>
      <c r="O80" s="218">
        <f>+C80+M80</f>
        <v>0</v>
      </c>
      <c r="P80" s="219">
        <v>0</v>
      </c>
      <c r="Q80" s="193">
        <f t="shared" si="15"/>
        <v>0</v>
      </c>
    </row>
    <row r="81" spans="1:17" ht="12" thickBot="1">
      <c r="A81" s="190">
        <v>72</v>
      </c>
      <c r="B81" s="190" t="s">
        <v>117</v>
      </c>
      <c r="C81" s="220">
        <f>Summary!B80</f>
        <v>-25468973.929361194</v>
      </c>
      <c r="D81" s="195"/>
      <c r="E81" s="220">
        <f>'Page 1.4'!D76</f>
        <v>40974364.538274467</v>
      </c>
      <c r="F81" s="220">
        <f>'Page 1.4'!E76</f>
        <v>72430.870386828203</v>
      </c>
      <c r="G81" s="220">
        <f>'Page 1.4'!F76</f>
        <v>-19583338.295304283</v>
      </c>
      <c r="H81" s="220">
        <f>'Page 1.4'!G76</f>
        <v>-2662914.971880889</v>
      </c>
      <c r="I81" s="220">
        <f>'Page 1.4'!H76</f>
        <v>-893253.90212068311</v>
      </c>
      <c r="J81" s="220">
        <f>'Page 1.4'!I76</f>
        <v>-944440.69398815813</v>
      </c>
      <c r="K81" s="220">
        <f>'Page 1.4'!J76</f>
        <v>2891589.7327373289</v>
      </c>
      <c r="L81" s="221"/>
      <c r="M81" s="220">
        <f>SUM(E81:L81)</f>
        <v>19854437.278104611</v>
      </c>
      <c r="O81" s="222">
        <f>+C81+M81</f>
        <v>-5614536.6512565836</v>
      </c>
      <c r="P81" s="223">
        <v>-63584228.196571395</v>
      </c>
      <c r="Q81" s="193">
        <f t="shared" si="15"/>
        <v>57969691.545314811</v>
      </c>
    </row>
    <row r="82" spans="1:17" ht="13.5" thickTop="1">
      <c r="A82" s="190">
        <v>73</v>
      </c>
      <c r="B82" s="190"/>
      <c r="C82" s="197"/>
      <c r="D82" s="191"/>
      <c r="E82" s="197"/>
      <c r="F82" s="197"/>
      <c r="G82" s="197"/>
      <c r="H82" s="197"/>
      <c r="I82" s="197"/>
      <c r="J82" s="197"/>
      <c r="K82" s="197"/>
      <c r="M82" s="197"/>
      <c r="Q82" s="193">
        <f t="shared" si="15"/>
        <v>0</v>
      </c>
    </row>
    <row r="83" spans="1:17" ht="12" thickBot="1">
      <c r="A83" s="190">
        <v>74</v>
      </c>
      <c r="B83" s="214" t="s">
        <v>307</v>
      </c>
      <c r="C83" s="220">
        <f>Summary!B84</f>
        <v>-13444798.478551678</v>
      </c>
      <c r="D83" s="195"/>
      <c r="E83" s="220">
        <f>'Page 1.4'!D80</f>
        <v>14341027.588396063</v>
      </c>
      <c r="F83" s="220">
        <f>'Page 1.4'!E80</f>
        <v>25350.804635389868</v>
      </c>
      <c r="G83" s="220">
        <f>'Page 1.4'!F80</f>
        <v>-6854168.403356499</v>
      </c>
      <c r="H83" s="220">
        <f>'Page 1.4'!G80</f>
        <v>-932020.24015831109</v>
      </c>
      <c r="I83" s="220">
        <f>'Page 1.4'!H80</f>
        <v>-1518568.0222933162</v>
      </c>
      <c r="J83" s="220">
        <f>'Page 1.4'!I80</f>
        <v>-330554.24289585534</v>
      </c>
      <c r="K83" s="220">
        <f>'Page 1.4'!J80</f>
        <v>1112331.9430198302</v>
      </c>
      <c r="M83" s="220">
        <f>SUM(E83:L83)</f>
        <v>5843399.4273473024</v>
      </c>
      <c r="O83" s="220">
        <f>+C83+M83</f>
        <v>-7601399.0512043759</v>
      </c>
      <c r="P83" s="224">
        <v>-27893216.135399766</v>
      </c>
      <c r="Q83" s="193">
        <f t="shared" si="15"/>
        <v>20291817.08419539</v>
      </c>
    </row>
    <row r="84" spans="1:17" ht="12" thickTop="1"/>
  </sheetData>
  <mergeCells count="2">
    <mergeCell ref="A2:B2"/>
    <mergeCell ref="A3:B3"/>
  </mergeCells>
  <pageMargins left="1" right="0.77" top="0.5" bottom="0.52" header="0.39" footer="0.28000000000000003"/>
  <pageSetup scale="73" firstPageNumber="2" orientation="portrait" useFirstPageNumber="1" r:id="rId1"/>
  <headerFooter alignWithMargins="0">
    <oddHeader>&amp;RExhibit No.__(RBD-2)
Page &amp;P</oddHeader>
  </headerFooter>
  <ignoredErrors>
    <ignoredError sqref="M28 O28" formula="1"/>
  </ignoredErrors>
</worksheet>
</file>

<file path=xl/worksheets/sheet26.xml><?xml version="1.0" encoding="utf-8"?>
<worksheet xmlns="http://schemas.openxmlformats.org/spreadsheetml/2006/main" xmlns:r="http://schemas.openxmlformats.org/officeDocument/2006/relationships">
  <sheetPr codeName="Sheet10"/>
  <dimension ref="A1:J81"/>
  <sheetViews>
    <sheetView workbookViewId="0">
      <pane xSplit="2" ySplit="3" topLeftCell="C4" activePane="bottomRight" state="frozen"/>
      <selection pane="topRight" activeCell="C1" sqref="C1"/>
      <selection pane="bottomLeft" activeCell="A4" sqref="A4"/>
      <selection pane="bottomRight" activeCell="C9" sqref="C9"/>
    </sheetView>
  </sheetViews>
  <sheetFormatPr defaultRowHeight="15"/>
  <cols>
    <col min="1" max="1" width="5.140625" style="85" customWidth="1"/>
    <col min="2" max="2" width="22.85546875" style="85" customWidth="1"/>
    <col min="3" max="10" width="12" style="85" customWidth="1"/>
    <col min="11" max="16384" width="9.140625" style="85"/>
  </cols>
  <sheetData>
    <row r="1" spans="1:10">
      <c r="B1" s="172" t="s">
        <v>271</v>
      </c>
      <c r="C1" s="86"/>
      <c r="D1" s="86"/>
      <c r="E1" s="86"/>
      <c r="F1" s="86"/>
      <c r="G1" s="86"/>
      <c r="H1" s="86"/>
      <c r="I1" s="87"/>
      <c r="J1" s="88" t="s">
        <v>201</v>
      </c>
    </row>
    <row r="3" spans="1:10" ht="34.5">
      <c r="C3" s="89" t="s">
        <v>202</v>
      </c>
      <c r="D3" s="89" t="s">
        <v>213</v>
      </c>
      <c r="E3" s="89" t="s">
        <v>214</v>
      </c>
      <c r="F3" s="89" t="s">
        <v>215</v>
      </c>
      <c r="G3" s="89" t="s">
        <v>216</v>
      </c>
      <c r="H3" s="89" t="s">
        <v>217</v>
      </c>
      <c r="I3" s="89" t="s">
        <v>218</v>
      </c>
      <c r="J3" s="90" t="s">
        <v>219</v>
      </c>
    </row>
    <row r="5" spans="1:10">
      <c r="A5" s="91">
        <v>1</v>
      </c>
      <c r="B5" s="91" t="s">
        <v>56</v>
      </c>
    </row>
    <row r="6" spans="1:10">
      <c r="A6" s="91">
        <v>2</v>
      </c>
      <c r="B6" s="91" t="s">
        <v>57</v>
      </c>
      <c r="C6" s="92">
        <f>SUM(D6:J6)</f>
        <v>49416669.589999989</v>
      </c>
      <c r="D6" s="92">
        <f>'Page 1.5'!D6+'Page 1.6'!D6</f>
        <v>49416669.589999989</v>
      </c>
      <c r="E6" s="92">
        <f>'Page 1.5'!E6+'Page 1.6'!E6</f>
        <v>0</v>
      </c>
      <c r="F6" s="92">
        <f>'Page 1.5'!F6+'Page 1.6'!F6</f>
        <v>0</v>
      </c>
      <c r="G6" s="92">
        <f>'Page 1.5'!G6+'Page 1.6'!G6</f>
        <v>0</v>
      </c>
      <c r="H6" s="92">
        <f>'Page 1.5'!H6+'Page 1.6'!H6</f>
        <v>0</v>
      </c>
      <c r="I6" s="92">
        <f>'Page 1.5'!I6+'Page 1.6'!I6</f>
        <v>0</v>
      </c>
      <c r="J6" s="92">
        <f>'Page 1.5'!J6+'Page 1.6'!J6</f>
        <v>0</v>
      </c>
    </row>
    <row r="7" spans="1:10">
      <c r="A7" s="91">
        <v>3</v>
      </c>
      <c r="B7" s="91" t="s">
        <v>58</v>
      </c>
      <c r="C7" s="92">
        <f>SUM(D7:J7)</f>
        <v>0</v>
      </c>
      <c r="D7" s="92">
        <f>'Page 1.5'!D7+'Page 1.6'!D7</f>
        <v>0</v>
      </c>
      <c r="E7" s="92">
        <f>'Page 1.5'!E7+'Page 1.6'!E7</f>
        <v>0</v>
      </c>
      <c r="F7" s="92">
        <f>'Page 1.5'!F7+'Page 1.6'!F7</f>
        <v>0</v>
      </c>
      <c r="G7" s="92">
        <f>'Page 1.5'!G7+'Page 1.6'!G7</f>
        <v>0</v>
      </c>
      <c r="H7" s="92">
        <f>'Page 1.5'!H7+'Page 1.6'!H7</f>
        <v>0</v>
      </c>
      <c r="I7" s="92">
        <f>'Page 1.5'!I7+'Page 1.6'!I7</f>
        <v>0</v>
      </c>
      <c r="J7" s="92">
        <f>'Page 1.5'!J7+'Page 1.6'!J7</f>
        <v>0</v>
      </c>
    </row>
    <row r="8" spans="1:10">
      <c r="A8" s="91">
        <v>4</v>
      </c>
      <c r="B8" s="91" t="s">
        <v>59</v>
      </c>
      <c r="C8" s="92">
        <f>SUM(D8:J8)</f>
        <v>-32792272.538683683</v>
      </c>
      <c r="D8" s="92">
        <f>'Page 1.5'!D8+'Page 1.6'!D8</f>
        <v>0</v>
      </c>
      <c r="E8" s="92">
        <f>'Page 1.5'!E8+'Page 1.6'!E8</f>
        <v>0</v>
      </c>
      <c r="F8" s="92">
        <f>'Page 1.5'!F8+'Page 1.6'!F8</f>
        <v>-32050019.618184611</v>
      </c>
      <c r="G8" s="92">
        <f>'Page 1.5'!G8+'Page 1.6'!G8</f>
        <v>0</v>
      </c>
      <c r="H8" s="92">
        <f>'Page 1.5'!H8+'Page 1.6'!H8</f>
        <v>0</v>
      </c>
      <c r="I8" s="92">
        <f>'Page 1.5'!I8+'Page 1.6'!I8</f>
        <v>0</v>
      </c>
      <c r="J8" s="92">
        <f>'Page 1.5'!J8+'Page 1.6'!J8</f>
        <v>-742252.92049907148</v>
      </c>
    </row>
    <row r="9" spans="1:10">
      <c r="A9" s="91">
        <v>5</v>
      </c>
      <c r="B9" s="91" t="s">
        <v>60</v>
      </c>
      <c r="C9" s="92">
        <f>SUM(D9:J9)</f>
        <v>-17138448.570234098</v>
      </c>
      <c r="D9" s="92">
        <f>'Page 1.5'!D9+'Page 1.6'!D9</f>
        <v>-6364745.672551631</v>
      </c>
      <c r="E9" s="92">
        <f>'Page 1.5'!E9+'Page 1.6'!E9</f>
        <v>-8855002</v>
      </c>
      <c r="F9" s="92">
        <f>'Page 1.5'!F9+'Page 1.6'!F9</f>
        <v>1100536.4799877179</v>
      </c>
      <c r="G9" s="92">
        <f>'Page 1.5'!G9+'Page 1.6'!G9</f>
        <v>0</v>
      </c>
      <c r="H9" s="92">
        <f>'Page 1.5'!H9+'Page 1.6'!H9</f>
        <v>0</v>
      </c>
      <c r="I9" s="92">
        <f>'Page 1.5'!I9+'Page 1.6'!I9</f>
        <v>-3000000</v>
      </c>
      <c r="J9" s="92">
        <f>'Page 1.5'!J9+'Page 1.6'!J9</f>
        <v>-19237.377670185408</v>
      </c>
    </row>
    <row r="10" spans="1:10">
      <c r="A10" s="91">
        <v>6</v>
      </c>
      <c r="B10" s="91" t="s">
        <v>61</v>
      </c>
      <c r="C10" s="93">
        <f>SUM(C6:C9)</f>
        <v>-514051.51891779155</v>
      </c>
      <c r="D10" s="93">
        <f t="shared" ref="D10:J10" si="0">SUM(D6:D9)</f>
        <v>43051923.917448357</v>
      </c>
      <c r="E10" s="93">
        <f t="shared" si="0"/>
        <v>-8855002</v>
      </c>
      <c r="F10" s="93">
        <f t="shared" si="0"/>
        <v>-30949483.138196893</v>
      </c>
      <c r="G10" s="93">
        <f t="shared" si="0"/>
        <v>0</v>
      </c>
      <c r="H10" s="93">
        <f t="shared" si="0"/>
        <v>0</v>
      </c>
      <c r="I10" s="93">
        <f t="shared" si="0"/>
        <v>-3000000</v>
      </c>
      <c r="J10" s="93">
        <f t="shared" si="0"/>
        <v>-761490.29816925689</v>
      </c>
    </row>
    <row r="11" spans="1:10">
      <c r="A11" s="91">
        <v>7</v>
      </c>
      <c r="B11" s="91"/>
    </row>
    <row r="12" spans="1:10">
      <c r="A12" s="91">
        <v>8</v>
      </c>
      <c r="B12" s="91" t="s">
        <v>62</v>
      </c>
    </row>
    <row r="13" spans="1:10">
      <c r="A13" s="91">
        <v>9</v>
      </c>
      <c r="B13" s="91" t="s">
        <v>63</v>
      </c>
      <c r="C13" s="92">
        <f t="shared" ref="C13:C22" si="1">SUM(D13:J13)</f>
        <v>-157414.21922605042</v>
      </c>
      <c r="D13" s="92">
        <f>'Page 1.5'!D13+'Page 1.6'!D13</f>
        <v>0</v>
      </c>
      <c r="E13" s="92">
        <f>'Page 1.5'!E13+'Page 1.6'!E13</f>
        <v>28003.968153647347</v>
      </c>
      <c r="F13" s="92">
        <f>'Page 1.5'!F13+'Page 1.6'!F13</f>
        <v>778502.85572713334</v>
      </c>
      <c r="G13" s="92">
        <f>'Page 1.5'!G13+'Page 1.6'!G13</f>
        <v>0</v>
      </c>
      <c r="H13" s="92">
        <f>'Page 1.5'!H13+'Page 1.6'!H13</f>
        <v>0</v>
      </c>
      <c r="I13" s="92">
        <f>'Page 1.5'!I13+'Page 1.6'!I13</f>
        <v>0</v>
      </c>
      <c r="J13" s="92">
        <f>'Page 1.5'!J13+'Page 1.6'!J13</f>
        <v>-963921.04310683114</v>
      </c>
    </row>
    <row r="14" spans="1:10">
      <c r="A14" s="91">
        <v>10</v>
      </c>
      <c r="B14" s="91" t="s">
        <v>64</v>
      </c>
      <c r="C14" s="92">
        <f t="shared" si="1"/>
        <v>0</v>
      </c>
      <c r="D14" s="92">
        <f>'Page 1.5'!D14+'Page 1.6'!D14</f>
        <v>0</v>
      </c>
      <c r="E14" s="92">
        <f>'Page 1.5'!E14+'Page 1.6'!E14</f>
        <v>0</v>
      </c>
      <c r="F14" s="92">
        <f>'Page 1.5'!F14+'Page 1.6'!F14</f>
        <v>0</v>
      </c>
      <c r="G14" s="92">
        <f>'Page 1.5'!G14+'Page 1.6'!G14</f>
        <v>0</v>
      </c>
      <c r="H14" s="92">
        <f>'Page 1.5'!H14+'Page 1.6'!H14</f>
        <v>0</v>
      </c>
      <c r="I14" s="92">
        <f>'Page 1.5'!I14+'Page 1.6'!I14</f>
        <v>0</v>
      </c>
      <c r="J14" s="92">
        <f>'Page 1.5'!J14+'Page 1.6'!J14</f>
        <v>0</v>
      </c>
    </row>
    <row r="15" spans="1:10">
      <c r="A15" s="91">
        <v>11</v>
      </c>
      <c r="B15" s="91" t="s">
        <v>65</v>
      </c>
      <c r="C15" s="92">
        <f t="shared" si="1"/>
        <v>-221668.2540908326</v>
      </c>
      <c r="D15" s="92">
        <f>'Page 1.5'!D15+'Page 1.6'!D15</f>
        <v>0</v>
      </c>
      <c r="E15" s="92">
        <f>'Page 1.5'!E15+'Page 1.6'!E15</f>
        <v>7511.6307386317376</v>
      </c>
      <c r="F15" s="92">
        <f>'Page 1.5'!F15+'Page 1.6'!F15</f>
        <v>0</v>
      </c>
      <c r="G15" s="92">
        <f>'Page 1.5'!G15+'Page 1.6'!G15</f>
        <v>0</v>
      </c>
      <c r="H15" s="92">
        <f>'Page 1.5'!H15+'Page 1.6'!H15</f>
        <v>0</v>
      </c>
      <c r="I15" s="92">
        <f>'Page 1.5'!I15+'Page 1.6'!I15</f>
        <v>-107276.52971351889</v>
      </c>
      <c r="J15" s="92">
        <f>'Page 1.5'!J15+'Page 1.6'!J15</f>
        <v>-121903.35511594545</v>
      </c>
    </row>
    <row r="16" spans="1:10">
      <c r="A16" s="91">
        <v>12</v>
      </c>
      <c r="B16" s="91" t="s">
        <v>66</v>
      </c>
      <c r="C16" s="92">
        <f t="shared" si="1"/>
        <v>-10477551.397368219</v>
      </c>
      <c r="D16" s="92">
        <f>'Page 1.5'!D16+'Page 1.6'!D16</f>
        <v>0</v>
      </c>
      <c r="E16" s="92">
        <f>'Page 1.5'!E16+'Page 1.6'!E16</f>
        <v>-78184.270951648519</v>
      </c>
      <c r="F16" s="92">
        <f>'Page 1.5'!F16+'Page 1.6'!F16</f>
        <v>-8471921.4308384247</v>
      </c>
      <c r="G16" s="92">
        <f>'Page 1.5'!G16+'Page 1.6'!G16</f>
        <v>0</v>
      </c>
      <c r="H16" s="92">
        <f>'Page 1.5'!H16+'Page 1.6'!H16</f>
        <v>0</v>
      </c>
      <c r="I16" s="92">
        <f>'Page 1.5'!I16+'Page 1.6'!I16</f>
        <v>0</v>
      </c>
      <c r="J16" s="92">
        <f>'Page 1.5'!J16+'Page 1.6'!J16</f>
        <v>-1927445.6955781446</v>
      </c>
    </row>
    <row r="17" spans="1:10">
      <c r="A17" s="91">
        <v>13</v>
      </c>
      <c r="B17" s="91" t="s">
        <v>67</v>
      </c>
      <c r="C17" s="92">
        <f t="shared" si="1"/>
        <v>-3836556.3012709403</v>
      </c>
      <c r="D17" s="92">
        <f>'Page 1.5'!D17+'Page 1.6'!D17</f>
        <v>-65153.370885581295</v>
      </c>
      <c r="E17" s="92">
        <f>'Page 1.5'!E17+'Page 1.6'!E17</f>
        <v>153724.70817177309</v>
      </c>
      <c r="F17" s="92">
        <f>'Page 1.5'!F17+'Page 1.6'!F17</f>
        <v>-3568926.1977596208</v>
      </c>
      <c r="G17" s="92">
        <f>'Page 1.5'!G17+'Page 1.6'!G17</f>
        <v>0</v>
      </c>
      <c r="H17" s="92">
        <f>'Page 1.5'!H17+'Page 1.6'!H17</f>
        <v>0</v>
      </c>
      <c r="I17" s="92">
        <f>'Page 1.5'!I17+'Page 1.6'!I17</f>
        <v>0</v>
      </c>
      <c r="J17" s="92">
        <f>'Page 1.5'!J17+'Page 1.6'!J17</f>
        <v>-356201.44079751149</v>
      </c>
    </row>
    <row r="18" spans="1:10">
      <c r="A18" s="91">
        <v>14</v>
      </c>
      <c r="B18" s="91" t="s">
        <v>68</v>
      </c>
      <c r="C18" s="92">
        <f t="shared" si="1"/>
        <v>344580.41397375759</v>
      </c>
      <c r="D18" s="92">
        <f>'Page 1.5'!D18+'Page 1.6'!D18</f>
        <v>0</v>
      </c>
      <c r="E18" s="92">
        <f>'Page 1.5'!E18+'Page 1.6'!E18</f>
        <v>344580.41397375759</v>
      </c>
      <c r="F18" s="92">
        <f>'Page 1.5'!F18+'Page 1.6'!F18</f>
        <v>0</v>
      </c>
      <c r="G18" s="92">
        <f>'Page 1.5'!G18+'Page 1.6'!G18</f>
        <v>0</v>
      </c>
      <c r="H18" s="92">
        <f>'Page 1.5'!H18+'Page 1.6'!H18</f>
        <v>0</v>
      </c>
      <c r="I18" s="92">
        <f>'Page 1.5'!I18+'Page 1.6'!I18</f>
        <v>0</v>
      </c>
      <c r="J18" s="92">
        <f>'Page 1.5'!J18+'Page 1.6'!J18</f>
        <v>0</v>
      </c>
    </row>
    <row r="19" spans="1:10">
      <c r="A19" s="91">
        <v>15</v>
      </c>
      <c r="B19" s="91" t="s">
        <v>69</v>
      </c>
      <c r="C19" s="92">
        <f t="shared" si="1"/>
        <v>-1124997.3572180208</v>
      </c>
      <c r="D19" s="92">
        <f>'Page 1.5'!D19+'Page 1.6'!D19</f>
        <v>0</v>
      </c>
      <c r="E19" s="92">
        <f>'Page 1.5'!E19+'Page 1.6'!E19</f>
        <v>-1101526.9172180209</v>
      </c>
      <c r="F19" s="92">
        <f>'Page 1.5'!F19+'Page 1.6'!F19</f>
        <v>0</v>
      </c>
      <c r="G19" s="92">
        <f>'Page 1.5'!G19+'Page 1.6'!G19</f>
        <v>0</v>
      </c>
      <c r="H19" s="92">
        <f>'Page 1.5'!H19+'Page 1.6'!H19</f>
        <v>0</v>
      </c>
      <c r="I19" s="92">
        <f>'Page 1.5'!I19+'Page 1.6'!I19</f>
        <v>-23470.439999999988</v>
      </c>
      <c r="J19" s="92">
        <f>'Page 1.5'!J19+'Page 1.6'!J19</f>
        <v>0</v>
      </c>
    </row>
    <row r="20" spans="1:10">
      <c r="A20" s="91">
        <v>16</v>
      </c>
      <c r="B20" s="91" t="s">
        <v>70</v>
      </c>
      <c r="C20" s="92">
        <f t="shared" si="1"/>
        <v>-8808315.0298450738</v>
      </c>
      <c r="D20" s="92">
        <f>'Page 1.5'!D20+'Page 1.6'!D20</f>
        <v>0</v>
      </c>
      <c r="E20" s="92">
        <f>'Page 1.5'!E20+'Page 1.6'!E20</f>
        <v>-8808315.0298450738</v>
      </c>
      <c r="F20" s="92">
        <f>'Page 1.5'!F20+'Page 1.6'!F20</f>
        <v>0</v>
      </c>
      <c r="G20" s="92">
        <f>'Page 1.5'!G20+'Page 1.6'!G20</f>
        <v>0</v>
      </c>
      <c r="H20" s="92">
        <f>'Page 1.5'!H20+'Page 1.6'!H20</f>
        <v>0</v>
      </c>
      <c r="I20" s="92">
        <f>'Page 1.5'!I20+'Page 1.6'!I20</f>
        <v>0</v>
      </c>
      <c r="J20" s="92">
        <f>'Page 1.5'!J20+'Page 1.6'!J20</f>
        <v>0</v>
      </c>
    </row>
    <row r="21" spans="1:10">
      <c r="A21" s="91">
        <v>17</v>
      </c>
      <c r="B21" s="91" t="s">
        <v>71</v>
      </c>
      <c r="C21" s="92">
        <f t="shared" si="1"/>
        <v>0</v>
      </c>
      <c r="D21" s="92">
        <f>'Page 1.5'!D21+'Page 1.6'!D21</f>
        <v>0</v>
      </c>
      <c r="E21" s="92">
        <f>'Page 1.5'!E21+'Page 1.6'!E21</f>
        <v>0</v>
      </c>
      <c r="F21" s="92">
        <f>'Page 1.5'!F21+'Page 1.6'!F21</f>
        <v>0</v>
      </c>
      <c r="G21" s="92">
        <f>'Page 1.5'!G21+'Page 1.6'!G21</f>
        <v>0</v>
      </c>
      <c r="H21" s="92">
        <f>'Page 1.5'!H21+'Page 1.6'!H21</f>
        <v>0</v>
      </c>
      <c r="I21" s="92">
        <f>'Page 1.5'!I21+'Page 1.6'!I21</f>
        <v>0</v>
      </c>
      <c r="J21" s="92">
        <f>'Page 1.5'!J21+'Page 1.6'!J21</f>
        <v>0</v>
      </c>
    </row>
    <row r="22" spans="1:10">
      <c r="A22" s="91">
        <v>18</v>
      </c>
      <c r="B22" s="91" t="s">
        <v>72</v>
      </c>
      <c r="C22" s="94">
        <f t="shared" si="1"/>
        <v>-653912.21560024971</v>
      </c>
      <c r="D22" s="94">
        <f>'Page 1.5'!D22+'Page 1.6'!D22</f>
        <v>0</v>
      </c>
      <c r="E22" s="94">
        <f>'Page 1.5'!E22+'Page 1.6'!E22</f>
        <v>-730685.07725948398</v>
      </c>
      <c r="F22" s="94">
        <f>'Page 1.5'!F22+'Page 1.6'!F22</f>
        <v>0</v>
      </c>
      <c r="G22" s="94">
        <f>'Page 1.5'!G22+'Page 1.6'!G22</f>
        <v>0</v>
      </c>
      <c r="H22" s="94">
        <f>'Page 1.5'!H22+'Page 1.6'!H22</f>
        <v>0</v>
      </c>
      <c r="I22" s="94">
        <f>'Page 1.5'!I22+'Page 1.6'!I22</f>
        <v>76772.861659234259</v>
      </c>
      <c r="J22" s="94">
        <f>'Page 1.5'!J22+'Page 1.6'!J22</f>
        <v>0</v>
      </c>
    </row>
    <row r="23" spans="1:10">
      <c r="A23" s="91">
        <v>19</v>
      </c>
      <c r="B23" s="91" t="s">
        <v>73</v>
      </c>
      <c r="C23" s="95">
        <f>SUM(C13:C22)</f>
        <v>-24935834.360645629</v>
      </c>
      <c r="D23" s="95">
        <f t="shared" ref="D23:J23" si="2">SUM(D13:D22)</f>
        <v>-65153.370885581295</v>
      </c>
      <c r="E23" s="95">
        <f t="shared" si="2"/>
        <v>-10184890.574236419</v>
      </c>
      <c r="F23" s="95">
        <f t="shared" si="2"/>
        <v>-11262344.772870913</v>
      </c>
      <c r="G23" s="95">
        <f t="shared" si="2"/>
        <v>0</v>
      </c>
      <c r="H23" s="95">
        <f t="shared" si="2"/>
        <v>0</v>
      </c>
      <c r="I23" s="95">
        <f t="shared" si="2"/>
        <v>-53974.108054284618</v>
      </c>
      <c r="J23" s="95">
        <f t="shared" si="2"/>
        <v>-3369471.5345984325</v>
      </c>
    </row>
    <row r="24" spans="1:10">
      <c r="A24" s="91">
        <v>20</v>
      </c>
      <c r="B24" s="91" t="s">
        <v>74</v>
      </c>
      <c r="C24" s="92">
        <f>SUM(D24:J24)</f>
        <v>-788827.3579004521</v>
      </c>
      <c r="D24" s="92">
        <f>'Page 1.5'!D24+'Page 1.6'!D24</f>
        <v>0</v>
      </c>
      <c r="E24" s="92">
        <f>'Page 1.5'!E24+'Page 1.6'!E24</f>
        <v>-62393.007246632129</v>
      </c>
      <c r="F24" s="92">
        <f>'Page 1.5'!F24+'Page 1.6'!F24</f>
        <v>-408883.72009548731</v>
      </c>
      <c r="G24" s="92">
        <f>'Page 1.5'!G24+'Page 1.6'!G24</f>
        <v>0</v>
      </c>
      <c r="H24" s="92">
        <f>'Page 1.5'!H24+'Page 1.6'!H24</f>
        <v>0</v>
      </c>
      <c r="I24" s="92">
        <f>'Page 1.5'!I24+'Page 1.6'!I24</f>
        <v>-17990.552799178593</v>
      </c>
      <c r="J24" s="92">
        <f>'Page 1.5'!J24+'Page 1.6'!J24</f>
        <v>-299560.07775915402</v>
      </c>
    </row>
    <row r="25" spans="1:10">
      <c r="A25" s="91">
        <v>21</v>
      </c>
      <c r="B25" s="91" t="s">
        <v>75</v>
      </c>
      <c r="C25" s="92">
        <f>SUM(D25:J25)</f>
        <v>-577160.48710398469</v>
      </c>
      <c r="D25" s="92">
        <f>'Page 1.5'!D25+'Page 1.6'!D25</f>
        <v>0</v>
      </c>
      <c r="E25" s="92">
        <f>'Page 1.5'!E25+'Page 1.6'!E25</f>
        <v>0</v>
      </c>
      <c r="F25" s="92">
        <f>'Page 1.5'!F25+'Page 1.6'!F25</f>
        <v>0</v>
      </c>
      <c r="G25" s="92">
        <f>'Page 1.5'!G25+'Page 1.6'!G25</f>
        <v>0</v>
      </c>
      <c r="H25" s="92">
        <f>'Page 1.5'!H25+'Page 1.6'!H25</f>
        <v>0</v>
      </c>
      <c r="I25" s="92">
        <f>'Page 1.5'!I25+'Page 1.6'!I25</f>
        <v>-577160.48710398469</v>
      </c>
      <c r="J25" s="92">
        <f>'Page 1.5'!J25+'Page 1.6'!J25</f>
        <v>0</v>
      </c>
    </row>
    <row r="26" spans="1:10">
      <c r="A26" s="91">
        <v>22</v>
      </c>
      <c r="B26" s="91" t="s">
        <v>76</v>
      </c>
      <c r="C26" s="92">
        <f>SUM(D26:J26)</f>
        <v>1695432.3015409142</v>
      </c>
      <c r="D26" s="92">
        <f>'Page 1.5'!D26+'Page 1.6'!D26</f>
        <v>0</v>
      </c>
      <c r="E26" s="92">
        <f>'Page 1.5'!E26+'Page 1.6'!E26</f>
        <v>0</v>
      </c>
      <c r="F26" s="92">
        <f>'Page 1.5'!F26+'Page 1.6'!F26</f>
        <v>-46288.058459085209</v>
      </c>
      <c r="G26" s="92">
        <f>'Page 1.5'!G26+'Page 1.6'!G26</f>
        <v>0</v>
      </c>
      <c r="H26" s="92">
        <f>'Page 1.5'!H26+'Page 1.6'!H26</f>
        <v>1741720.3599999994</v>
      </c>
      <c r="I26" s="92">
        <f>'Page 1.5'!I26+'Page 1.6'!I26</f>
        <v>0</v>
      </c>
      <c r="J26" s="92">
        <f>'Page 1.5'!J26+'Page 1.6'!J26</f>
        <v>0</v>
      </c>
    </row>
    <row r="27" spans="1:10">
      <c r="A27" s="91">
        <v>23</v>
      </c>
      <c r="B27" s="91" t="s">
        <v>203</v>
      </c>
      <c r="C27" s="92">
        <f>C80</f>
        <v>5843399.4273473024</v>
      </c>
      <c r="D27" s="92">
        <f>D80</f>
        <v>14341027.588396063</v>
      </c>
      <c r="E27" s="92">
        <f t="shared" ref="E27:J27" si="3">E80</f>
        <v>25350.804635389868</v>
      </c>
      <c r="F27" s="92">
        <f t="shared" si="3"/>
        <v>-6854168.403356499</v>
      </c>
      <c r="G27" s="92">
        <f t="shared" si="3"/>
        <v>-932020.24015831109</v>
      </c>
      <c r="H27" s="92">
        <f t="shared" si="3"/>
        <v>-1518568.0222933162</v>
      </c>
      <c r="I27" s="92">
        <f t="shared" si="3"/>
        <v>-330554.24289585534</v>
      </c>
      <c r="J27" s="92">
        <f t="shared" si="3"/>
        <v>1112331.9430198302</v>
      </c>
    </row>
    <row r="28" spans="1:10">
      <c r="A28" s="91">
        <v>24</v>
      </c>
      <c r="B28" s="91" t="s">
        <v>204</v>
      </c>
      <c r="C28" s="92">
        <f>SUM(D28:J28)</f>
        <v>0</v>
      </c>
      <c r="D28" s="92">
        <v>0</v>
      </c>
      <c r="E28" s="92">
        <f t="shared" ref="E28" si="4">C227</f>
        <v>0</v>
      </c>
      <c r="F28" s="92">
        <f t="shared" ref="F28" si="5">C341</f>
        <v>0</v>
      </c>
      <c r="G28" s="92">
        <f t="shared" ref="G28" si="6">C455</f>
        <v>0</v>
      </c>
      <c r="H28" s="92">
        <f t="shared" ref="H28" si="7">C570</f>
        <v>0</v>
      </c>
      <c r="I28" s="92">
        <f t="shared" ref="I28" si="8">C685</f>
        <v>0</v>
      </c>
      <c r="J28" s="92">
        <f t="shared" ref="J28" si="9">C803</f>
        <v>0</v>
      </c>
    </row>
    <row r="29" spans="1:10">
      <c r="A29" s="91">
        <v>25</v>
      </c>
      <c r="B29" s="91" t="s">
        <v>205</v>
      </c>
      <c r="C29" s="92">
        <f>SUM(D29:J29)</f>
        <v>-313781.08975478605</v>
      </c>
      <c r="D29" s="92">
        <f>'Page 1.5'!D29+'Page 1.6'!D29</f>
        <v>342725.89115355402</v>
      </c>
      <c r="E29" s="92">
        <f>'Page 1.5'!E29+'Page 1.6'!E29</f>
        <v>-102491</v>
      </c>
      <c r="F29" s="92">
        <f>'Page 1.5'!F29+'Page 1.6'!F29</f>
        <v>113543.20922531039</v>
      </c>
      <c r="G29" s="92">
        <f>'Page 1.5'!G29+'Page 1.6'!G29</f>
        <v>1010602.8659636988</v>
      </c>
      <c r="H29" s="92">
        <f>'Page 1.5'!H29+'Page 1.6'!H29</f>
        <v>-1337698.118596904</v>
      </c>
      <c r="I29" s="92">
        <f>'Page 1.5'!I29+'Page 1.6'!I29</f>
        <v>-340463.93750044535</v>
      </c>
      <c r="J29" s="92">
        <f>'Page 1.5'!J29+'Page 1.6'!J29</f>
        <v>0</v>
      </c>
    </row>
    <row r="30" spans="1:10">
      <c r="A30" s="91">
        <v>26</v>
      </c>
      <c r="B30" s="91" t="s">
        <v>80</v>
      </c>
      <c r="C30" s="92">
        <f>SUM(D30:J30)</f>
        <v>0</v>
      </c>
      <c r="D30" s="92">
        <f>'Page 1.5'!D30+'Page 1.6'!D30</f>
        <v>0</v>
      </c>
      <c r="E30" s="92">
        <f>'Page 1.5'!E30+'Page 1.6'!E30</f>
        <v>0</v>
      </c>
      <c r="F30" s="92">
        <f>'Page 1.5'!F30+'Page 1.6'!F30</f>
        <v>0</v>
      </c>
      <c r="G30" s="92">
        <f>'Page 1.5'!G30+'Page 1.6'!G30</f>
        <v>0</v>
      </c>
      <c r="H30" s="92">
        <f>'Page 1.5'!H30+'Page 1.6'!H30</f>
        <v>0</v>
      </c>
      <c r="I30" s="92">
        <f>'Page 1.5'!I30+'Page 1.6'!I30</f>
        <v>0</v>
      </c>
      <c r="J30" s="92">
        <f>'Page 1.5'!J30+'Page 1.6'!J30</f>
        <v>0</v>
      </c>
    </row>
    <row r="31" spans="1:10">
      <c r="A31" s="91">
        <v>27</v>
      </c>
      <c r="B31" s="91" t="s">
        <v>81</v>
      </c>
      <c r="C31" s="92">
        <f>SUM(D31:J31)</f>
        <v>-669964.45033362613</v>
      </c>
      <c r="D31" s="92">
        <f>'Page 1.5'!D31+'Page 1.6'!D31</f>
        <v>-695990.1299664448</v>
      </c>
      <c r="E31" s="92">
        <f>'Page 1.5'!E31+'Page 1.6'!E31</f>
        <v>0</v>
      </c>
      <c r="F31" s="92">
        <f>'Page 1.5'!F31+'Page 1.6'!F31</f>
        <v>0</v>
      </c>
      <c r="G31" s="92">
        <f>'Page 1.5'!G31+'Page 1.6'!G31</f>
        <v>0</v>
      </c>
      <c r="H31" s="92">
        <f>'Page 1.5'!H31+'Page 1.6'!H31</f>
        <v>0</v>
      </c>
      <c r="I31" s="92">
        <f>'Page 1.5'!I31+'Page 1.6'!I31</f>
        <v>10074.098181818181</v>
      </c>
      <c r="J31" s="92">
        <f>'Page 1.5'!J31+'Page 1.6'!J31</f>
        <v>15951.581451000529</v>
      </c>
    </row>
    <row r="32" spans="1:10">
      <c r="A32" s="91">
        <v>28</v>
      </c>
      <c r="B32" s="96" t="s">
        <v>82</v>
      </c>
      <c r="C32" s="97">
        <f>SUM(C23:C31)</f>
        <v>-19746736.016850259</v>
      </c>
      <c r="D32" s="97">
        <f t="shared" ref="D32:J32" si="10">SUM(D23:D31)</f>
        <v>13922609.978697591</v>
      </c>
      <c r="E32" s="97">
        <f t="shared" si="10"/>
        <v>-10324423.776847661</v>
      </c>
      <c r="F32" s="97">
        <f t="shared" si="10"/>
        <v>-18458141.745556671</v>
      </c>
      <c r="G32" s="97">
        <f t="shared" si="10"/>
        <v>78582.625805387739</v>
      </c>
      <c r="H32" s="97">
        <f t="shared" si="10"/>
        <v>-1114545.7808902208</v>
      </c>
      <c r="I32" s="97">
        <f t="shared" si="10"/>
        <v>-1310069.2301719305</v>
      </c>
      <c r="J32" s="97">
        <f t="shared" si="10"/>
        <v>-2540748.0878867558</v>
      </c>
    </row>
    <row r="33" spans="1:10">
      <c r="A33" s="91">
        <v>29</v>
      </c>
      <c r="B33" s="91"/>
    </row>
    <row r="34" spans="1:10" ht="15.75" thickBot="1">
      <c r="A34" s="91">
        <v>30</v>
      </c>
      <c r="B34" s="91" t="s">
        <v>83</v>
      </c>
      <c r="C34" s="98">
        <f>C10-C32</f>
        <v>19232684.497932468</v>
      </c>
      <c r="D34" s="98">
        <f t="shared" ref="D34:J34" si="11">D10-D32</f>
        <v>29129313.938750766</v>
      </c>
      <c r="E34" s="98">
        <f t="shared" si="11"/>
        <v>1469421.7768476605</v>
      </c>
      <c r="F34" s="98">
        <f t="shared" si="11"/>
        <v>-12491341.392640222</v>
      </c>
      <c r="G34" s="98">
        <f t="shared" si="11"/>
        <v>-78582.625805387739</v>
      </c>
      <c r="H34" s="98">
        <f t="shared" si="11"/>
        <v>1114545.7808902208</v>
      </c>
      <c r="I34" s="98">
        <f t="shared" si="11"/>
        <v>-1689930.7698280695</v>
      </c>
      <c r="J34" s="98">
        <f t="shared" si="11"/>
        <v>1779257.7897174989</v>
      </c>
    </row>
    <row r="35" spans="1:10" ht="15.75" thickTop="1">
      <c r="A35" s="91">
        <v>31</v>
      </c>
      <c r="B35" s="91"/>
    </row>
    <row r="36" spans="1:10">
      <c r="A36" s="91">
        <v>32</v>
      </c>
      <c r="B36" s="91" t="s">
        <v>84</v>
      </c>
    </row>
    <row r="37" spans="1:10">
      <c r="A37" s="91">
        <v>33</v>
      </c>
      <c r="B37" s="91" t="s">
        <v>85</v>
      </c>
      <c r="C37" s="92">
        <f t="shared" ref="C37:C47" si="12">SUM(D37:J37)</f>
        <v>15932098.041228285</v>
      </c>
      <c r="D37" s="92">
        <f>'Page 1.5'!D37+'Page 1.6'!D37</f>
        <v>0</v>
      </c>
      <c r="E37" s="92">
        <f>'Page 1.5'!E37+'Page 1.6'!E37</f>
        <v>-2012269.6840151576</v>
      </c>
      <c r="F37" s="92">
        <f>'Page 1.5'!F37+'Page 1.6'!F37</f>
        <v>-26918433.364462718</v>
      </c>
      <c r="G37" s="92">
        <f>'Page 1.5'!G37+'Page 1.6'!G37</f>
        <v>0</v>
      </c>
      <c r="H37" s="92">
        <f>'Page 1.5'!H37+'Page 1.6'!H37</f>
        <v>0</v>
      </c>
      <c r="I37" s="92">
        <f>'Page 1.5'!I37+'Page 1.6'!I37</f>
        <v>57008379.026907839</v>
      </c>
      <c r="J37" s="92">
        <f>'Page 1.5'!J37+'Page 1.6'!J37</f>
        <v>-12145577.937201677</v>
      </c>
    </row>
    <row r="38" spans="1:10">
      <c r="A38" s="91">
        <v>34</v>
      </c>
      <c r="B38" s="91" t="s">
        <v>86</v>
      </c>
      <c r="C38" s="92">
        <f t="shared" si="12"/>
        <v>0</v>
      </c>
      <c r="D38" s="92">
        <f>'Page 1.5'!D38+'Page 1.6'!D38</f>
        <v>0</v>
      </c>
      <c r="E38" s="92">
        <f>'Page 1.5'!E38+'Page 1.6'!E38</f>
        <v>0</v>
      </c>
      <c r="F38" s="92">
        <f>'Page 1.5'!F38+'Page 1.6'!F38</f>
        <v>0</v>
      </c>
      <c r="G38" s="92">
        <f>'Page 1.5'!G38+'Page 1.6'!G38</f>
        <v>0</v>
      </c>
      <c r="H38" s="92">
        <f>'Page 1.5'!H38+'Page 1.6'!H38</f>
        <v>0</v>
      </c>
      <c r="I38" s="92">
        <f>'Page 1.5'!I38+'Page 1.6'!I38</f>
        <v>0</v>
      </c>
      <c r="J38" s="92">
        <f>'Page 1.5'!J38+'Page 1.6'!J38</f>
        <v>0</v>
      </c>
    </row>
    <row r="39" spans="1:10">
      <c r="A39" s="91">
        <v>35</v>
      </c>
      <c r="B39" s="91" t="s">
        <v>87</v>
      </c>
      <c r="C39" s="92">
        <f t="shared" si="12"/>
        <v>-5634630.6639231807</v>
      </c>
      <c r="D39" s="92">
        <f>'Page 1.5'!D39+'Page 1.6'!D39</f>
        <v>0</v>
      </c>
      <c r="E39" s="92">
        <f>'Page 1.5'!E39+'Page 1.6'!E39</f>
        <v>-79630.904999999548</v>
      </c>
      <c r="F39" s="92">
        <f>'Page 1.5'!F39+'Page 1.6'!F39</f>
        <v>0</v>
      </c>
      <c r="G39" s="92">
        <f>'Page 1.5'!G39+'Page 1.6'!G39</f>
        <v>0</v>
      </c>
      <c r="H39" s="92">
        <f>'Page 1.5'!H39+'Page 1.6'!H39</f>
        <v>0</v>
      </c>
      <c r="I39" s="92">
        <f>'Page 1.5'!I39+'Page 1.6'!I39</f>
        <v>-5548269.3351594238</v>
      </c>
      <c r="J39" s="92">
        <f>'Page 1.5'!J39+'Page 1.6'!J39</f>
        <v>-6730.423763757688</v>
      </c>
    </row>
    <row r="40" spans="1:10">
      <c r="A40" s="91">
        <v>36</v>
      </c>
      <c r="B40" s="91" t="s">
        <v>88</v>
      </c>
      <c r="C40" s="92">
        <f t="shared" si="12"/>
        <v>0</v>
      </c>
      <c r="D40" s="92">
        <f>'Page 1.5'!D40+'Page 1.6'!D40</f>
        <v>0</v>
      </c>
      <c r="E40" s="92">
        <f>'Page 1.5'!E40+'Page 1.6'!E40</f>
        <v>0</v>
      </c>
      <c r="F40" s="92">
        <f>'Page 1.5'!F40+'Page 1.6'!F40</f>
        <v>0</v>
      </c>
      <c r="G40" s="92">
        <f>'Page 1.5'!G40+'Page 1.6'!G40</f>
        <v>0</v>
      </c>
      <c r="H40" s="92">
        <f>'Page 1.5'!H40+'Page 1.6'!H40</f>
        <v>0</v>
      </c>
      <c r="I40" s="92">
        <f>'Page 1.5'!I40+'Page 1.6'!I40</f>
        <v>0</v>
      </c>
      <c r="J40" s="92">
        <f>'Page 1.5'!J40+'Page 1.6'!J40</f>
        <v>0</v>
      </c>
    </row>
    <row r="41" spans="1:10">
      <c r="A41" s="91">
        <v>37</v>
      </c>
      <c r="B41" s="91" t="s">
        <v>89</v>
      </c>
      <c r="C41" s="92">
        <f t="shared" si="12"/>
        <v>0</v>
      </c>
      <c r="D41" s="92">
        <f>'Page 1.5'!D41+'Page 1.6'!D41</f>
        <v>0</v>
      </c>
      <c r="E41" s="92">
        <f>'Page 1.5'!E41+'Page 1.6'!E41</f>
        <v>0</v>
      </c>
      <c r="F41" s="92">
        <f>'Page 1.5'!F41+'Page 1.6'!F41</f>
        <v>0</v>
      </c>
      <c r="G41" s="92">
        <f>'Page 1.5'!G41+'Page 1.6'!G41</f>
        <v>0</v>
      </c>
      <c r="H41" s="92">
        <f>'Page 1.5'!H41+'Page 1.6'!H41</f>
        <v>0</v>
      </c>
      <c r="I41" s="92">
        <f>'Page 1.5'!I41+'Page 1.6'!I41</f>
        <v>0</v>
      </c>
      <c r="J41" s="92">
        <f>'Page 1.5'!J41+'Page 1.6'!J41</f>
        <v>0</v>
      </c>
    </row>
    <row r="42" spans="1:10">
      <c r="A42" s="91">
        <v>38</v>
      </c>
      <c r="B42" s="91" t="s">
        <v>90</v>
      </c>
      <c r="C42" s="92">
        <f t="shared" si="12"/>
        <v>-2240510.2035326045</v>
      </c>
      <c r="D42" s="92">
        <f>'Page 1.5'!D42+'Page 1.6'!D42</f>
        <v>0</v>
      </c>
      <c r="E42" s="92">
        <f>'Page 1.5'!E42+'Page 1.6'!E42</f>
        <v>0</v>
      </c>
      <c r="F42" s="92">
        <f>'Page 1.5'!F42+'Page 1.6'!F42</f>
        <v>0</v>
      </c>
      <c r="G42" s="92">
        <f>'Page 1.5'!G42+'Page 1.6'!G42</f>
        <v>0</v>
      </c>
      <c r="H42" s="92">
        <f>'Page 1.5'!H42+'Page 1.6'!H42</f>
        <v>0</v>
      </c>
      <c r="I42" s="92">
        <f>'Page 1.5'!I42+'Page 1.6'!I42</f>
        <v>-2240510.2035326045</v>
      </c>
      <c r="J42" s="92">
        <f>'Page 1.5'!J42+'Page 1.6'!J42</f>
        <v>0</v>
      </c>
    </row>
    <row r="43" spans="1:10">
      <c r="A43" s="91">
        <v>39</v>
      </c>
      <c r="B43" s="91" t="s">
        <v>91</v>
      </c>
      <c r="C43" s="92">
        <f t="shared" si="12"/>
        <v>-4907986.4739838867</v>
      </c>
      <c r="D43" s="92">
        <f>'Page 1.5'!D43+'Page 1.6'!D43</f>
        <v>0</v>
      </c>
      <c r="E43" s="92">
        <f>'Page 1.5'!E43+'Page 1.6'!E43</f>
        <v>0</v>
      </c>
      <c r="F43" s="92">
        <f>'Page 1.5'!F43+'Page 1.6'!F43</f>
        <v>0</v>
      </c>
      <c r="G43" s="92">
        <f>'Page 1.5'!G43+'Page 1.6'!G43</f>
        <v>0</v>
      </c>
      <c r="H43" s="92">
        <f>'Page 1.5'!H43+'Page 1.6'!H43</f>
        <v>0</v>
      </c>
      <c r="I43" s="92">
        <f>'Page 1.5'!I43+'Page 1.6'!I43</f>
        <v>-4907986.4739838867</v>
      </c>
      <c r="J43" s="92">
        <f>'Page 1.5'!J43+'Page 1.6'!J43</f>
        <v>0</v>
      </c>
    </row>
    <row r="44" spans="1:10">
      <c r="A44" s="91">
        <v>40</v>
      </c>
      <c r="B44" s="91" t="s">
        <v>92</v>
      </c>
      <c r="C44" s="92">
        <f t="shared" si="12"/>
        <v>-7435680.6054583685</v>
      </c>
      <c r="D44" s="92">
        <f>'Page 1.5'!D44+'Page 1.6'!D44</f>
        <v>0</v>
      </c>
      <c r="E44" s="92">
        <f>'Page 1.5'!E44+'Page 1.6'!E44</f>
        <v>0</v>
      </c>
      <c r="F44" s="92">
        <f>'Page 1.5'!F44+'Page 1.6'!F44</f>
        <v>0</v>
      </c>
      <c r="G44" s="92">
        <f>'Page 1.5'!G44+'Page 1.6'!G44</f>
        <v>0</v>
      </c>
      <c r="H44" s="92">
        <f>'Page 1.5'!H44+'Page 1.6'!H44</f>
        <v>0</v>
      </c>
      <c r="I44" s="92">
        <f>'Page 1.5'!I44+'Page 1.6'!I44</f>
        <v>-7435680.6054583685</v>
      </c>
      <c r="J44" s="92">
        <f>'Page 1.5'!J44+'Page 1.6'!J44</f>
        <v>0</v>
      </c>
    </row>
    <row r="45" spans="1:10">
      <c r="A45" s="91">
        <v>41</v>
      </c>
      <c r="B45" s="91" t="s">
        <v>93</v>
      </c>
      <c r="C45" s="92">
        <f t="shared" si="12"/>
        <v>-3098080.8131170203</v>
      </c>
      <c r="D45" s="92">
        <f>'Page 1.5'!D45+'Page 1.6'!D45</f>
        <v>0</v>
      </c>
      <c r="E45" s="92">
        <f>'Page 1.5'!E45+'Page 1.6'!E45</f>
        <v>0</v>
      </c>
      <c r="F45" s="92">
        <f>'Page 1.5'!F45+'Page 1.6'!F45</f>
        <v>0</v>
      </c>
      <c r="G45" s="92">
        <f>'Page 1.5'!G45+'Page 1.6'!G45</f>
        <v>0</v>
      </c>
      <c r="H45" s="92">
        <f>'Page 1.5'!H45+'Page 1.6'!H45</f>
        <v>0</v>
      </c>
      <c r="I45" s="92">
        <f>'Page 1.5'!I45+'Page 1.6'!I45</f>
        <v>-3098080.8131170203</v>
      </c>
      <c r="J45" s="92">
        <f>'Page 1.5'!J45+'Page 1.6'!J45</f>
        <v>0</v>
      </c>
    </row>
    <row r="46" spans="1:10">
      <c r="A46" s="91">
        <v>42</v>
      </c>
      <c r="B46" s="91" t="s">
        <v>206</v>
      </c>
      <c r="C46" s="92">
        <f t="shared" si="12"/>
        <v>0</v>
      </c>
      <c r="D46" s="92">
        <f>'Page 1.5'!D46+'Page 1.6'!D46</f>
        <v>0</v>
      </c>
      <c r="E46" s="92">
        <f>'Page 1.5'!E46+'Page 1.6'!E46</f>
        <v>0</v>
      </c>
      <c r="F46" s="92">
        <f>'Page 1.5'!F46+'Page 1.6'!F46</f>
        <v>0</v>
      </c>
      <c r="G46" s="92">
        <f>'Page 1.5'!G46+'Page 1.6'!G46</f>
        <v>0</v>
      </c>
      <c r="H46" s="92">
        <f>'Page 1.5'!H46+'Page 1.6'!H46</f>
        <v>0</v>
      </c>
      <c r="I46" s="92">
        <f>'Page 1.5'!I46+'Page 1.6'!I46</f>
        <v>0</v>
      </c>
      <c r="J46" s="92">
        <f>'Page 1.5'!J46+'Page 1.6'!J46</f>
        <v>0</v>
      </c>
    </row>
    <row r="47" spans="1:10">
      <c r="A47" s="91">
        <v>43</v>
      </c>
      <c r="B47" s="91" t="s">
        <v>95</v>
      </c>
      <c r="C47" s="92">
        <f t="shared" si="12"/>
        <v>-102468.75195108727</v>
      </c>
      <c r="D47" s="94">
        <f>'Page 1.5'!D47+'Page 1.6'!D47</f>
        <v>0</v>
      </c>
      <c r="E47" s="92">
        <f>'Page 1.5'!E47+'Page 1.6'!E47</f>
        <v>0</v>
      </c>
      <c r="F47" s="92">
        <f>'Page 1.5'!F47+'Page 1.6'!F47</f>
        <v>0</v>
      </c>
      <c r="G47" s="92">
        <f>'Page 1.5'!G47+'Page 1.6'!G47</f>
        <v>0</v>
      </c>
      <c r="H47" s="92">
        <f>'Page 1.5'!H47+'Page 1.6'!H47</f>
        <v>0</v>
      </c>
      <c r="I47" s="92">
        <f>'Page 1.5'!I47+'Page 1.6'!I47</f>
        <v>-102468.75195108727</v>
      </c>
      <c r="J47" s="92">
        <f>'Page 1.5'!J47+'Page 1.6'!J47</f>
        <v>0</v>
      </c>
    </row>
    <row r="48" spans="1:10">
      <c r="A48" s="91">
        <v>44</v>
      </c>
      <c r="B48" s="91" t="s">
        <v>96</v>
      </c>
      <c r="C48" s="97">
        <f>SUM(C37:C47)</f>
        <v>-7487259.4707378615</v>
      </c>
      <c r="D48" s="97">
        <f t="shared" ref="D48:J48" si="13">SUM(D37:D47)</f>
        <v>0</v>
      </c>
      <c r="E48" s="97">
        <f t="shared" si="13"/>
        <v>-2091900.5890151572</v>
      </c>
      <c r="F48" s="97">
        <f t="shared" si="13"/>
        <v>-26918433.364462718</v>
      </c>
      <c r="G48" s="97">
        <f t="shared" si="13"/>
        <v>0</v>
      </c>
      <c r="H48" s="97">
        <f t="shared" si="13"/>
        <v>0</v>
      </c>
      <c r="I48" s="97">
        <f t="shared" si="13"/>
        <v>33675382.843705446</v>
      </c>
      <c r="J48" s="97">
        <f t="shared" si="13"/>
        <v>-12152308.360965434</v>
      </c>
    </row>
    <row r="49" spans="1:10">
      <c r="A49" s="91">
        <v>45</v>
      </c>
      <c r="B49" s="91"/>
    </row>
    <row r="50" spans="1:10">
      <c r="A50" s="91">
        <v>46</v>
      </c>
      <c r="B50" s="91" t="s">
        <v>207</v>
      </c>
    </row>
    <row r="51" spans="1:10">
      <c r="A51" s="91">
        <v>47</v>
      </c>
      <c r="B51" s="91" t="s">
        <v>98</v>
      </c>
      <c r="C51" s="92">
        <f t="shared" ref="C51:C57" si="14">SUM(D51:J51)</f>
        <v>5586171.9746013768</v>
      </c>
      <c r="D51" s="92">
        <f>'Page 1.5'!D51+'Page 1.6'!D51</f>
        <v>0</v>
      </c>
      <c r="E51" s="92">
        <f>'Page 1.5'!E51+'Page 1.6'!E51</f>
        <v>9419911.8527651522</v>
      </c>
      <c r="F51" s="92">
        <f>'Page 1.5'!F51+'Page 1.6'!F51</f>
        <v>16700424.00742016</v>
      </c>
      <c r="G51" s="92">
        <f>'Page 1.5'!G51+'Page 1.6'!G51</f>
        <v>664248.66961093317</v>
      </c>
      <c r="H51" s="92">
        <f>'Page 1.5'!H51+'Page 1.6'!H51</f>
        <v>0</v>
      </c>
      <c r="I51" s="92">
        <f>'Page 1.5'!I51+'Page 1.6'!I51</f>
        <v>-25269963.073925041</v>
      </c>
      <c r="J51" s="92">
        <f>'Page 1.5'!J51+'Page 1.6'!J51</f>
        <v>4071550.5187301748</v>
      </c>
    </row>
    <row r="52" spans="1:10">
      <c r="A52" s="91">
        <v>48</v>
      </c>
      <c r="B52" s="91" t="s">
        <v>99</v>
      </c>
      <c r="C52" s="92">
        <f t="shared" si="14"/>
        <v>0</v>
      </c>
      <c r="D52" s="92">
        <f>'Page 1.5'!D52+'Page 1.6'!D52</f>
        <v>0</v>
      </c>
      <c r="E52" s="92">
        <f>'Page 1.5'!E52+'Page 1.6'!E52</f>
        <v>0</v>
      </c>
      <c r="F52" s="92">
        <f>'Page 1.5'!F52+'Page 1.6'!F52</f>
        <v>0</v>
      </c>
      <c r="G52" s="92">
        <f>'Page 1.5'!G52+'Page 1.6'!G52</f>
        <v>0</v>
      </c>
      <c r="H52" s="92">
        <f>'Page 1.5'!H52+'Page 1.6'!H52</f>
        <v>0</v>
      </c>
      <c r="I52" s="92">
        <f>'Page 1.5'!I52+'Page 1.6'!I52</f>
        <v>0</v>
      </c>
      <c r="J52" s="92">
        <f>'Page 1.5'!J52+'Page 1.6'!J52</f>
        <v>0</v>
      </c>
    </row>
    <row r="53" spans="1:10">
      <c r="A53" s="91">
        <v>49</v>
      </c>
      <c r="B53" s="91" t="s">
        <v>100</v>
      </c>
      <c r="C53" s="92">
        <f t="shared" si="14"/>
        <v>289481.270362254</v>
      </c>
      <c r="D53" s="92">
        <f>'Page 1.5'!D53+'Page 1.6'!D53</f>
        <v>1220290.3429160728</v>
      </c>
      <c r="E53" s="92">
        <f>'Page 1.5'!E53+'Page 1.6'!E53</f>
        <v>-1212325.7083333335</v>
      </c>
      <c r="F53" s="92">
        <f>'Page 1.5'!F53+'Page 1.6'!F53</f>
        <v>1484568.406393917</v>
      </c>
      <c r="G53" s="92">
        <f>'Page 1.5'!G53+'Page 1.6'!G53</f>
        <v>-391038.76591474324</v>
      </c>
      <c r="H53" s="92">
        <f>'Page 1.5'!H53+'Page 1.6'!H53</f>
        <v>-2131982.0781018613</v>
      </c>
      <c r="I53" s="92">
        <f>'Page 1.5'!I53+'Page 1.6'!I53</f>
        <v>1319969.0734022022</v>
      </c>
      <c r="J53" s="92">
        <f>'Page 1.5'!J53+'Page 1.6'!J53</f>
        <v>0</v>
      </c>
    </row>
    <row r="54" spans="1:10">
      <c r="A54" s="91">
        <v>50</v>
      </c>
      <c r="B54" s="91" t="s">
        <v>101</v>
      </c>
      <c r="C54" s="92">
        <f t="shared" si="14"/>
        <v>103982.22360000001</v>
      </c>
      <c r="D54" s="92">
        <f>'Page 1.5'!D54+'Page 1.6'!D54</f>
        <v>0</v>
      </c>
      <c r="E54" s="92">
        <f>'Page 1.5'!E54+'Page 1.6'!E54</f>
        <v>0</v>
      </c>
      <c r="F54" s="92">
        <f>'Page 1.5'!F54+'Page 1.6'!F54</f>
        <v>103982.22360000001</v>
      </c>
      <c r="G54" s="92">
        <f>'Page 1.5'!G54+'Page 1.6'!G54</f>
        <v>0</v>
      </c>
      <c r="H54" s="92">
        <f>'Page 1.5'!H54+'Page 1.6'!H54</f>
        <v>0</v>
      </c>
      <c r="I54" s="92">
        <f>'Page 1.5'!I54+'Page 1.6'!I54</f>
        <v>0</v>
      </c>
      <c r="J54" s="92">
        <f>'Page 1.5'!J54+'Page 1.6'!J54</f>
        <v>0</v>
      </c>
    </row>
    <row r="55" spans="1:10">
      <c r="A55" s="91">
        <v>51</v>
      </c>
      <c r="B55" s="91" t="s">
        <v>102</v>
      </c>
      <c r="C55" s="92">
        <f t="shared" si="14"/>
        <v>-293988.17735592474</v>
      </c>
      <c r="D55" s="92">
        <f>'Page 1.5'!D55+'Page 1.6'!D55</f>
        <v>0</v>
      </c>
      <c r="E55" s="92">
        <f>'Page 1.5'!E55+'Page 1.6'!E55</f>
        <v>0</v>
      </c>
      <c r="F55" s="92">
        <f>'Page 1.5'!F55+'Page 1.6'!F55</f>
        <v>0</v>
      </c>
      <c r="G55" s="92">
        <f>'Page 1.5'!G55+'Page 1.6'!G55</f>
        <v>0</v>
      </c>
      <c r="H55" s="92">
        <f>'Page 1.5'!H55+'Page 1.6'!H55</f>
        <v>0</v>
      </c>
      <c r="I55" s="92">
        <f>'Page 1.5'!I55+'Page 1.6'!I55</f>
        <v>-293988.17735592474</v>
      </c>
      <c r="J55" s="92">
        <f>'Page 1.5'!J55+'Page 1.6'!J55</f>
        <v>0</v>
      </c>
    </row>
    <row r="56" spans="1:10">
      <c r="A56" s="91">
        <v>52</v>
      </c>
      <c r="B56" s="91" t="s">
        <v>103</v>
      </c>
      <c r="C56" s="92">
        <f t="shared" si="14"/>
        <v>-3291205.6015833332</v>
      </c>
      <c r="D56" s="92">
        <f>'Page 1.5'!D56+'Page 1.6'!D56</f>
        <v>0</v>
      </c>
      <c r="E56" s="92">
        <f>'Page 1.5'!E56+'Page 1.6'!E56</f>
        <v>0</v>
      </c>
      <c r="F56" s="92">
        <f>'Page 1.5'!F56+'Page 1.6'!F56</f>
        <v>0</v>
      </c>
      <c r="G56" s="92">
        <f>'Page 1.5'!G56+'Page 1.6'!G56</f>
        <v>0</v>
      </c>
      <c r="H56" s="92">
        <f>'Page 1.5'!H56+'Page 1.6'!H56</f>
        <v>0</v>
      </c>
      <c r="I56" s="92">
        <f>'Page 1.5'!I56+'Page 1.6'!I56</f>
        <v>-3291205.6015833332</v>
      </c>
      <c r="J56" s="92">
        <f>'Page 1.5'!J56+'Page 1.6'!J56</f>
        <v>0</v>
      </c>
    </row>
    <row r="57" spans="1:10">
      <c r="A57" s="91">
        <v>53</v>
      </c>
      <c r="B57" s="91" t="s">
        <v>208</v>
      </c>
      <c r="C57" s="92">
        <f t="shared" si="14"/>
        <v>-1922118.2237488804</v>
      </c>
      <c r="D57" s="92">
        <f>'Page 1.5'!D57+'Page 1.6'!D57</f>
        <v>-3215514.4191855043</v>
      </c>
      <c r="E57" s="92">
        <f>'Page 1.5'!E57+'Page 1.6'!E57</f>
        <v>56244.919679730992</v>
      </c>
      <c r="F57" s="92">
        <f>'Page 1.5'!F57+'Page 1.6'!F57</f>
        <v>0</v>
      </c>
      <c r="G57" s="92">
        <f>'Page 1.5'!G57+'Page 1.6'!G57</f>
        <v>0</v>
      </c>
      <c r="H57" s="92">
        <f>'Page 1.5'!H57+'Page 1.6'!H57</f>
        <v>0</v>
      </c>
      <c r="I57" s="92">
        <f>'Page 1.5'!I57+'Page 1.6'!I57</f>
        <v>1180944.0837095301</v>
      </c>
      <c r="J57" s="92">
        <f>'Page 1.5'!J57+'Page 1.6'!J57</f>
        <v>56207.192047362681</v>
      </c>
    </row>
    <row r="58" spans="1:10">
      <c r="A58" s="91">
        <v>54</v>
      </c>
      <c r="B58" s="91"/>
      <c r="F58" s="92"/>
      <c r="G58" s="92"/>
    </row>
    <row r="59" spans="1:10">
      <c r="A59" s="91">
        <v>55</v>
      </c>
      <c r="B59" s="91" t="s">
        <v>209</v>
      </c>
      <c r="C59" s="97">
        <f>SUM(C51:C58)</f>
        <v>472323.4658754929</v>
      </c>
      <c r="D59" s="97">
        <f t="shared" ref="D59:J59" si="15">SUM(D51:D58)</f>
        <v>-1995224.0762694315</v>
      </c>
      <c r="E59" s="97">
        <f t="shared" si="15"/>
        <v>8263831.0641115494</v>
      </c>
      <c r="F59" s="97">
        <f t="shared" si="15"/>
        <v>18288974.637414075</v>
      </c>
      <c r="G59" s="97">
        <f t="shared" si="15"/>
        <v>273209.90369618993</v>
      </c>
      <c r="H59" s="97">
        <f t="shared" si="15"/>
        <v>-2131982.0781018613</v>
      </c>
      <c r="I59" s="97">
        <f t="shared" si="15"/>
        <v>-26354243.695752565</v>
      </c>
      <c r="J59" s="97">
        <f t="shared" si="15"/>
        <v>4127757.7107775374</v>
      </c>
    </row>
    <row r="60" spans="1:10">
      <c r="A60" s="91">
        <v>56</v>
      </c>
      <c r="B60" s="91"/>
    </row>
    <row r="61" spans="1:10" ht="15.75" thickBot="1">
      <c r="A61" s="91">
        <v>57</v>
      </c>
      <c r="B61" s="91" t="s">
        <v>106</v>
      </c>
      <c r="C61" s="98">
        <f>C48+C59</f>
        <v>-7014936.0048623681</v>
      </c>
      <c r="D61" s="98">
        <f t="shared" ref="D61:J61" si="16">D48+D59</f>
        <v>-1995224.0762694315</v>
      </c>
      <c r="E61" s="98">
        <f t="shared" si="16"/>
        <v>6171930.4750963924</v>
      </c>
      <c r="F61" s="98">
        <f t="shared" si="16"/>
        <v>-8629458.7270486429</v>
      </c>
      <c r="G61" s="98">
        <f t="shared" si="16"/>
        <v>273209.90369618993</v>
      </c>
      <c r="H61" s="98">
        <f t="shared" si="16"/>
        <v>-2131982.0781018613</v>
      </c>
      <c r="I61" s="98">
        <f t="shared" si="16"/>
        <v>7321139.1479528807</v>
      </c>
      <c r="J61" s="98">
        <f t="shared" si="16"/>
        <v>-8024550.6501878966</v>
      </c>
    </row>
    <row r="62" spans="1:10" ht="15.75" thickTop="1">
      <c r="A62" s="91">
        <v>58</v>
      </c>
      <c r="B62" s="91"/>
    </row>
    <row r="63" spans="1:10">
      <c r="A63" s="91">
        <v>59</v>
      </c>
      <c r="B63" s="99" t="s">
        <v>210</v>
      </c>
      <c r="C63" s="100">
        <f t="shared" ref="C63:J63" si="17">(((C34+Unadj_Op_revenue)/(C61+Unadj_rate_base))-Weighted_cost_debt-Weighted_cost_pref)/Percent_common-Unadj_ROE</f>
        <v>5.318180526668595E-2</v>
      </c>
      <c r="D63" s="100">
        <f t="shared" si="17"/>
        <v>7.8803976686358038E-2</v>
      </c>
      <c r="E63" s="100">
        <f t="shared" si="17"/>
        <v>3.063613147975236E-3</v>
      </c>
      <c r="F63" s="100">
        <f t="shared" si="17"/>
        <v>-3.2752167050630318E-2</v>
      </c>
      <c r="G63" s="100">
        <f t="shared" si="17"/>
        <v>-2.4935316958354242E-4</v>
      </c>
      <c r="H63" s="100">
        <f t="shared" si="17"/>
        <v>3.3037024343713292E-3</v>
      </c>
      <c r="I63" s="100">
        <f t="shared" si="17"/>
        <v>-5.5129785211720933E-3</v>
      </c>
      <c r="J63" s="100">
        <f t="shared" si="17"/>
        <v>5.9679046098487787E-3</v>
      </c>
    </row>
    <row r="64" spans="1:10">
      <c r="A64" s="91">
        <v>60</v>
      </c>
      <c r="B64" s="101" t="s">
        <v>53</v>
      </c>
      <c r="C64" s="102">
        <f t="shared" ref="C64:J64" si="18">-(C34-(C61*Overall_ROR))/gross_up_factor</f>
        <v>-31884366.355559736</v>
      </c>
      <c r="D64" s="102">
        <f t="shared" si="18"/>
        <v>-47214330.622920565</v>
      </c>
      <c r="E64" s="102">
        <f t="shared" si="18"/>
        <v>-1598946.1297828222</v>
      </c>
      <c r="F64" s="102">
        <f t="shared" si="18"/>
        <v>19062962.589953177</v>
      </c>
      <c r="G64" s="102">
        <f t="shared" si="18"/>
        <v>160793.69322908088</v>
      </c>
      <c r="H64" s="102">
        <f t="shared" si="18"/>
        <v>-2063043.054568958</v>
      </c>
      <c r="I64" s="102">
        <f t="shared" si="18"/>
        <v>3638306.6602383349</v>
      </c>
      <c r="J64" s="102">
        <f t="shared" si="18"/>
        <v>-3870109.491707983</v>
      </c>
    </row>
    <row r="65" spans="1:10">
      <c r="A65" s="91">
        <v>61</v>
      </c>
      <c r="B65" s="91"/>
    </row>
    <row r="66" spans="1:10">
      <c r="A66" s="91">
        <v>62</v>
      </c>
      <c r="B66" s="91" t="s">
        <v>108</v>
      </c>
    </row>
    <row r="67" spans="1:10">
      <c r="A67" s="91">
        <v>63</v>
      </c>
      <c r="B67" s="91" t="s">
        <v>109</v>
      </c>
      <c r="C67" s="95">
        <f>SUM(D67:J67)</f>
        <v>24762302.835524984</v>
      </c>
      <c r="D67" s="95">
        <f t="shared" ref="D67:J67" si="19">D10-D23-D24-D25-D26-D31</f>
        <v>43813067.418300383</v>
      </c>
      <c r="E67" s="95">
        <f t="shared" si="19"/>
        <v>1392281.5814830512</v>
      </c>
      <c r="F67" s="95">
        <f t="shared" si="19"/>
        <v>-19231966.58677141</v>
      </c>
      <c r="G67" s="95">
        <f t="shared" si="19"/>
        <v>0</v>
      </c>
      <c r="H67" s="95">
        <f t="shared" si="19"/>
        <v>-1741720.3599999994</v>
      </c>
      <c r="I67" s="95">
        <f t="shared" si="19"/>
        <v>-2360948.9502243702</v>
      </c>
      <c r="J67" s="95">
        <f t="shared" si="19"/>
        <v>2891589.7327373289</v>
      </c>
    </row>
    <row r="68" spans="1:10">
      <c r="A68" s="91">
        <v>64</v>
      </c>
      <c r="B68" s="91" t="s">
        <v>110</v>
      </c>
      <c r="C68" s="95">
        <v>0</v>
      </c>
      <c r="D68" s="107">
        <f>'Page 1.5'!D68+'Page 1.6'!D68</f>
        <v>27187973.857788429</v>
      </c>
      <c r="E68" s="107">
        <f>'Page 1.5'!E68+'Page 1.6'!E68</f>
        <v>1308493.7592352913</v>
      </c>
      <c r="F68" s="107">
        <f>'Page 1.5'!F68+'Page 1.6'!F68</f>
        <v>0</v>
      </c>
      <c r="G68" s="107">
        <f>'Page 1.5'!G68+'Page 1.6'!G68</f>
        <v>0</v>
      </c>
      <c r="H68" s="107">
        <f>'Page 1.5'!H68+'Page 1.6'!H68</f>
        <v>0</v>
      </c>
      <c r="I68" s="107">
        <f>'Page 1.5'!I68+'Page 1.6'!I68</f>
        <v>0</v>
      </c>
      <c r="J68" s="107">
        <f>'Page 1.5'!J68+'Page 1.6'!J68</f>
        <v>0</v>
      </c>
    </row>
    <row r="69" spans="1:10">
      <c r="A69" s="91">
        <v>65</v>
      </c>
      <c r="B69" s="91" t="s">
        <v>111</v>
      </c>
      <c r="C69" s="95">
        <f>SUM(D69:J69)</f>
        <v>239226.0290480254</v>
      </c>
      <c r="D69" s="95">
        <f>'Page 1.5'!D69+'Page 1.6'!D69</f>
        <v>0</v>
      </c>
      <c r="E69" s="95">
        <f>'Page 1.5'!E69+'Page 1.6'!E69</f>
        <v>0</v>
      </c>
      <c r="F69" s="95">
        <f>'Page 1.5'!F69+'Page 1.6'!F69</f>
        <v>0</v>
      </c>
      <c r="G69" s="95">
        <f>'Page 1.5'!G69+'Page 1.6'!G69</f>
        <v>0</v>
      </c>
      <c r="H69" s="95">
        <f>'Page 1.5'!H69+'Page 1.6'!H69</f>
        <v>239226.0290480254</v>
      </c>
      <c r="I69" s="95">
        <f>'Page 1.5'!I69+'Page 1.6'!I69</f>
        <v>0</v>
      </c>
      <c r="J69" s="95">
        <f>'Page 1.5'!J69+'Page 1.6'!J69</f>
        <v>0</v>
      </c>
    </row>
    <row r="70" spans="1:10">
      <c r="A70" s="91">
        <v>66</v>
      </c>
      <c r="B70" s="91" t="s">
        <v>112</v>
      </c>
      <c r="C70" s="95">
        <f>SUM(D70:J70)</f>
        <v>-1087692.4869273417</v>
      </c>
      <c r="D70" s="95">
        <f>'Page 1.5'!D70+'Page 1.6'!D70</f>
        <v>0</v>
      </c>
      <c r="E70" s="95">
        <f>'Page 1.5'!E70+'Page 1.6'!E70</f>
        <v>0</v>
      </c>
      <c r="F70" s="95">
        <f>'Page 1.5'!F70+'Page 1.6'!F70</f>
        <v>0</v>
      </c>
      <c r="G70" s="95">
        <f>'Page 1.5'!G70+'Page 1.6'!G70</f>
        <v>0</v>
      </c>
      <c r="H70" s="95">
        <f>'Page 1.5'!H70+'Page 1.6'!H70</f>
        <v>-1087692.4869273417</v>
      </c>
      <c r="I70" s="95">
        <f>'Page 1.5'!I70+'Page 1.6'!I70</f>
        <v>0</v>
      </c>
      <c r="J70" s="95">
        <f>'Page 1.5'!J70+'Page 1.6'!J70</f>
        <v>0</v>
      </c>
    </row>
    <row r="71" spans="1:10">
      <c r="A71" s="91">
        <v>67</v>
      </c>
      <c r="B71" s="96" t="s">
        <v>113</v>
      </c>
      <c r="C71" s="95">
        <f>SUM(D71:J71)</f>
        <v>-4263380.9672934692</v>
      </c>
      <c r="D71" s="95">
        <f>'Page 1.5'!D71+'Page 1.6'!D71</f>
        <v>-1926141.0121197081</v>
      </c>
      <c r="E71" s="95">
        <f>'Page 1.5'!E71+'Page 1.6'!E71</f>
        <v>-1755019.3575030803</v>
      </c>
      <c r="F71" s="95">
        <f>'Page 1.5'!F71+'Page 1.6'!F71</f>
        <v>-52188</v>
      </c>
      <c r="G71" s="95">
        <f>'Page 1.5'!G71+'Page 1.6'!G71</f>
        <v>0</v>
      </c>
      <c r="H71" s="95">
        <f>'Page 1.5'!H71+'Page 1.6'!H71</f>
        <v>0</v>
      </c>
      <c r="I71" s="95">
        <f>'Page 1.5'!I71+'Page 1.6'!I71</f>
        <v>-530032.59767068073</v>
      </c>
      <c r="J71" s="95">
        <f>'Page 1.5'!J71+'Page 1.6'!J71</f>
        <v>0</v>
      </c>
    </row>
    <row r="72" spans="1:10">
      <c r="A72" s="91">
        <v>68</v>
      </c>
      <c r="B72" s="96" t="s">
        <v>114</v>
      </c>
      <c r="C72" s="103">
        <f>SUM(D72:J72)</f>
        <v>1492951.0480062154</v>
      </c>
      <c r="D72" s="103">
        <f>'Page 1.5'!D72+'Page 1.6'!D72</f>
        <v>912561.86790620477</v>
      </c>
      <c r="E72" s="103">
        <f>'Page 1.5'!E72+'Page 1.6'!E72</f>
        <v>-435168.6464068573</v>
      </c>
      <c r="F72" s="103">
        <f>'Page 1.5'!F72+'Page 1.6'!F72</f>
        <v>299183.70853287209</v>
      </c>
      <c r="G72" s="103">
        <f>'Page 1.5'!G72+'Page 1.6'!G72</f>
        <v>2662914.971880889</v>
      </c>
      <c r="H72" s="103">
        <f>'Page 1.5'!H72+'Page 1.6'!H72</f>
        <v>0</v>
      </c>
      <c r="I72" s="103">
        <f>'Page 1.5'!I72+'Page 1.6'!I72</f>
        <v>-1946540.8539068929</v>
      </c>
      <c r="J72" s="103">
        <f>'Page 1.5'!J72+'Page 1.6'!J72</f>
        <v>0</v>
      </c>
    </row>
    <row r="73" spans="1:10">
      <c r="A73" s="91">
        <v>69</v>
      </c>
      <c r="B73" s="96" t="s">
        <v>115</v>
      </c>
      <c r="C73" s="104">
        <f>SUM(D73:J73)</f>
        <v>19854437.278104611</v>
      </c>
      <c r="D73" s="104">
        <f>D67-D69-D70+D71-D72</f>
        <v>40974364.538274467</v>
      </c>
      <c r="E73" s="104">
        <f t="shared" ref="E73:J73" si="20">E67-E69-E70+E71-E72</f>
        <v>72430.870386828203</v>
      </c>
      <c r="F73" s="104">
        <f t="shared" si="20"/>
        <v>-19583338.295304283</v>
      </c>
      <c r="G73" s="104">
        <f t="shared" si="20"/>
        <v>-2662914.971880889</v>
      </c>
      <c r="H73" s="104">
        <f t="shared" si="20"/>
        <v>-893253.90212068311</v>
      </c>
      <c r="I73" s="104">
        <f t="shared" si="20"/>
        <v>-944440.69398815813</v>
      </c>
      <c r="J73" s="104">
        <f t="shared" si="20"/>
        <v>2891589.7327373289</v>
      </c>
    </row>
    <row r="74" spans="1:10">
      <c r="A74" s="91">
        <v>70</v>
      </c>
      <c r="B74" s="91"/>
      <c r="C74" s="105"/>
      <c r="D74" s="105"/>
      <c r="E74" s="105"/>
      <c r="F74" s="105"/>
      <c r="G74" s="105"/>
      <c r="H74" s="105"/>
      <c r="I74" s="105"/>
      <c r="J74" s="105"/>
    </row>
    <row r="75" spans="1:10">
      <c r="A75" s="91">
        <v>71</v>
      </c>
      <c r="B75" s="91" t="s">
        <v>116</v>
      </c>
      <c r="C75" s="95">
        <f>SUM(D75:J75)</f>
        <v>0</v>
      </c>
      <c r="D75" s="95">
        <f>C162</f>
        <v>0</v>
      </c>
      <c r="E75" s="95">
        <f>C277</f>
        <v>0</v>
      </c>
      <c r="F75" s="95">
        <f>C391</f>
        <v>0</v>
      </c>
      <c r="G75" s="95">
        <f>C505</f>
        <v>0</v>
      </c>
      <c r="H75" s="95">
        <f>C620</f>
        <v>0</v>
      </c>
      <c r="I75" s="95">
        <f>C735</f>
        <v>0</v>
      </c>
      <c r="J75" s="95">
        <f>C853</f>
        <v>0</v>
      </c>
    </row>
    <row r="76" spans="1:10">
      <c r="A76" s="91">
        <v>72</v>
      </c>
      <c r="B76" s="91" t="s">
        <v>117</v>
      </c>
      <c r="C76" s="95">
        <f>SUM(D76:J76)</f>
        <v>19854437.278104611</v>
      </c>
      <c r="D76" s="95">
        <f>D73-D75</f>
        <v>40974364.538274467</v>
      </c>
      <c r="E76" s="95">
        <f t="shared" ref="E76:J76" si="21">E73-E75</f>
        <v>72430.870386828203</v>
      </c>
      <c r="F76" s="95">
        <f t="shared" si="21"/>
        <v>-19583338.295304283</v>
      </c>
      <c r="G76" s="95">
        <f t="shared" si="21"/>
        <v>-2662914.971880889</v>
      </c>
      <c r="H76" s="95">
        <f t="shared" si="21"/>
        <v>-893253.90212068311</v>
      </c>
      <c r="I76" s="95">
        <f t="shared" si="21"/>
        <v>-944440.69398815813</v>
      </c>
      <c r="J76" s="95">
        <f t="shared" si="21"/>
        <v>2891589.7327373289</v>
      </c>
    </row>
    <row r="77" spans="1:10">
      <c r="A77" s="91">
        <v>73</v>
      </c>
      <c r="B77" s="91"/>
    </row>
    <row r="78" spans="1:10">
      <c r="A78" s="91">
        <v>74</v>
      </c>
      <c r="B78" s="91" t="s">
        <v>168</v>
      </c>
      <c r="C78" s="105">
        <f>SUM(D78:J78)</f>
        <v>6949053.0473366138</v>
      </c>
      <c r="D78" s="105">
        <f>D76*0.35</f>
        <v>14341027.588396063</v>
      </c>
      <c r="E78" s="105">
        <f t="shared" ref="E78:J78" si="22">E76*0.35</f>
        <v>25350.804635389868</v>
      </c>
      <c r="F78" s="105">
        <f t="shared" si="22"/>
        <v>-6854168.403356499</v>
      </c>
      <c r="G78" s="105">
        <f t="shared" si="22"/>
        <v>-932020.24015831109</v>
      </c>
      <c r="H78" s="105">
        <f t="shared" si="22"/>
        <v>-312638.86574223905</v>
      </c>
      <c r="I78" s="105">
        <f t="shared" si="22"/>
        <v>-330554.24289585534</v>
      </c>
      <c r="J78" s="105">
        <f t="shared" si="22"/>
        <v>1012056.406458065</v>
      </c>
    </row>
    <row r="79" spans="1:10">
      <c r="A79" s="91">
        <v>75</v>
      </c>
      <c r="B79" s="91" t="s">
        <v>167</v>
      </c>
      <c r="C79" s="105">
        <f>SUM(D79:J79)</f>
        <v>-1105653.619989312</v>
      </c>
      <c r="D79" s="105">
        <f>'Page 1.5'!D79+'Page 1.6'!D79</f>
        <v>0</v>
      </c>
      <c r="E79" s="105">
        <f>'Page 1.5'!E79+'Page 1.6'!E79</f>
        <v>0</v>
      </c>
      <c r="F79" s="105">
        <f>'Page 1.5'!F79+'Page 1.6'!F79</f>
        <v>0</v>
      </c>
      <c r="G79" s="105">
        <f>'Page 1.5'!G79+'Page 1.6'!G79</f>
        <v>0</v>
      </c>
      <c r="H79" s="105">
        <f>'Page 1.5'!H79+'Page 1.6'!H79</f>
        <v>-1205929.156551077</v>
      </c>
      <c r="I79" s="105">
        <f>'Page 1.5'!I79+'Page 1.6'!I79</f>
        <v>0</v>
      </c>
      <c r="J79" s="105">
        <f>'Page 1.5'!J79+'Page 1.6'!J79</f>
        <v>100275.5365617651</v>
      </c>
    </row>
    <row r="80" spans="1:10" ht="15.75" thickBot="1">
      <c r="A80" s="91">
        <v>76</v>
      </c>
      <c r="B80" s="91" t="s">
        <v>168</v>
      </c>
      <c r="C80" s="106">
        <f>SUM(D80:J80)</f>
        <v>5843399.4273473024</v>
      </c>
      <c r="D80" s="106">
        <f>D78+D79</f>
        <v>14341027.588396063</v>
      </c>
      <c r="E80" s="106">
        <f t="shared" ref="E80:J80" si="23">E78+E79</f>
        <v>25350.804635389868</v>
      </c>
      <c r="F80" s="106">
        <f t="shared" si="23"/>
        <v>-6854168.403356499</v>
      </c>
      <c r="G80" s="106">
        <f t="shared" si="23"/>
        <v>-932020.24015831109</v>
      </c>
      <c r="H80" s="106">
        <f t="shared" si="23"/>
        <v>-1518568.0222933162</v>
      </c>
      <c r="I80" s="106">
        <f t="shared" si="23"/>
        <v>-330554.24289585534</v>
      </c>
      <c r="J80" s="106">
        <f t="shared" si="23"/>
        <v>1112331.9430198302</v>
      </c>
    </row>
    <row r="81" ht="15.75" thickTop="1"/>
  </sheetData>
  <pageMargins left="0.5" right="0.5" top="0.4" bottom="0.25" header="0.25" footer="0.3"/>
  <pageSetup scale="63" orientation="portrait" r:id="rId1"/>
  <headerFooter>
    <oddHeader>&amp;RExhibit No.___(RBD-6) - Revised 12/10/10</oddHeader>
  </headerFooter>
</worksheet>
</file>

<file path=xl/worksheets/sheet27.xml><?xml version="1.0" encoding="utf-8"?>
<worksheet xmlns="http://schemas.openxmlformats.org/spreadsheetml/2006/main" xmlns:r="http://schemas.openxmlformats.org/officeDocument/2006/relationships">
  <sheetPr codeName="Sheet11">
    <pageSetUpPr fitToPage="1"/>
  </sheetPr>
  <dimension ref="A1:J81"/>
  <sheetViews>
    <sheetView workbookViewId="0">
      <pane xSplit="2" ySplit="3" topLeftCell="C4" activePane="bottomRight" state="frozen"/>
      <selection pane="topRight" activeCell="C1" sqref="C1"/>
      <selection pane="bottomLeft" activeCell="A4" sqref="A4"/>
      <selection pane="bottomRight" activeCell="H7" sqref="H7"/>
    </sheetView>
  </sheetViews>
  <sheetFormatPr defaultRowHeight="15"/>
  <cols>
    <col min="1" max="1" width="5.140625" style="171" customWidth="1"/>
    <col min="2" max="2" width="22.85546875" style="171" customWidth="1"/>
    <col min="3" max="10" width="12" style="171" customWidth="1"/>
    <col min="11" max="16384" width="9.140625" style="171"/>
  </cols>
  <sheetData>
    <row r="1" spans="1:10">
      <c r="B1" s="269" t="s">
        <v>272</v>
      </c>
      <c r="C1" s="270"/>
      <c r="D1" s="270"/>
      <c r="E1" s="270"/>
      <c r="F1" s="270"/>
      <c r="G1" s="270"/>
      <c r="H1" s="270"/>
      <c r="I1" s="271"/>
      <c r="J1" s="272" t="s">
        <v>212</v>
      </c>
    </row>
    <row r="3" spans="1:10" ht="34.5">
      <c r="C3" s="273" t="s">
        <v>202</v>
      </c>
      <c r="D3" s="273" t="s">
        <v>213</v>
      </c>
      <c r="E3" s="273" t="s">
        <v>214</v>
      </c>
      <c r="F3" s="273" t="s">
        <v>215</v>
      </c>
      <c r="G3" s="273" t="s">
        <v>216</v>
      </c>
      <c r="H3" s="273" t="s">
        <v>217</v>
      </c>
      <c r="I3" s="273" t="s">
        <v>218</v>
      </c>
      <c r="J3" s="274" t="s">
        <v>219</v>
      </c>
    </row>
    <row r="5" spans="1:10">
      <c r="A5" s="169">
        <v>1</v>
      </c>
      <c r="B5" s="169" t="s">
        <v>56</v>
      </c>
    </row>
    <row r="6" spans="1:10">
      <c r="A6" s="169">
        <v>2</v>
      </c>
      <c r="B6" s="169" t="s">
        <v>57</v>
      </c>
      <c r="C6" s="275">
        <f>SUM(D6:J6)</f>
        <v>16233190.429999992</v>
      </c>
      <c r="D6" s="275">
        <f>SUM('Restating Adj'!C12:G12)</f>
        <v>16233190.429999992</v>
      </c>
      <c r="E6" s="275">
        <f>SUM('Restating Adj'!H12:Q12)</f>
        <v>0</v>
      </c>
      <c r="F6" s="275">
        <f>SUM('Restating Adj'!R12:T12)</f>
        <v>0</v>
      </c>
      <c r="G6" s="275">
        <f>SUM('Restating Adj'!U12)</f>
        <v>0</v>
      </c>
      <c r="H6" s="275">
        <f>SUM('Restating Adj'!V12:AB12)</f>
        <v>0</v>
      </c>
      <c r="I6" s="275">
        <f>SUM('Restating Adj'!AC12:AL12)</f>
        <v>0</v>
      </c>
      <c r="J6" s="275">
        <f>C781</f>
        <v>0</v>
      </c>
    </row>
    <row r="7" spans="1:10">
      <c r="A7" s="169">
        <v>3</v>
      </c>
      <c r="B7" s="169" t="s">
        <v>58</v>
      </c>
      <c r="C7" s="275">
        <f>SUM(D7:J7)</f>
        <v>0</v>
      </c>
      <c r="D7" s="275">
        <f>SUM('Restating Adj'!C13:G13)</f>
        <v>0</v>
      </c>
      <c r="E7" s="275">
        <f>SUM('Restating Adj'!H13:Q13)</f>
        <v>0</v>
      </c>
      <c r="F7" s="275">
        <f>SUM('Restating Adj'!R13:T13)</f>
        <v>0</v>
      </c>
      <c r="G7" s="275">
        <f>SUM('Restating Adj'!U13)</f>
        <v>0</v>
      </c>
      <c r="H7" s="275">
        <f>SUM('Restating Adj'!V13:AB13)</f>
        <v>0</v>
      </c>
      <c r="I7" s="275">
        <f>SUM('Restating Adj'!AC13:AL13)</f>
        <v>0</v>
      </c>
      <c r="J7" s="275">
        <f>C782</f>
        <v>0</v>
      </c>
    </row>
    <row r="8" spans="1:10">
      <c r="A8" s="169">
        <v>4</v>
      </c>
      <c r="B8" s="169" t="s">
        <v>59</v>
      </c>
      <c r="C8" s="275">
        <f>SUM(D8:J8)</f>
        <v>941247.8810121459</v>
      </c>
      <c r="D8" s="275">
        <f>SUM('Restating Adj'!C14:G14)</f>
        <v>0</v>
      </c>
      <c r="E8" s="275">
        <f>SUM('Restating Adj'!H14:Q14)</f>
        <v>0</v>
      </c>
      <c r="F8" s="275">
        <f>SUM('Restating Adj'!R14:T14)</f>
        <v>941247.8810121459</v>
      </c>
      <c r="G8" s="275">
        <f>SUM('Restating Adj'!U14)</f>
        <v>0</v>
      </c>
      <c r="H8" s="275">
        <f>SUM('Restating Adj'!V14:AB14)</f>
        <v>0</v>
      </c>
      <c r="I8" s="275">
        <f>SUM('Restating Adj'!AC14:AL14)</f>
        <v>0</v>
      </c>
      <c r="J8" s="275">
        <f>C783</f>
        <v>0</v>
      </c>
    </row>
    <row r="9" spans="1:10">
      <c r="A9" s="169">
        <v>5</v>
      </c>
      <c r="B9" s="169" t="s">
        <v>60</v>
      </c>
      <c r="C9" s="275">
        <f>SUM(D9:J9)</f>
        <v>-9224242.3703400642</v>
      </c>
      <c r="D9" s="275">
        <f>SUM('Restating Adj'!C15:G15)</f>
        <v>-369240.37034006487</v>
      </c>
      <c r="E9" s="275">
        <f>SUM('Restating Adj'!H15:Q15)</f>
        <v>-8855002</v>
      </c>
      <c r="F9" s="275">
        <f>SUM('Restating Adj'!R15:T15)</f>
        <v>0</v>
      </c>
      <c r="G9" s="275">
        <f>SUM('Restating Adj'!U15)</f>
        <v>0</v>
      </c>
      <c r="H9" s="275">
        <f>SUM('Restating Adj'!V15:AB15)</f>
        <v>0</v>
      </c>
      <c r="I9" s="275">
        <f>SUM('Restating Adj'!AC15:AL15)</f>
        <v>0</v>
      </c>
      <c r="J9" s="275">
        <f>C784</f>
        <v>0</v>
      </c>
    </row>
    <row r="10" spans="1:10">
      <c r="A10" s="169">
        <v>6</v>
      </c>
      <c r="B10" s="169" t="s">
        <v>61</v>
      </c>
      <c r="C10" s="276">
        <f>SUM(C6:C9)</f>
        <v>7950195.9406720735</v>
      </c>
      <c r="D10" s="276">
        <f t="shared" ref="D10:J10" si="0">SUM(D6:D9)</f>
        <v>15863950.059659928</v>
      </c>
      <c r="E10" s="276">
        <f t="shared" si="0"/>
        <v>-8855002</v>
      </c>
      <c r="F10" s="276">
        <f t="shared" si="0"/>
        <v>941247.8810121459</v>
      </c>
      <c r="G10" s="276">
        <f t="shared" si="0"/>
        <v>0</v>
      </c>
      <c r="H10" s="276">
        <f t="shared" si="0"/>
        <v>0</v>
      </c>
      <c r="I10" s="276">
        <f t="shared" si="0"/>
        <v>0</v>
      </c>
      <c r="J10" s="276">
        <f t="shared" si="0"/>
        <v>0</v>
      </c>
    </row>
    <row r="11" spans="1:10">
      <c r="A11" s="169">
        <v>7</v>
      </c>
      <c r="B11" s="169"/>
    </row>
    <row r="12" spans="1:10">
      <c r="A12" s="169">
        <v>8</v>
      </c>
      <c r="B12" s="169" t="s">
        <v>62</v>
      </c>
    </row>
    <row r="13" spans="1:10">
      <c r="A13" s="169">
        <v>9</v>
      </c>
      <c r="B13" s="169" t="s">
        <v>63</v>
      </c>
      <c r="C13" s="275">
        <f t="shared" ref="C13:C22" si="1">SUM(D13:J13)</f>
        <v>-1565216.2053174789</v>
      </c>
      <c r="D13" s="275">
        <f>SUM('Restating Adj'!C19:G19)</f>
        <v>0</v>
      </c>
      <c r="E13" s="275">
        <f>SUM('Restating Adj'!H19:Q19)</f>
        <v>28003.968153647347</v>
      </c>
      <c r="F13" s="275">
        <f>SUM('Restating Adj'!R19:T19)</f>
        <v>-1593220.1734711262</v>
      </c>
      <c r="G13" s="275">
        <f>SUM('Restating Adj'!U19)</f>
        <v>0</v>
      </c>
      <c r="H13" s="275">
        <f>SUM('Restating Adj'!V19:AB19)</f>
        <v>0</v>
      </c>
      <c r="I13" s="275">
        <f>SUM('Restating Adj'!AC19:AL19)</f>
        <v>0</v>
      </c>
      <c r="J13" s="275">
        <f t="shared" ref="J13:J22" si="2">C788</f>
        <v>0</v>
      </c>
    </row>
    <row r="14" spans="1:10">
      <c r="A14" s="169">
        <v>10</v>
      </c>
      <c r="B14" s="169" t="s">
        <v>64</v>
      </c>
      <c r="C14" s="275">
        <f t="shared" si="1"/>
        <v>0</v>
      </c>
      <c r="D14" s="275">
        <f>SUM('Restating Adj'!C20:G20)</f>
        <v>0</v>
      </c>
      <c r="E14" s="275">
        <f>SUM('Restating Adj'!H20:Q20)</f>
        <v>0</v>
      </c>
      <c r="F14" s="275">
        <f>SUM('Restating Adj'!R20:T20)</f>
        <v>0</v>
      </c>
      <c r="G14" s="275">
        <f>SUM('Restating Adj'!U20)</f>
        <v>0</v>
      </c>
      <c r="H14" s="275">
        <f>SUM('Restating Adj'!V20:AB20)</f>
        <v>0</v>
      </c>
      <c r="I14" s="275">
        <f>SUM('Restating Adj'!AC20:AL20)</f>
        <v>0</v>
      </c>
      <c r="J14" s="275">
        <f t="shared" si="2"/>
        <v>0</v>
      </c>
    </row>
    <row r="15" spans="1:10">
      <c r="A15" s="169">
        <v>11</v>
      </c>
      <c r="B15" s="169" t="s">
        <v>65</v>
      </c>
      <c r="C15" s="275">
        <f t="shared" si="1"/>
        <v>7511.6307386317376</v>
      </c>
      <c r="D15" s="275">
        <f>SUM('Restating Adj'!C21:G21)</f>
        <v>0</v>
      </c>
      <c r="E15" s="275">
        <f>SUM('Restating Adj'!H21:Q21)</f>
        <v>7511.6307386317376</v>
      </c>
      <c r="F15" s="275">
        <f>SUM('Restating Adj'!R21:T21)</f>
        <v>0</v>
      </c>
      <c r="G15" s="275">
        <f>SUM('Restating Adj'!U21)</f>
        <v>0</v>
      </c>
      <c r="H15" s="275">
        <f>SUM('Restating Adj'!V21:AB21)</f>
        <v>0</v>
      </c>
      <c r="I15" s="275">
        <f>SUM('Restating Adj'!AC21:AL21)</f>
        <v>0</v>
      </c>
      <c r="J15" s="275">
        <f t="shared" si="2"/>
        <v>0</v>
      </c>
    </row>
    <row r="16" spans="1:10">
      <c r="A16" s="169">
        <v>12</v>
      </c>
      <c r="B16" s="169" t="s">
        <v>66</v>
      </c>
      <c r="C16" s="275">
        <f t="shared" si="1"/>
        <v>9517861.9663389288</v>
      </c>
      <c r="D16" s="275">
        <f>SUM('Restating Adj'!C22:G22)</f>
        <v>0</v>
      </c>
      <c r="E16" s="275">
        <f>SUM('Restating Adj'!H22:Q22)</f>
        <v>-161035.38918582717</v>
      </c>
      <c r="F16" s="275">
        <f>SUM('Restating Adj'!R22:T22)</f>
        <v>9678897.355524756</v>
      </c>
      <c r="G16" s="275">
        <f>SUM('Restating Adj'!U22)</f>
        <v>0</v>
      </c>
      <c r="H16" s="275">
        <f>SUM('Restating Adj'!V22:AB22)</f>
        <v>0</v>
      </c>
      <c r="I16" s="275">
        <f>SUM('Restating Adj'!AC22:AL22)</f>
        <v>0</v>
      </c>
      <c r="J16" s="275">
        <f t="shared" si="2"/>
        <v>0</v>
      </c>
    </row>
    <row r="17" spans="1:10">
      <c r="A17" s="169">
        <v>13</v>
      </c>
      <c r="B17" s="169" t="s">
        <v>67</v>
      </c>
      <c r="C17" s="275">
        <f t="shared" si="1"/>
        <v>-71947.033751535782</v>
      </c>
      <c r="D17" s="275">
        <f>SUM('Restating Adj'!C23:G23)</f>
        <v>-65153.370885581295</v>
      </c>
      <c r="E17" s="275">
        <f>SUM('Restating Adj'!H23:Q23)</f>
        <v>-6793.662865954494</v>
      </c>
      <c r="F17" s="275">
        <f>SUM('Restating Adj'!R23:T23)</f>
        <v>0</v>
      </c>
      <c r="G17" s="275">
        <f>SUM('Restating Adj'!U23)</f>
        <v>0</v>
      </c>
      <c r="H17" s="275">
        <f>SUM('Restating Adj'!V23:AB23)</f>
        <v>0</v>
      </c>
      <c r="I17" s="275">
        <f>SUM('Restating Adj'!AC23:AL23)</f>
        <v>0</v>
      </c>
      <c r="J17" s="275">
        <f t="shared" si="2"/>
        <v>0</v>
      </c>
    </row>
    <row r="18" spans="1:10">
      <c r="A18" s="169">
        <v>14</v>
      </c>
      <c r="B18" s="169" t="s">
        <v>68</v>
      </c>
      <c r="C18" s="275">
        <f t="shared" si="1"/>
        <v>-21040.271414005907</v>
      </c>
      <c r="D18" s="275">
        <f>SUM('Restating Adj'!C24:G24)</f>
        <v>0</v>
      </c>
      <c r="E18" s="275">
        <f>SUM('Restating Adj'!H24:Q24)</f>
        <v>-21040.271414005907</v>
      </c>
      <c r="F18" s="275">
        <f>SUM('Restating Adj'!R24:T24)</f>
        <v>0</v>
      </c>
      <c r="G18" s="275">
        <f>SUM('Restating Adj'!U24)</f>
        <v>0</v>
      </c>
      <c r="H18" s="275">
        <f>SUM('Restating Adj'!V24:AB24)</f>
        <v>0</v>
      </c>
      <c r="I18" s="275">
        <f>SUM('Restating Adj'!AC24:AL24)</f>
        <v>0</v>
      </c>
      <c r="J18" s="275">
        <f t="shared" si="2"/>
        <v>0</v>
      </c>
    </row>
    <row r="19" spans="1:10">
      <c r="A19" s="169">
        <v>15</v>
      </c>
      <c r="B19" s="169" t="s">
        <v>69</v>
      </c>
      <c r="C19" s="275">
        <f t="shared" si="1"/>
        <v>-17798.775906085644</v>
      </c>
      <c r="D19" s="275">
        <f>SUM('Restating Adj'!C25:G25)</f>
        <v>0</v>
      </c>
      <c r="E19" s="275">
        <f>SUM('Restating Adj'!H25:Q25)</f>
        <v>-17798.775906085644</v>
      </c>
      <c r="F19" s="275">
        <f>SUM('Restating Adj'!R25:T25)</f>
        <v>0</v>
      </c>
      <c r="G19" s="275">
        <f>SUM('Restating Adj'!U25)</f>
        <v>0</v>
      </c>
      <c r="H19" s="275">
        <f>SUM('Restating Adj'!V25:AB25)</f>
        <v>0</v>
      </c>
      <c r="I19" s="275">
        <f>SUM('Restating Adj'!AC25:AL25)</f>
        <v>0</v>
      </c>
      <c r="J19" s="275">
        <f t="shared" si="2"/>
        <v>0</v>
      </c>
    </row>
    <row r="20" spans="1:10">
      <c r="A20" s="169">
        <v>16</v>
      </c>
      <c r="B20" s="169" t="s">
        <v>70</v>
      </c>
      <c r="C20" s="275">
        <f t="shared" si="1"/>
        <v>-8808315.0298450738</v>
      </c>
      <c r="D20" s="275">
        <f>SUM('Restating Adj'!C26:G26)</f>
        <v>0</v>
      </c>
      <c r="E20" s="275">
        <f>SUM('Restating Adj'!H26:Q26)</f>
        <v>-8808315.0298450738</v>
      </c>
      <c r="F20" s="275">
        <f>SUM('Restating Adj'!R26:T26)</f>
        <v>0</v>
      </c>
      <c r="G20" s="275">
        <f>SUM('Restating Adj'!U26)</f>
        <v>0</v>
      </c>
      <c r="H20" s="275">
        <f>SUM('Restating Adj'!V26:AB26)</f>
        <v>0</v>
      </c>
      <c r="I20" s="275">
        <f>SUM('Restating Adj'!AC26:AL26)</f>
        <v>0</v>
      </c>
      <c r="J20" s="275">
        <f t="shared" si="2"/>
        <v>0</v>
      </c>
    </row>
    <row r="21" spans="1:10">
      <c r="A21" s="169">
        <v>17</v>
      </c>
      <c r="B21" s="169" t="s">
        <v>71</v>
      </c>
      <c r="C21" s="275">
        <f t="shared" si="1"/>
        <v>0</v>
      </c>
      <c r="D21" s="275">
        <f>SUM('Restating Adj'!C27:G27)</f>
        <v>0</v>
      </c>
      <c r="E21" s="275">
        <f>SUM('Restating Adj'!H27:Q27)</f>
        <v>0</v>
      </c>
      <c r="F21" s="275">
        <f>SUM('Restating Adj'!R27:T27)</f>
        <v>0</v>
      </c>
      <c r="G21" s="275">
        <f>SUM('Restating Adj'!U27)</f>
        <v>0</v>
      </c>
      <c r="H21" s="275">
        <f>SUM('Restating Adj'!V27:AB27)</f>
        <v>0</v>
      </c>
      <c r="I21" s="275">
        <f>SUM('Restating Adj'!AC27:AL27)</f>
        <v>0</v>
      </c>
      <c r="J21" s="275">
        <f t="shared" si="2"/>
        <v>0</v>
      </c>
    </row>
    <row r="22" spans="1:10">
      <c r="A22" s="169">
        <v>18</v>
      </c>
      <c r="B22" s="169" t="s">
        <v>72</v>
      </c>
      <c r="C22" s="277">
        <f t="shared" si="1"/>
        <v>117450.56973614397</v>
      </c>
      <c r="D22" s="277">
        <f>SUM('Restating Adj'!C28:G28)</f>
        <v>0</v>
      </c>
      <c r="E22" s="275">
        <f>SUM('Restating Adj'!H28:Q28)</f>
        <v>40677.708076909708</v>
      </c>
      <c r="F22" s="277">
        <f>SUM('Restating Adj'!R28:T28)</f>
        <v>0</v>
      </c>
      <c r="G22" s="277">
        <f>SUM('Restating Adj'!U28)</f>
        <v>0</v>
      </c>
      <c r="H22" s="275">
        <f>SUM('Restating Adj'!V28:AB28)</f>
        <v>0</v>
      </c>
      <c r="I22" s="275">
        <f>SUM('Restating Adj'!AC28:AL28)</f>
        <v>76772.861659234259</v>
      </c>
      <c r="J22" s="277">
        <f t="shared" si="2"/>
        <v>0</v>
      </c>
    </row>
    <row r="23" spans="1:10">
      <c r="A23" s="169">
        <v>19</v>
      </c>
      <c r="B23" s="169" t="s">
        <v>73</v>
      </c>
      <c r="C23" s="278">
        <f>SUM(C13:C22)</f>
        <v>-841493.14942047617</v>
      </c>
      <c r="D23" s="278">
        <f t="shared" ref="D23:J23" si="3">SUM(D13:D22)</f>
        <v>-65153.370885581295</v>
      </c>
      <c r="E23" s="278">
        <f t="shared" si="3"/>
        <v>-8938789.8222477585</v>
      </c>
      <c r="F23" s="278">
        <f t="shared" si="3"/>
        <v>8085677.1820536293</v>
      </c>
      <c r="G23" s="278">
        <f t="shared" si="3"/>
        <v>0</v>
      </c>
      <c r="H23" s="278">
        <f t="shared" si="3"/>
        <v>0</v>
      </c>
      <c r="I23" s="278">
        <f t="shared" si="3"/>
        <v>76772.861659234259</v>
      </c>
      <c r="J23" s="278">
        <f t="shared" si="3"/>
        <v>0</v>
      </c>
    </row>
    <row r="24" spans="1:10">
      <c r="A24" s="169">
        <v>20</v>
      </c>
      <c r="B24" s="169" t="s">
        <v>74</v>
      </c>
      <c r="C24" s="275">
        <f>SUM(D24:J24)</f>
        <v>-426874.27289466589</v>
      </c>
      <c r="D24" s="275">
        <f>SUM('Restating Adj'!C30:G30)</f>
        <v>0</v>
      </c>
      <c r="E24" s="275">
        <f>SUM('Restating Adj'!H30:Q30)</f>
        <v>0</v>
      </c>
      <c r="F24" s="275">
        <f>SUM('Restating Adj'!R30:T30)</f>
        <v>-408883.72009548731</v>
      </c>
      <c r="G24" s="275">
        <f>SUM('Restating Adj'!U30)</f>
        <v>0</v>
      </c>
      <c r="H24" s="275">
        <f>SUM('Restating Adj'!V30:AB30)</f>
        <v>0</v>
      </c>
      <c r="I24" s="275">
        <f>SUM('Restating Adj'!AC30:AL30)</f>
        <v>-17990.552799178593</v>
      </c>
      <c r="J24" s="275">
        <v>0</v>
      </c>
    </row>
    <row r="25" spans="1:10">
      <c r="A25" s="169">
        <v>21</v>
      </c>
      <c r="B25" s="169" t="s">
        <v>75</v>
      </c>
      <c r="C25" s="275">
        <f>SUM(D25:J25)</f>
        <v>-174728.87755490927</v>
      </c>
      <c r="D25" s="275">
        <f>SUM('Restating Adj'!C31:G31)</f>
        <v>0</v>
      </c>
      <c r="E25" s="275">
        <f>SUM('Restating Adj'!H31:Q31)</f>
        <v>0</v>
      </c>
      <c r="F25" s="275">
        <f>SUM('Restating Adj'!R31:T31)</f>
        <v>0</v>
      </c>
      <c r="G25" s="275">
        <f>SUM('Restating Adj'!U31)</f>
        <v>0</v>
      </c>
      <c r="H25" s="275">
        <f>SUM('Restating Adj'!V31:AB31)</f>
        <v>0</v>
      </c>
      <c r="I25" s="275">
        <f>SUM('Restating Adj'!AC31:AL31)</f>
        <v>-174728.87755490927</v>
      </c>
      <c r="J25" s="275">
        <v>0</v>
      </c>
    </row>
    <row r="26" spans="1:10">
      <c r="A26" s="169">
        <v>22</v>
      </c>
      <c r="B26" s="169" t="s">
        <v>76</v>
      </c>
      <c r="C26" s="275">
        <f>SUM(D26:J26)</f>
        <v>-46288.058459085209</v>
      </c>
      <c r="D26" s="275">
        <f>SUM('Restating Adj'!C32:G32)</f>
        <v>0</v>
      </c>
      <c r="E26" s="275">
        <f>SUM('Restating Adj'!H32:Q32)</f>
        <v>0</v>
      </c>
      <c r="F26" s="275">
        <f>SUM('Restating Adj'!R32:T32)</f>
        <v>-46288.058459085209</v>
      </c>
      <c r="G26" s="275">
        <f>SUM('Restating Adj'!U32)</f>
        <v>0</v>
      </c>
      <c r="H26" s="275">
        <f>SUM('Restating Adj'!V32:AB32)</f>
        <v>0</v>
      </c>
      <c r="I26" s="275">
        <f>SUM('Restating Adj'!AC32:AL32)</f>
        <v>0</v>
      </c>
      <c r="J26" s="275">
        <v>0</v>
      </c>
    </row>
    <row r="27" spans="1:10">
      <c r="A27" s="169">
        <v>23</v>
      </c>
      <c r="B27" s="169" t="s">
        <v>203</v>
      </c>
      <c r="C27" s="275">
        <f>C80</f>
        <v>2035642.0002939163</v>
      </c>
      <c r="D27" s="275">
        <f>D80</f>
        <v>4825236.7381701134</v>
      </c>
      <c r="E27" s="275">
        <f t="shared" ref="E27:J27" si="4">E80</f>
        <v>-796222.43734737893</v>
      </c>
      <c r="F27" s="275">
        <f t="shared" si="4"/>
        <v>-2464220.2308569239</v>
      </c>
      <c r="G27" s="275">
        <f t="shared" si="4"/>
        <v>0</v>
      </c>
      <c r="H27" s="275">
        <f t="shared" si="4"/>
        <v>263740.96872305986</v>
      </c>
      <c r="I27" s="275">
        <f t="shared" si="4"/>
        <v>207106.96160504589</v>
      </c>
      <c r="J27" s="275">
        <f t="shared" si="4"/>
        <v>0</v>
      </c>
    </row>
    <row r="28" spans="1:10">
      <c r="A28" s="169">
        <v>24</v>
      </c>
      <c r="B28" s="169" t="s">
        <v>204</v>
      </c>
      <c r="C28" s="275">
        <f>SUM(D28:J28)</f>
        <v>0</v>
      </c>
      <c r="D28" s="275">
        <v>0</v>
      </c>
      <c r="E28" s="275">
        <f>C227</f>
        <v>0</v>
      </c>
      <c r="F28" s="275">
        <f>C341</f>
        <v>0</v>
      </c>
      <c r="G28" s="275">
        <f>C455</f>
        <v>0</v>
      </c>
      <c r="H28" s="275">
        <f>SUM('Restating Adj'!V34:AB34)</f>
        <v>0</v>
      </c>
      <c r="I28" s="275">
        <f>C685</f>
        <v>0</v>
      </c>
      <c r="J28" s="275">
        <f>C803</f>
        <v>0</v>
      </c>
    </row>
    <row r="29" spans="1:10">
      <c r="A29" s="169">
        <v>25</v>
      </c>
      <c r="B29" s="169" t="s">
        <v>205</v>
      </c>
      <c r="C29" s="275">
        <f>SUM(D29:J29)</f>
        <v>-1287871.7903143498</v>
      </c>
      <c r="D29" s="275">
        <f>SUM('Restating Adj'!C35:G35)</f>
        <v>342725.89115355402</v>
      </c>
      <c r="E29" s="275">
        <f>SUM('Restating Adj'!H35:Q35)</f>
        <v>0</v>
      </c>
      <c r="F29" s="275">
        <f>SUM('Restating Adj'!R35:T35)</f>
        <v>113543.20922531039</v>
      </c>
      <c r="G29" s="275">
        <f>SUM('Restating Adj'!U35)</f>
        <v>0</v>
      </c>
      <c r="H29" s="275">
        <f>SUM('Restating Adj'!V35:AB35)</f>
        <v>-1756860.8770101487</v>
      </c>
      <c r="I29" s="275">
        <f>SUM('Restating Adj'!AC35:AL35)</f>
        <v>12719.986316934381</v>
      </c>
      <c r="J29" s="275">
        <v>0</v>
      </c>
    </row>
    <row r="30" spans="1:10">
      <c r="A30" s="169">
        <v>26</v>
      </c>
      <c r="B30" s="169" t="s">
        <v>80</v>
      </c>
      <c r="C30" s="275">
        <f>SUM(D30:J30)</f>
        <v>0</v>
      </c>
      <c r="D30" s="275">
        <f>SUM('Restating Adj'!C36:G36)</f>
        <v>0</v>
      </c>
      <c r="E30" s="275">
        <f>SUM('Restating Adj'!H36:Q36)</f>
        <v>0</v>
      </c>
      <c r="F30" s="275">
        <f>SUM('Restating Adj'!R36:T36)</f>
        <v>0</v>
      </c>
      <c r="G30" s="275">
        <f>SUM('Restating Adj'!U36)</f>
        <v>0</v>
      </c>
      <c r="H30" s="275">
        <f>SUM('Restating Adj'!V36:AB36)</f>
        <v>0</v>
      </c>
      <c r="I30" s="275">
        <f>SUM('Restating Adj'!AC36:AL36)</f>
        <v>0</v>
      </c>
      <c r="J30" s="275">
        <v>0</v>
      </c>
    </row>
    <row r="31" spans="1:10">
      <c r="A31" s="169">
        <v>27</v>
      </c>
      <c r="B31" s="169" t="s">
        <v>81</v>
      </c>
      <c r="C31" s="275">
        <f>SUM(D31:J31)</f>
        <v>-685916.03178462666</v>
      </c>
      <c r="D31" s="275">
        <f>SUM('Restating Adj'!C37:G37)</f>
        <v>-695990.1299664448</v>
      </c>
      <c r="E31" s="275">
        <f>SUM('Restating Adj'!H37:Q37)</f>
        <v>0</v>
      </c>
      <c r="F31" s="275">
        <f>SUM('Restating Adj'!R37:T37)</f>
        <v>0</v>
      </c>
      <c r="G31" s="275">
        <f>SUM('Restating Adj'!U37)</f>
        <v>0</v>
      </c>
      <c r="H31" s="275">
        <f>SUM('Restating Adj'!V37:AB37)</f>
        <v>0</v>
      </c>
      <c r="I31" s="275">
        <f>SUM('Restating Adj'!AC37:AL37)</f>
        <v>10074.098181818181</v>
      </c>
      <c r="J31" s="275">
        <v>0</v>
      </c>
    </row>
    <row r="32" spans="1:10">
      <c r="A32" s="169">
        <v>28</v>
      </c>
      <c r="B32" s="279" t="s">
        <v>82</v>
      </c>
      <c r="C32" s="280">
        <f>SUM(C23:C31)</f>
        <v>-1427530.1801341968</v>
      </c>
      <c r="D32" s="280">
        <f t="shared" ref="D32:J32" si="5">SUM(D23:D31)</f>
        <v>4406819.1284716409</v>
      </c>
      <c r="E32" s="280">
        <f t="shared" si="5"/>
        <v>-9735012.2595951371</v>
      </c>
      <c r="F32" s="280">
        <f t="shared" si="5"/>
        <v>5279828.3818674423</v>
      </c>
      <c r="G32" s="280">
        <f t="shared" si="5"/>
        <v>0</v>
      </c>
      <c r="H32" s="280">
        <f t="shared" si="5"/>
        <v>-1493119.9082870889</v>
      </c>
      <c r="I32" s="280">
        <f t="shared" si="5"/>
        <v>113954.47740894483</v>
      </c>
      <c r="J32" s="280">
        <f t="shared" si="5"/>
        <v>0</v>
      </c>
    </row>
    <row r="33" spans="1:10">
      <c r="A33" s="169">
        <v>29</v>
      </c>
      <c r="B33" s="169"/>
    </row>
    <row r="34" spans="1:10" ht="15.75" thickBot="1">
      <c r="A34" s="169">
        <v>30</v>
      </c>
      <c r="B34" s="169" t="s">
        <v>83</v>
      </c>
      <c r="C34" s="281">
        <f>C10-C32</f>
        <v>9377726.1208062693</v>
      </c>
      <c r="D34" s="281">
        <f t="shared" ref="D34:J34" si="6">D10-D32</f>
        <v>11457130.931188287</v>
      </c>
      <c r="E34" s="281">
        <f t="shared" si="6"/>
        <v>880010.25959513709</v>
      </c>
      <c r="F34" s="281">
        <f t="shared" si="6"/>
        <v>-4338580.5008552969</v>
      </c>
      <c r="G34" s="281">
        <f t="shared" si="6"/>
        <v>0</v>
      </c>
      <c r="H34" s="281">
        <f t="shared" si="6"/>
        <v>1493119.9082870889</v>
      </c>
      <c r="I34" s="281">
        <f t="shared" si="6"/>
        <v>-113954.47740894483</v>
      </c>
      <c r="J34" s="281">
        <f t="shared" si="6"/>
        <v>0</v>
      </c>
    </row>
    <row r="35" spans="1:10" ht="15.75" thickTop="1">
      <c r="A35" s="169">
        <v>31</v>
      </c>
      <c r="B35" s="169"/>
    </row>
    <row r="36" spans="1:10">
      <c r="A36" s="169">
        <v>32</v>
      </c>
      <c r="B36" s="169" t="s">
        <v>84</v>
      </c>
    </row>
    <row r="37" spans="1:10">
      <c r="A37" s="169">
        <v>33</v>
      </c>
      <c r="B37" s="169" t="s">
        <v>85</v>
      </c>
      <c r="C37" s="275">
        <f t="shared" ref="C37:C47" si="7">SUM(D37:J37)</f>
        <v>31647606.57965333</v>
      </c>
      <c r="D37" s="275">
        <f>SUM('Restating Adj'!C43:G43)</f>
        <v>0</v>
      </c>
      <c r="E37" s="275">
        <f>SUM('Restating Adj'!H43:Q43)</f>
        <v>0</v>
      </c>
      <c r="F37" s="275">
        <f>SUM('Restating Adj'!R43:T43)</f>
        <v>-26918433.364462718</v>
      </c>
      <c r="G37" s="275">
        <f>SUM('Restating Adj'!U43)</f>
        <v>0</v>
      </c>
      <c r="H37" s="275">
        <f>SUM('Restating Adj'!V43:AB43)</f>
        <v>0</v>
      </c>
      <c r="I37" s="275">
        <f>SUM('Restating Adj'!AC43:AL43)</f>
        <v>58566039.944116049</v>
      </c>
      <c r="J37" s="275">
        <v>0</v>
      </c>
    </row>
    <row r="38" spans="1:10">
      <c r="A38" s="169">
        <v>34</v>
      </c>
      <c r="B38" s="169" t="s">
        <v>86</v>
      </c>
      <c r="C38" s="275">
        <f t="shared" si="7"/>
        <v>0</v>
      </c>
      <c r="D38" s="275">
        <f>SUM('Restating Adj'!C44:G44)</f>
        <v>0</v>
      </c>
      <c r="E38" s="275">
        <f>SUM('Restating Adj'!H44:Q44)</f>
        <v>0</v>
      </c>
      <c r="F38" s="275">
        <f>SUM('Restating Adj'!R44:T44)</f>
        <v>0</v>
      </c>
      <c r="G38" s="275">
        <f>SUM('Restating Adj'!U44)</f>
        <v>0</v>
      </c>
      <c r="H38" s="275">
        <f>SUM('Restating Adj'!V44:AB44)</f>
        <v>0</v>
      </c>
      <c r="I38" s="275">
        <f>SUM('Restating Adj'!AC44:AL44)</f>
        <v>0</v>
      </c>
      <c r="J38" s="275">
        <v>0</v>
      </c>
    </row>
    <row r="39" spans="1:10">
      <c r="A39" s="169">
        <v>35</v>
      </c>
      <c r="B39" s="169" t="s">
        <v>87</v>
      </c>
      <c r="C39" s="275">
        <f t="shared" si="7"/>
        <v>-2373510.0345394304</v>
      </c>
      <c r="D39" s="275">
        <f>SUM('Restating Adj'!C45:G45)</f>
        <v>0</v>
      </c>
      <c r="E39" s="275">
        <f>SUM('Restating Adj'!H45:Q45)</f>
        <v>-79630.904999999548</v>
      </c>
      <c r="F39" s="275">
        <f>SUM('Restating Adj'!R45:T45)</f>
        <v>0</v>
      </c>
      <c r="G39" s="275">
        <f>SUM('Restating Adj'!U45)</f>
        <v>0</v>
      </c>
      <c r="H39" s="275">
        <f>SUM('Restating Adj'!V45:AB45)</f>
        <v>0</v>
      </c>
      <c r="I39" s="275">
        <f>SUM('Restating Adj'!AC45:AL45)</f>
        <v>-2293879.1295394311</v>
      </c>
      <c r="J39" s="275">
        <v>0</v>
      </c>
    </row>
    <row r="40" spans="1:10">
      <c r="A40" s="169">
        <v>36</v>
      </c>
      <c r="B40" s="169" t="s">
        <v>88</v>
      </c>
      <c r="C40" s="275">
        <f t="shared" si="7"/>
        <v>0</v>
      </c>
      <c r="D40" s="275">
        <f>SUM('Restating Adj'!C46:G46)</f>
        <v>0</v>
      </c>
      <c r="E40" s="275">
        <f>SUM('Restating Adj'!H46:Q46)</f>
        <v>0</v>
      </c>
      <c r="F40" s="275">
        <f>SUM('Restating Adj'!R46:T46)</f>
        <v>0</v>
      </c>
      <c r="G40" s="275">
        <f>SUM('Restating Adj'!U46)</f>
        <v>0</v>
      </c>
      <c r="H40" s="275">
        <f>SUM('Restating Adj'!V46:AB46)</f>
        <v>0</v>
      </c>
      <c r="I40" s="275">
        <f>SUM('Restating Adj'!AC46:AL46)</f>
        <v>0</v>
      </c>
      <c r="J40" s="275">
        <v>0</v>
      </c>
    </row>
    <row r="41" spans="1:10">
      <c r="A41" s="169">
        <v>37</v>
      </c>
      <c r="B41" s="169" t="s">
        <v>89</v>
      </c>
      <c r="C41" s="275">
        <f t="shared" si="7"/>
        <v>0</v>
      </c>
      <c r="D41" s="275">
        <f>SUM('Restating Adj'!C47:G47)</f>
        <v>0</v>
      </c>
      <c r="E41" s="275">
        <f>SUM('Restating Adj'!H47:Q47)</f>
        <v>0</v>
      </c>
      <c r="F41" s="275">
        <f>SUM('Restating Adj'!R47:T47)</f>
        <v>0</v>
      </c>
      <c r="G41" s="275">
        <f>SUM('Restating Adj'!U47)</f>
        <v>0</v>
      </c>
      <c r="H41" s="275">
        <f>SUM('Restating Adj'!V47:AB47)</f>
        <v>0</v>
      </c>
      <c r="I41" s="275">
        <f>SUM('Restating Adj'!AC47:AL47)</f>
        <v>0</v>
      </c>
      <c r="J41" s="275">
        <v>0</v>
      </c>
    </row>
    <row r="42" spans="1:10">
      <c r="A42" s="169">
        <v>38</v>
      </c>
      <c r="B42" s="169" t="s">
        <v>90</v>
      </c>
      <c r="C42" s="275">
        <f t="shared" si="7"/>
        <v>-2240510.2035326045</v>
      </c>
      <c r="D42" s="275">
        <f>SUM('Restating Adj'!C48:G48)</f>
        <v>0</v>
      </c>
      <c r="E42" s="275">
        <f>SUM('Restating Adj'!H48:Q48)</f>
        <v>0</v>
      </c>
      <c r="F42" s="275">
        <f>SUM('Restating Adj'!R48:T48)</f>
        <v>0</v>
      </c>
      <c r="G42" s="275">
        <f>SUM('Restating Adj'!U48)</f>
        <v>0</v>
      </c>
      <c r="H42" s="275">
        <f>SUM('Restating Adj'!V48:AB48)</f>
        <v>0</v>
      </c>
      <c r="I42" s="275">
        <f>SUM('Restating Adj'!AC48:AL48)</f>
        <v>-2240510.2035326045</v>
      </c>
      <c r="J42" s="275">
        <v>0</v>
      </c>
    </row>
    <row r="43" spans="1:10">
      <c r="A43" s="169">
        <v>39</v>
      </c>
      <c r="B43" s="169" t="s">
        <v>91</v>
      </c>
      <c r="C43" s="275">
        <f t="shared" si="7"/>
        <v>-4907986.4739838867</v>
      </c>
      <c r="D43" s="275">
        <f>SUM('Restating Adj'!C49:G49)</f>
        <v>0</v>
      </c>
      <c r="E43" s="275">
        <f>SUM('Restating Adj'!H49:Q49)</f>
        <v>0</v>
      </c>
      <c r="F43" s="275">
        <f>SUM('Restating Adj'!R49:T49)</f>
        <v>0</v>
      </c>
      <c r="G43" s="275">
        <f>SUM('Restating Adj'!U49)</f>
        <v>0</v>
      </c>
      <c r="H43" s="275">
        <f>SUM('Restating Adj'!V49:AB49)</f>
        <v>0</v>
      </c>
      <c r="I43" s="275">
        <f>SUM('Restating Adj'!AC49:AL49)</f>
        <v>-4907986.4739838867</v>
      </c>
      <c r="J43" s="275">
        <v>0</v>
      </c>
    </row>
    <row r="44" spans="1:10">
      <c r="A44" s="169">
        <v>40</v>
      </c>
      <c r="B44" s="169" t="s">
        <v>92</v>
      </c>
      <c r="C44" s="275">
        <f t="shared" si="7"/>
        <v>-7435680.6054583685</v>
      </c>
      <c r="D44" s="275">
        <f>SUM('Restating Adj'!C50:G50)</f>
        <v>0</v>
      </c>
      <c r="E44" s="275">
        <f>SUM('Restating Adj'!H50:Q50)</f>
        <v>0</v>
      </c>
      <c r="F44" s="275">
        <f>SUM('Restating Adj'!R50:T50)</f>
        <v>0</v>
      </c>
      <c r="G44" s="275">
        <f>SUM('Restating Adj'!U50)</f>
        <v>0</v>
      </c>
      <c r="H44" s="275">
        <f>SUM('Restating Adj'!V50:AB50)</f>
        <v>0</v>
      </c>
      <c r="I44" s="275">
        <f>SUM('Restating Adj'!AC50:AL50)</f>
        <v>-7435680.6054583685</v>
      </c>
      <c r="J44" s="275">
        <v>0</v>
      </c>
    </row>
    <row r="45" spans="1:10">
      <c r="A45" s="169">
        <v>41</v>
      </c>
      <c r="B45" s="169" t="s">
        <v>93</v>
      </c>
      <c r="C45" s="275">
        <f t="shared" si="7"/>
        <v>-3098080.8131170203</v>
      </c>
      <c r="D45" s="275">
        <f>SUM('Restating Adj'!C51:G51)</f>
        <v>0</v>
      </c>
      <c r="E45" s="275">
        <f>SUM('Restating Adj'!H51:Q51)</f>
        <v>0</v>
      </c>
      <c r="F45" s="275">
        <f>SUM('Restating Adj'!R51:T51)</f>
        <v>0</v>
      </c>
      <c r="G45" s="275">
        <f>SUM('Restating Adj'!U51)</f>
        <v>0</v>
      </c>
      <c r="H45" s="275">
        <f>SUM('Restating Adj'!V51:AB51)</f>
        <v>0</v>
      </c>
      <c r="I45" s="275">
        <f>SUM('Restating Adj'!AC51:AL51)</f>
        <v>-3098080.8131170203</v>
      </c>
      <c r="J45" s="275">
        <v>0</v>
      </c>
    </row>
    <row r="46" spans="1:10">
      <c r="A46" s="169">
        <v>42</v>
      </c>
      <c r="B46" s="169" t="s">
        <v>206</v>
      </c>
      <c r="C46" s="275">
        <f t="shared" si="7"/>
        <v>0</v>
      </c>
      <c r="D46" s="275">
        <f>SUM('Restating Adj'!C52:G52)</f>
        <v>0</v>
      </c>
      <c r="E46" s="275">
        <f>SUM('Restating Adj'!H52:Q52)</f>
        <v>0</v>
      </c>
      <c r="F46" s="275">
        <f>SUM('Restating Adj'!R52:T52)</f>
        <v>0</v>
      </c>
      <c r="G46" s="275">
        <f>SUM('Restating Adj'!U52)</f>
        <v>0</v>
      </c>
      <c r="H46" s="275">
        <f>SUM('Restating Adj'!V52:AB52)</f>
        <v>0</v>
      </c>
      <c r="I46" s="275">
        <f>SUM('Restating Adj'!AC52:AL52)</f>
        <v>0</v>
      </c>
      <c r="J46" s="275">
        <v>0</v>
      </c>
    </row>
    <row r="47" spans="1:10">
      <c r="A47" s="169">
        <v>43</v>
      </c>
      <c r="B47" s="169" t="s">
        <v>95</v>
      </c>
      <c r="C47" s="275">
        <f t="shared" si="7"/>
        <v>-102468.75195108727</v>
      </c>
      <c r="D47" s="282">
        <f>SUM('Restating Adj'!C53:G53)</f>
        <v>0</v>
      </c>
      <c r="E47" s="275">
        <f>SUM('Restating Adj'!H53:Q53)</f>
        <v>0</v>
      </c>
      <c r="F47" s="275">
        <f>SUM('Restating Adj'!R53:T53)</f>
        <v>0</v>
      </c>
      <c r="G47" s="275">
        <f>SUM('Restating Adj'!U53)</f>
        <v>0</v>
      </c>
      <c r="H47" s="275">
        <f>SUM('Restating Adj'!V53:AB53)</f>
        <v>0</v>
      </c>
      <c r="I47" s="275">
        <f>SUM('Restating Adj'!AC53:AL53)</f>
        <v>-102468.75195108727</v>
      </c>
      <c r="J47" s="275">
        <v>0</v>
      </c>
    </row>
    <row r="48" spans="1:10">
      <c r="A48" s="169">
        <v>44</v>
      </c>
      <c r="B48" s="169" t="s">
        <v>96</v>
      </c>
      <c r="C48" s="280">
        <f>SUM(C37:C47)</f>
        <v>11489369.69707093</v>
      </c>
      <c r="D48" s="280">
        <f t="shared" ref="D48:J48" si="8">SUM(D37:D47)</f>
        <v>0</v>
      </c>
      <c r="E48" s="280">
        <f t="shared" si="8"/>
        <v>-79630.904999999548</v>
      </c>
      <c r="F48" s="280">
        <f t="shared" si="8"/>
        <v>-26918433.364462718</v>
      </c>
      <c r="G48" s="280">
        <f t="shared" si="8"/>
        <v>0</v>
      </c>
      <c r="H48" s="280">
        <f t="shared" si="8"/>
        <v>0</v>
      </c>
      <c r="I48" s="280">
        <f t="shared" si="8"/>
        <v>38487433.966533646</v>
      </c>
      <c r="J48" s="280">
        <f t="shared" si="8"/>
        <v>0</v>
      </c>
    </row>
    <row r="49" spans="1:10">
      <c r="A49" s="169">
        <v>45</v>
      </c>
      <c r="B49" s="169"/>
    </row>
    <row r="50" spans="1:10">
      <c r="A50" s="169">
        <v>46</v>
      </c>
      <c r="B50" s="169" t="s">
        <v>207</v>
      </c>
    </row>
    <row r="51" spans="1:10">
      <c r="A51" s="169">
        <v>47</v>
      </c>
      <c r="B51" s="169" t="s">
        <v>98</v>
      </c>
      <c r="C51" s="275">
        <f t="shared" ref="C51:C57" si="9">SUM(D51:J51)</f>
        <v>-10099130.621185265</v>
      </c>
      <c r="D51" s="275">
        <f>SUM('Restating Adj'!C57:G57)</f>
        <v>0</v>
      </c>
      <c r="E51" s="275">
        <f>SUM('Restating Adj'!H57:Q57)</f>
        <v>0</v>
      </c>
      <c r="F51" s="275">
        <f>SUM('Restating Adj'!R57:T57)</f>
        <v>16700424.00742016</v>
      </c>
      <c r="G51" s="275">
        <f>SUM('Restating Adj'!U57)</f>
        <v>-8146.0598647139677</v>
      </c>
      <c r="H51" s="275">
        <f>SUM('Restating Adj'!V57:AB57)</f>
        <v>0</v>
      </c>
      <c r="I51" s="275">
        <f>SUM('Restating Adj'!AC57:AL57)</f>
        <v>-26791408.568740711</v>
      </c>
      <c r="J51" s="275">
        <v>0</v>
      </c>
    </row>
    <row r="52" spans="1:10">
      <c r="A52" s="169">
        <v>48</v>
      </c>
      <c r="B52" s="169" t="s">
        <v>99</v>
      </c>
      <c r="C52" s="275">
        <f t="shared" si="9"/>
        <v>0</v>
      </c>
      <c r="D52" s="275">
        <f>SUM('Restating Adj'!C58:G58)</f>
        <v>0</v>
      </c>
      <c r="E52" s="275">
        <f>SUM('Restating Adj'!H58:Q58)</f>
        <v>0</v>
      </c>
      <c r="F52" s="275">
        <f>SUM('Restating Adj'!R58:T58)</f>
        <v>0</v>
      </c>
      <c r="G52" s="275">
        <f>SUM('Restating Adj'!U58)</f>
        <v>0</v>
      </c>
      <c r="H52" s="275">
        <f>SUM('Restating Adj'!V58:AB58)</f>
        <v>0</v>
      </c>
      <c r="I52" s="275">
        <f>SUM('Restating Adj'!AC58:AL58)</f>
        <v>0</v>
      </c>
      <c r="J52" s="275">
        <v>0</v>
      </c>
    </row>
    <row r="53" spans="1:10">
      <c r="A53" s="169">
        <v>49</v>
      </c>
      <c r="B53" s="169" t="s">
        <v>100</v>
      </c>
      <c r="C53" s="275">
        <f t="shared" si="9"/>
        <v>311142.77519654436</v>
      </c>
      <c r="D53" s="275">
        <f>SUM('Restating Adj'!C59:G59)</f>
        <v>1220290.3429160728</v>
      </c>
      <c r="E53" s="275">
        <f>SUM('Restating Adj'!H59:Q59)</f>
        <v>0</v>
      </c>
      <c r="F53" s="275">
        <f>SUM('Restating Adj'!R59:T59)</f>
        <v>1484568.406393917</v>
      </c>
      <c r="G53" s="275">
        <f>SUM('Restating Adj'!U59)</f>
        <v>0</v>
      </c>
      <c r="H53" s="275">
        <f>SUM('Restating Adj'!V59:AB59)</f>
        <v>-2131982.0781018613</v>
      </c>
      <c r="I53" s="275">
        <f>SUM('Restating Adj'!AC59:AL59)</f>
        <v>-261733.89601158394</v>
      </c>
      <c r="J53" s="275">
        <v>0</v>
      </c>
    </row>
    <row r="54" spans="1:10">
      <c r="A54" s="169">
        <v>50</v>
      </c>
      <c r="B54" s="169" t="s">
        <v>101</v>
      </c>
      <c r="C54" s="275">
        <f t="shared" si="9"/>
        <v>103982.22360000001</v>
      </c>
      <c r="D54" s="275">
        <f>SUM('Restating Adj'!C60:G60)</f>
        <v>0</v>
      </c>
      <c r="E54" s="275">
        <f>SUM('Restating Adj'!H60:Q60)</f>
        <v>0</v>
      </c>
      <c r="F54" s="275">
        <f>SUM('Restating Adj'!R60:T60)</f>
        <v>103982.22360000001</v>
      </c>
      <c r="G54" s="275">
        <f>SUM('Restating Adj'!U60)</f>
        <v>0</v>
      </c>
      <c r="H54" s="275">
        <f>SUM('Restating Adj'!V60:AB60)</f>
        <v>0</v>
      </c>
      <c r="I54" s="275">
        <f>SUM('Restating Adj'!AC60:AL60)</f>
        <v>0</v>
      </c>
      <c r="J54" s="275">
        <v>0</v>
      </c>
    </row>
    <row r="55" spans="1:10">
      <c r="A55" s="169">
        <v>51</v>
      </c>
      <c r="B55" s="169" t="s">
        <v>102</v>
      </c>
      <c r="C55" s="275">
        <f t="shared" si="9"/>
        <v>-293988.17735592474</v>
      </c>
      <c r="D55" s="275">
        <f>SUM('Restating Adj'!C61:G61)</f>
        <v>0</v>
      </c>
      <c r="E55" s="275">
        <f>SUM('Restating Adj'!H61:Q61)</f>
        <v>0</v>
      </c>
      <c r="F55" s="275">
        <f>SUM('Restating Adj'!R61:T61)</f>
        <v>0</v>
      </c>
      <c r="G55" s="275">
        <f>SUM('Restating Adj'!U61)</f>
        <v>0</v>
      </c>
      <c r="H55" s="275">
        <f>SUM('Restating Adj'!V61:AB61)</f>
        <v>0</v>
      </c>
      <c r="I55" s="275">
        <f>SUM('Restating Adj'!AC61:AL61)</f>
        <v>-293988.17735592474</v>
      </c>
      <c r="J55" s="275">
        <v>0</v>
      </c>
    </row>
    <row r="56" spans="1:10">
      <c r="A56" s="169">
        <v>52</v>
      </c>
      <c r="B56" s="169" t="s">
        <v>103</v>
      </c>
      <c r="C56" s="275">
        <f t="shared" si="9"/>
        <v>-3291205.6015833332</v>
      </c>
      <c r="D56" s="275">
        <f>SUM('Restating Adj'!C62:G62)</f>
        <v>0</v>
      </c>
      <c r="E56" s="275">
        <f>SUM('Restating Adj'!H62:Q62)</f>
        <v>0</v>
      </c>
      <c r="F56" s="275">
        <f>SUM('Restating Adj'!R62:T62)</f>
        <v>0</v>
      </c>
      <c r="G56" s="275">
        <f>SUM('Restating Adj'!U62)</f>
        <v>0</v>
      </c>
      <c r="H56" s="275">
        <f>SUM('Restating Adj'!V62:AB62)</f>
        <v>0</v>
      </c>
      <c r="I56" s="275">
        <f>SUM('Restating Adj'!AC62:AL62)</f>
        <v>-3291205.6015833332</v>
      </c>
      <c r="J56" s="275">
        <v>0</v>
      </c>
    </row>
    <row r="57" spans="1:10">
      <c r="A57" s="169">
        <v>53</v>
      </c>
      <c r="B57" s="169" t="s">
        <v>208</v>
      </c>
      <c r="C57" s="275">
        <f t="shared" si="9"/>
        <v>-1978325.4157962431</v>
      </c>
      <c r="D57" s="275">
        <f>SUM('Restating Adj'!C63:G63)</f>
        <v>-3215514.4191855043</v>
      </c>
      <c r="E57" s="275">
        <f>SUM('Restating Adj'!H63:Q63)</f>
        <v>56244.919679730992</v>
      </c>
      <c r="F57" s="275">
        <f>SUM('Restating Adj'!R63:T63)</f>
        <v>0</v>
      </c>
      <c r="G57" s="275">
        <f>SUM('Restating Adj'!U63)</f>
        <v>0</v>
      </c>
      <c r="H57" s="275">
        <f>SUM('Restating Adj'!V63:AB63)</f>
        <v>0</v>
      </c>
      <c r="I57" s="275">
        <f>SUM('Restating Adj'!AC63:AL63)</f>
        <v>1180944.0837095301</v>
      </c>
      <c r="J57" s="275">
        <v>0</v>
      </c>
    </row>
    <row r="58" spans="1:10">
      <c r="A58" s="169">
        <v>54</v>
      </c>
      <c r="B58" s="169"/>
      <c r="F58" s="275"/>
      <c r="G58" s="275"/>
      <c r="I58" s="275">
        <f>SUM('Restating Adj'!AC64:AL64)</f>
        <v>0</v>
      </c>
    </row>
    <row r="59" spans="1:10">
      <c r="A59" s="169">
        <v>55</v>
      </c>
      <c r="B59" s="169" t="s">
        <v>209</v>
      </c>
      <c r="C59" s="280">
        <f>SUM(C51:C58)</f>
        <v>-15247524.817124221</v>
      </c>
      <c r="D59" s="280">
        <f t="shared" ref="D59:J59" si="10">SUM(D51:D58)</f>
        <v>-1995224.0762694315</v>
      </c>
      <c r="E59" s="280">
        <f t="shared" si="10"/>
        <v>56244.919679730992</v>
      </c>
      <c r="F59" s="280">
        <f t="shared" si="10"/>
        <v>18288974.637414075</v>
      </c>
      <c r="G59" s="280">
        <f t="shared" si="10"/>
        <v>-8146.0598647139677</v>
      </c>
      <c r="H59" s="280">
        <f t="shared" si="10"/>
        <v>-2131982.0781018613</v>
      </c>
      <c r="I59" s="280">
        <f t="shared" si="10"/>
        <v>-29457392.159982022</v>
      </c>
      <c r="J59" s="280">
        <f t="shared" si="10"/>
        <v>0</v>
      </c>
    </row>
    <row r="60" spans="1:10">
      <c r="A60" s="169">
        <v>56</v>
      </c>
      <c r="B60" s="169"/>
    </row>
    <row r="61" spans="1:10" ht="15.75" thickBot="1">
      <c r="A61" s="169">
        <v>57</v>
      </c>
      <c r="B61" s="169" t="s">
        <v>106</v>
      </c>
      <c r="C61" s="281">
        <f>C48+C59</f>
        <v>-3758155.1200532913</v>
      </c>
      <c r="D61" s="281">
        <f t="shared" ref="D61:J61" si="11">D48+D59</f>
        <v>-1995224.0762694315</v>
      </c>
      <c r="E61" s="281">
        <f t="shared" si="11"/>
        <v>-23385.985320268555</v>
      </c>
      <c r="F61" s="281">
        <f t="shared" si="11"/>
        <v>-8629458.7270486429</v>
      </c>
      <c r="G61" s="281">
        <f t="shared" si="11"/>
        <v>-8146.0598647139677</v>
      </c>
      <c r="H61" s="281">
        <f t="shared" si="11"/>
        <v>-2131982.0781018613</v>
      </c>
      <c r="I61" s="281">
        <f t="shared" si="11"/>
        <v>9030041.8065516241</v>
      </c>
      <c r="J61" s="281">
        <f t="shared" si="11"/>
        <v>0</v>
      </c>
    </row>
    <row r="62" spans="1:10" ht="15.75" thickTop="1">
      <c r="A62" s="169">
        <v>58</v>
      </c>
      <c r="B62" s="169"/>
    </row>
    <row r="63" spans="1:10">
      <c r="A63" s="169">
        <v>59</v>
      </c>
      <c r="B63" s="283" t="s">
        <v>210</v>
      </c>
      <c r="C63" s="284">
        <f t="shared" ref="C63" si="12">(((C34+Unadj_Op_revenue)/(C61+Unadj_rate_base))-Weighted_cost_debt-Weighted_cost_pref)/Percent_common-Unadj_ROE</f>
        <v>2.5866455225270341E-2</v>
      </c>
      <c r="D63" s="284">
        <f t="shared" ref="D63:J63" si="13">(((D34+Unadj_Op_revenue)/(D61+Unadj_rate_base))-Weighted_cost_debt-Weighted_cost_pref)/Percent_common-Unadj_ROE</f>
        <v>3.1164684592225281E-2</v>
      </c>
      <c r="E63" s="284">
        <f t="shared" si="13"/>
        <v>2.3693545300757096E-3</v>
      </c>
      <c r="F63" s="284">
        <f t="shared" si="13"/>
        <v>-1.0579894078889943E-2</v>
      </c>
      <c r="G63" s="284">
        <f t="shared" si="13"/>
        <v>1.1379193097932339E-6</v>
      </c>
      <c r="H63" s="284">
        <f t="shared" si="13"/>
        <v>4.3244177916372875E-3</v>
      </c>
      <c r="I63" s="284">
        <f t="shared" si="13"/>
        <v>-1.5493005342628458E-3</v>
      </c>
      <c r="J63" s="284">
        <f t="shared" si="13"/>
        <v>0</v>
      </c>
    </row>
    <row r="64" spans="1:10">
      <c r="A64" s="169">
        <v>60</v>
      </c>
      <c r="B64" s="101" t="s">
        <v>53</v>
      </c>
      <c r="C64" s="285">
        <f t="shared" ref="C64" si="14">-(C34-(C61*Overall_ROR))/gross_up_factor</f>
        <v>-15588745.025391217</v>
      </c>
      <c r="D64" s="285">
        <f t="shared" ref="D64:J64" si="15">-(D34-(D61*Overall_ROR))/gross_up_factor</f>
        <v>-18721379.608679913</v>
      </c>
      <c r="E64" s="285">
        <f t="shared" si="15"/>
        <v>-1421763.4343048965</v>
      </c>
      <c r="F64" s="285">
        <f t="shared" si="15"/>
        <v>5918224.5221639266</v>
      </c>
      <c r="G64" s="285">
        <f t="shared" si="15"/>
        <v>-1016.5664890909197</v>
      </c>
      <c r="H64" s="285">
        <f t="shared" si="15"/>
        <v>-2673420.0556763988</v>
      </c>
      <c r="I64" s="285">
        <f t="shared" si="15"/>
        <v>1310610.1175951513</v>
      </c>
      <c r="J64" s="285">
        <f t="shared" si="15"/>
        <v>0</v>
      </c>
    </row>
    <row r="65" spans="1:10">
      <c r="A65" s="169">
        <v>61</v>
      </c>
      <c r="B65" s="169"/>
    </row>
    <row r="66" spans="1:10">
      <c r="A66" s="169">
        <v>62</v>
      </c>
      <c r="B66" s="169" t="s">
        <v>108</v>
      </c>
    </row>
    <row r="67" spans="1:10">
      <c r="A67" s="169">
        <v>63</v>
      </c>
      <c r="B67" s="169" t="s">
        <v>109</v>
      </c>
      <c r="C67" s="286">
        <f>SUM(D67:J67)</f>
        <v>10125496.330785837</v>
      </c>
      <c r="D67" s="286">
        <f t="shared" ref="D67:J67" si="16">D10-D23-D24-D25-D26-D31</f>
        <v>16625093.560511954</v>
      </c>
      <c r="E67" s="286">
        <f t="shared" si="16"/>
        <v>83787.822247758508</v>
      </c>
      <c r="F67" s="286">
        <f t="shared" si="16"/>
        <v>-6689257.5224869112</v>
      </c>
      <c r="G67" s="286">
        <f t="shared" si="16"/>
        <v>0</v>
      </c>
      <c r="H67" s="286">
        <f t="shared" si="16"/>
        <v>0</v>
      </c>
      <c r="I67" s="286">
        <f t="shared" si="16"/>
        <v>105872.47051303543</v>
      </c>
      <c r="J67" s="286">
        <f t="shared" si="16"/>
        <v>0</v>
      </c>
    </row>
    <row r="68" spans="1:10">
      <c r="A68" s="169">
        <v>64</v>
      </c>
      <c r="B68" s="169" t="s">
        <v>110</v>
      </c>
      <c r="C68" s="286">
        <v>0</v>
      </c>
      <c r="D68" s="110">
        <v>0</v>
      </c>
      <c r="E68" s="110">
        <v>0</v>
      </c>
      <c r="F68" s="110">
        <v>0</v>
      </c>
      <c r="G68" s="110">
        <v>0</v>
      </c>
      <c r="H68" s="110">
        <v>0</v>
      </c>
      <c r="I68" s="110">
        <v>0</v>
      </c>
      <c r="J68" s="110">
        <v>0</v>
      </c>
    </row>
    <row r="69" spans="1:10">
      <c r="A69" s="169">
        <v>65</v>
      </c>
      <c r="B69" s="169" t="s">
        <v>111</v>
      </c>
      <c r="C69" s="286">
        <f>SUM(D69:J69)</f>
        <v>239226.0290480254</v>
      </c>
      <c r="D69" s="286">
        <f>SUM('Restating Adj'!C76:G76)</f>
        <v>0</v>
      </c>
      <c r="E69" s="275">
        <f>SUM('Restating Adj'!H75:Q75)</f>
        <v>0</v>
      </c>
      <c r="F69" s="286">
        <f>SUM('Restating Adj'!R76:T76)</f>
        <v>0</v>
      </c>
      <c r="G69" s="286">
        <f>SUM('Restating Adj'!U76)</f>
        <v>0</v>
      </c>
      <c r="H69" s="275">
        <f>SUM('Restating Adj'!V76:AB76)</f>
        <v>239226.0290480254</v>
      </c>
      <c r="I69" s="275">
        <f>SUM('Restating Adj'!AC75:AL75)</f>
        <v>0</v>
      </c>
      <c r="J69" s="286">
        <v>0</v>
      </c>
    </row>
    <row r="70" spans="1:10">
      <c r="A70" s="169">
        <v>66</v>
      </c>
      <c r="B70" s="169" t="s">
        <v>112</v>
      </c>
      <c r="C70" s="286">
        <f>SUM(D70:J70)</f>
        <v>-992771.65397105366</v>
      </c>
      <c r="D70" s="286">
        <f>SUM('Restating Adj'!C77:G77)</f>
        <v>0</v>
      </c>
      <c r="E70" s="275">
        <f>SUM('Restating Adj'!H76:Q76)</f>
        <v>0</v>
      </c>
      <c r="F70" s="286">
        <f>SUM('Restating Adj'!R77:T77)</f>
        <v>0</v>
      </c>
      <c r="G70" s="286">
        <f>SUM('Restating Adj'!U77)</f>
        <v>0</v>
      </c>
      <c r="H70" s="275">
        <f>SUM('Restating Adj'!V77:AB77)</f>
        <v>-992771.65397105366</v>
      </c>
      <c r="I70" s="275">
        <f>SUM('Restating Adj'!AC76:AL76)</f>
        <v>0</v>
      </c>
      <c r="J70" s="286">
        <v>0</v>
      </c>
    </row>
    <row r="71" spans="1:10">
      <c r="A71" s="169">
        <v>67</v>
      </c>
      <c r="B71" s="279" t="s">
        <v>113</v>
      </c>
      <c r="C71" s="286">
        <f>SUM(D71:J71)</f>
        <v>-4945929.2323369188</v>
      </c>
      <c r="D71" s="286">
        <f>SUM('Restating Adj'!C78:G78)</f>
        <v>-1926141.0121197081</v>
      </c>
      <c r="E71" s="275">
        <f>SUM('Restating Adj'!H78:Q78)</f>
        <v>-2358709.0718116984</v>
      </c>
      <c r="F71" s="286">
        <f>SUM('Restating Adj'!R78:T78)</f>
        <v>-52188</v>
      </c>
      <c r="G71" s="286">
        <f>SUM('Restating Adj'!U78)</f>
        <v>0</v>
      </c>
      <c r="H71" s="275">
        <f>SUM('Restating Adj'!V78:AB78)</f>
        <v>0</v>
      </c>
      <c r="I71" s="275">
        <f>SUM('Restating Adj'!AC78:AL78)</f>
        <v>-608891.14840551151</v>
      </c>
      <c r="J71" s="286">
        <v>0</v>
      </c>
    </row>
    <row r="72" spans="1:10">
      <c r="A72" s="169">
        <v>68</v>
      </c>
      <c r="B72" s="279" t="s">
        <v>114</v>
      </c>
      <c r="C72" s="170">
        <f>SUM(D72:J72)</f>
        <v>116992.72253218386</v>
      </c>
      <c r="D72" s="170">
        <f>SUM('Restating Adj'!C79:G79)</f>
        <v>912561.86790620477</v>
      </c>
      <c r="E72" s="275">
        <f>SUM('Restating Adj'!H79:Q79)</f>
        <v>0</v>
      </c>
      <c r="F72" s="170">
        <f>SUM('Restating Adj'!R79:T79)</f>
        <v>299183.70853287209</v>
      </c>
      <c r="G72" s="170">
        <f>SUM('Restating Adj'!U79)</f>
        <v>0</v>
      </c>
      <c r="H72" s="275">
        <f>SUM('Restating Adj'!V79:AB79)</f>
        <v>0</v>
      </c>
      <c r="I72" s="275">
        <f>SUM('Restating Adj'!AC79:AL79)</f>
        <v>-1094752.8539068929</v>
      </c>
      <c r="J72" s="170">
        <v>0</v>
      </c>
    </row>
    <row r="73" spans="1:10">
      <c r="A73" s="169">
        <v>69</v>
      </c>
      <c r="B73" s="279" t="s">
        <v>115</v>
      </c>
      <c r="C73" s="287">
        <f>SUM(D73:J73)</f>
        <v>5816120.0008397624</v>
      </c>
      <c r="D73" s="287">
        <f>D67-D69-D70+D71-D72</f>
        <v>13786390.68048604</v>
      </c>
      <c r="E73" s="287">
        <f t="shared" ref="E73:J73" si="17">E67-E69-E70+E71-E72</f>
        <v>-2274921.2495639399</v>
      </c>
      <c r="F73" s="287">
        <f t="shared" si="17"/>
        <v>-7040629.2310197828</v>
      </c>
      <c r="G73" s="287">
        <f t="shared" si="17"/>
        <v>0</v>
      </c>
      <c r="H73" s="287">
        <f t="shared" si="17"/>
        <v>753545.62492302828</v>
      </c>
      <c r="I73" s="287">
        <f t="shared" si="17"/>
        <v>591734.17601441685</v>
      </c>
      <c r="J73" s="287">
        <f t="shared" si="17"/>
        <v>0</v>
      </c>
    </row>
    <row r="74" spans="1:10">
      <c r="A74" s="169">
        <v>70</v>
      </c>
      <c r="B74" s="169"/>
      <c r="C74" s="170"/>
      <c r="D74" s="170"/>
      <c r="E74" s="170"/>
      <c r="F74" s="170"/>
      <c r="G74" s="170"/>
      <c r="H74" s="170"/>
      <c r="I74" s="170"/>
      <c r="J74" s="170"/>
    </row>
    <row r="75" spans="1:10">
      <c r="A75" s="169">
        <v>71</v>
      </c>
      <c r="B75" s="169" t="s">
        <v>116</v>
      </c>
      <c r="C75" s="286">
        <f>SUM(D75:J75)</f>
        <v>0</v>
      </c>
      <c r="D75" s="286">
        <f>C162</f>
        <v>0</v>
      </c>
      <c r="E75" s="286">
        <f>C277</f>
        <v>0</v>
      </c>
      <c r="F75" s="286">
        <f>C391</f>
        <v>0</v>
      </c>
      <c r="G75" s="286">
        <f>C505</f>
        <v>0</v>
      </c>
      <c r="H75" s="286">
        <f>C620</f>
        <v>0</v>
      </c>
      <c r="I75" s="286">
        <f>C735</f>
        <v>0</v>
      </c>
      <c r="J75" s="286">
        <f>C853</f>
        <v>0</v>
      </c>
    </row>
    <row r="76" spans="1:10">
      <c r="A76" s="169">
        <v>72</v>
      </c>
      <c r="B76" s="169" t="s">
        <v>117</v>
      </c>
      <c r="C76" s="286">
        <f>SUM(D76:J76)</f>
        <v>5816120.0008397624</v>
      </c>
      <c r="D76" s="286">
        <f>D73-D75</f>
        <v>13786390.68048604</v>
      </c>
      <c r="E76" s="286">
        <f t="shared" ref="E76:J76" si="18">E73-E75</f>
        <v>-2274921.2495639399</v>
      </c>
      <c r="F76" s="286">
        <f t="shared" si="18"/>
        <v>-7040629.2310197828</v>
      </c>
      <c r="G76" s="286">
        <f t="shared" si="18"/>
        <v>0</v>
      </c>
      <c r="H76" s="286">
        <f t="shared" si="18"/>
        <v>753545.62492302828</v>
      </c>
      <c r="I76" s="286">
        <f t="shared" si="18"/>
        <v>591734.17601441685</v>
      </c>
      <c r="J76" s="286">
        <f t="shared" si="18"/>
        <v>0</v>
      </c>
    </row>
    <row r="77" spans="1:10">
      <c r="A77" s="169">
        <v>73</v>
      </c>
      <c r="B77" s="169"/>
    </row>
    <row r="78" spans="1:10">
      <c r="A78" s="169">
        <v>74</v>
      </c>
      <c r="B78" s="169" t="s">
        <v>168</v>
      </c>
      <c r="C78" s="170">
        <f>SUM(D78:J78)</f>
        <v>2035642.0002939163</v>
      </c>
      <c r="D78" s="170">
        <f>D76*0.35</f>
        <v>4825236.7381701134</v>
      </c>
      <c r="E78" s="170">
        <f t="shared" ref="E78:J78" si="19">E76*0.35</f>
        <v>-796222.43734737893</v>
      </c>
      <c r="F78" s="170">
        <f t="shared" si="19"/>
        <v>-2464220.2308569239</v>
      </c>
      <c r="G78" s="170">
        <f t="shared" si="19"/>
        <v>0</v>
      </c>
      <c r="H78" s="170">
        <f t="shared" si="19"/>
        <v>263740.96872305986</v>
      </c>
      <c r="I78" s="170">
        <f t="shared" si="19"/>
        <v>207106.96160504589</v>
      </c>
      <c r="J78" s="170">
        <f t="shared" si="19"/>
        <v>0</v>
      </c>
    </row>
    <row r="79" spans="1:10">
      <c r="A79" s="169">
        <v>75</v>
      </c>
      <c r="B79" s="169" t="s">
        <v>167</v>
      </c>
      <c r="C79" s="170">
        <f>SUM(D79:J79)</f>
        <v>0</v>
      </c>
      <c r="D79" s="170">
        <f>SUM('Restating Adj'!C86:G86)</f>
        <v>0</v>
      </c>
      <c r="E79" s="170">
        <f>SUM('Restating Adj'!H86:Q86)</f>
        <v>0</v>
      </c>
      <c r="F79" s="170">
        <f>SUM('Restating Adj'!R86:T86)</f>
        <v>0</v>
      </c>
      <c r="G79" s="170">
        <f>SUM('Restating Adj'!U86)</f>
        <v>0</v>
      </c>
      <c r="H79" s="275">
        <f>SUM('Restating Adj'!V86:AB86)</f>
        <v>0</v>
      </c>
      <c r="I79" s="275">
        <f>SUM('Restating Adj'!AC86:AL86)</f>
        <v>0</v>
      </c>
      <c r="J79" s="170">
        <v>0</v>
      </c>
    </row>
    <row r="80" spans="1:10" ht="15.75" thickBot="1">
      <c r="A80" s="169">
        <v>76</v>
      </c>
      <c r="B80" s="169" t="s">
        <v>168</v>
      </c>
      <c r="C80" s="288">
        <f>SUM(D80:J80)</f>
        <v>2035642.0002939163</v>
      </c>
      <c r="D80" s="288">
        <f>D78+D79</f>
        <v>4825236.7381701134</v>
      </c>
      <c r="E80" s="288">
        <f t="shared" ref="E80:J80" si="20">E78+E79</f>
        <v>-796222.43734737893</v>
      </c>
      <c r="F80" s="288">
        <f t="shared" si="20"/>
        <v>-2464220.2308569239</v>
      </c>
      <c r="G80" s="288">
        <f t="shared" si="20"/>
        <v>0</v>
      </c>
      <c r="H80" s="288">
        <f t="shared" si="20"/>
        <v>263740.96872305986</v>
      </c>
      <c r="I80" s="288">
        <f t="shared" si="20"/>
        <v>207106.96160504589</v>
      </c>
      <c r="J80" s="288">
        <f t="shared" si="20"/>
        <v>0</v>
      </c>
    </row>
    <row r="81" ht="15.75" thickTop="1"/>
  </sheetData>
  <pageMargins left="0.5" right="0.5" top="0.4" bottom="0.25" header="0.25" footer="0.3"/>
  <pageSetup scale="63" orientation="portrait" r:id="rId1"/>
  <headerFooter>
    <oddHeader>&amp;RExhibit No.___(RBD-6) - Revised 12/10/10</oddHeader>
  </headerFooter>
</worksheet>
</file>

<file path=xl/worksheets/sheet28.xml><?xml version="1.0" encoding="utf-8"?>
<worksheet xmlns="http://schemas.openxmlformats.org/spreadsheetml/2006/main" xmlns:r="http://schemas.openxmlformats.org/officeDocument/2006/relationships">
  <sheetPr codeName="Sheet12">
    <pageSetUpPr fitToPage="1"/>
  </sheetPr>
  <dimension ref="A1:J81"/>
  <sheetViews>
    <sheetView workbookViewId="0">
      <pane xSplit="2" ySplit="3" topLeftCell="C4" activePane="bottomRight" state="frozen"/>
      <selection pane="topRight" activeCell="C1" sqref="C1"/>
      <selection pane="bottomLeft" activeCell="A4" sqref="A4"/>
      <selection pane="bottomRight" activeCell="H13" sqref="H13"/>
    </sheetView>
  </sheetViews>
  <sheetFormatPr defaultRowHeight="15"/>
  <cols>
    <col min="1" max="1" width="5.140625" style="171" customWidth="1"/>
    <col min="2" max="2" width="22.85546875" style="171" customWidth="1"/>
    <col min="3" max="10" width="12" style="171" customWidth="1"/>
    <col min="11" max="16384" width="9.140625" style="171"/>
  </cols>
  <sheetData>
    <row r="1" spans="1:10">
      <c r="B1" s="269" t="s">
        <v>273</v>
      </c>
      <c r="C1" s="270"/>
      <c r="D1" s="270"/>
      <c r="E1" s="270"/>
      <c r="F1" s="270"/>
      <c r="G1" s="270"/>
      <c r="H1" s="270"/>
      <c r="I1" s="271"/>
      <c r="J1" s="272" t="s">
        <v>211</v>
      </c>
    </row>
    <row r="3" spans="1:10" ht="34.5">
      <c r="C3" s="273" t="s">
        <v>202</v>
      </c>
      <c r="D3" s="273" t="s">
        <v>213</v>
      </c>
      <c r="E3" s="273" t="s">
        <v>214</v>
      </c>
      <c r="F3" s="273" t="s">
        <v>215</v>
      </c>
      <c r="G3" s="273" t="s">
        <v>216</v>
      </c>
      <c r="H3" s="273" t="s">
        <v>217</v>
      </c>
      <c r="I3" s="273" t="s">
        <v>218</v>
      </c>
      <c r="J3" s="274" t="s">
        <v>219</v>
      </c>
    </row>
    <row r="5" spans="1:10">
      <c r="A5" s="169">
        <v>1</v>
      </c>
      <c r="B5" s="169" t="s">
        <v>56</v>
      </c>
    </row>
    <row r="6" spans="1:10">
      <c r="A6" s="169">
        <v>2</v>
      </c>
      <c r="B6" s="169" t="s">
        <v>57</v>
      </c>
      <c r="C6" s="275">
        <f>SUM(D6:J6)</f>
        <v>33183479.159999996</v>
      </c>
      <c r="D6" s="275">
        <f>SUM('Pro Forma Adj'!C12:G12)</f>
        <v>33183479.159999996</v>
      </c>
      <c r="E6" s="275">
        <f>SUM('Pro Forma Adj'!H12:L12)</f>
        <v>0</v>
      </c>
      <c r="F6" s="275">
        <f>SUM('Pro Forma Adj'!M12:N12)</f>
        <v>0</v>
      </c>
      <c r="G6" s="275">
        <f>SUM('Pro Forma Adj'!O12)</f>
        <v>0</v>
      </c>
      <c r="H6" s="275">
        <f>SUM('Pro Forma Adj'!P12:R12)</f>
        <v>0</v>
      </c>
      <c r="I6" s="275">
        <f>SUM('Pro Forma Adj'!S12:U12)</f>
        <v>0</v>
      </c>
      <c r="J6" s="275">
        <f>SUM('Pro Forma Adj'!V12:W12)</f>
        <v>0</v>
      </c>
    </row>
    <row r="7" spans="1:10">
      <c r="A7" s="169">
        <v>3</v>
      </c>
      <c r="B7" s="169" t="s">
        <v>58</v>
      </c>
      <c r="C7" s="275">
        <f>SUM(D7:J7)</f>
        <v>0</v>
      </c>
      <c r="D7" s="275">
        <f>SUM('Pro Forma Adj'!C13:G13)</f>
        <v>0</v>
      </c>
      <c r="E7" s="275">
        <f>SUM('Pro Forma Adj'!H13:L13)</f>
        <v>0</v>
      </c>
      <c r="F7" s="275">
        <f>SUM('Pro Forma Adj'!M13:N13)</f>
        <v>0</v>
      </c>
      <c r="G7" s="275">
        <f>SUM('Pro Forma Adj'!O13)</f>
        <v>0</v>
      </c>
      <c r="H7" s="275">
        <f>SUM('Pro Forma Adj'!P13:R13)</f>
        <v>0</v>
      </c>
      <c r="I7" s="275">
        <f>SUM('Pro Forma Adj'!S13:U13)</f>
        <v>0</v>
      </c>
      <c r="J7" s="275">
        <f>SUM('Pro Forma Adj'!V13:W13)</f>
        <v>0</v>
      </c>
    </row>
    <row r="8" spans="1:10">
      <c r="A8" s="169">
        <v>4</v>
      </c>
      <c r="B8" s="169" t="s">
        <v>59</v>
      </c>
      <c r="C8" s="275">
        <f>SUM(D8:J8)</f>
        <v>-33733520.419695824</v>
      </c>
      <c r="D8" s="275">
        <f>SUM('Pro Forma Adj'!C14:G14)</f>
        <v>0</v>
      </c>
      <c r="E8" s="275">
        <f>SUM('Pro Forma Adj'!H14:L14)</f>
        <v>0</v>
      </c>
      <c r="F8" s="275">
        <f>SUM('Pro Forma Adj'!M14:N14)</f>
        <v>-32991267.499196757</v>
      </c>
      <c r="G8" s="275">
        <f>SUM('Pro Forma Adj'!O14)</f>
        <v>0</v>
      </c>
      <c r="H8" s="275">
        <f>SUM('Pro Forma Adj'!P14:R14)</f>
        <v>0</v>
      </c>
      <c r="I8" s="275">
        <f>SUM('Pro Forma Adj'!S14:U14)</f>
        <v>0</v>
      </c>
      <c r="J8" s="275">
        <f>SUM('Pro Forma Adj'!V14:W14)</f>
        <v>-742252.92049907148</v>
      </c>
    </row>
    <row r="9" spans="1:10">
      <c r="A9" s="169">
        <v>5</v>
      </c>
      <c r="B9" s="169" t="s">
        <v>60</v>
      </c>
      <c r="C9" s="275">
        <f>SUM(D9:J9)</f>
        <v>-7914206.1998940334</v>
      </c>
      <c r="D9" s="275">
        <f>SUM('Pro Forma Adj'!C15:G15)</f>
        <v>-5995505.3022115659</v>
      </c>
      <c r="E9" s="275">
        <f>SUM('Pro Forma Adj'!H15:L15)</f>
        <v>0</v>
      </c>
      <c r="F9" s="275">
        <f>SUM('Pro Forma Adj'!M15:N15)</f>
        <v>1100536.4799877179</v>
      </c>
      <c r="G9" s="275">
        <f>SUM('Pro Forma Adj'!O15)</f>
        <v>0</v>
      </c>
      <c r="H9" s="275">
        <f>SUM('Pro Forma Adj'!P15:R15)</f>
        <v>0</v>
      </c>
      <c r="I9" s="275">
        <f>SUM('Pro Forma Adj'!S15:U15)</f>
        <v>-3000000</v>
      </c>
      <c r="J9" s="275">
        <f>SUM('Pro Forma Adj'!V15:W15)</f>
        <v>-19237.377670185408</v>
      </c>
    </row>
    <row r="10" spans="1:10">
      <c r="A10" s="169">
        <v>6</v>
      </c>
      <c r="B10" s="169" t="s">
        <v>61</v>
      </c>
      <c r="C10" s="276">
        <f>SUM(C6:C9)</f>
        <v>-8464247.4595898613</v>
      </c>
      <c r="D10" s="276">
        <f t="shared" ref="D10:J10" si="0">SUM(D6:D9)</f>
        <v>27187973.857788429</v>
      </c>
      <c r="E10" s="276">
        <f t="shared" si="0"/>
        <v>0</v>
      </c>
      <c r="F10" s="276">
        <f t="shared" si="0"/>
        <v>-31890731.019209038</v>
      </c>
      <c r="G10" s="276">
        <f t="shared" si="0"/>
        <v>0</v>
      </c>
      <c r="H10" s="276">
        <f t="shared" si="0"/>
        <v>0</v>
      </c>
      <c r="I10" s="276">
        <f t="shared" si="0"/>
        <v>-3000000</v>
      </c>
      <c r="J10" s="276">
        <f t="shared" si="0"/>
        <v>-761490.29816925689</v>
      </c>
    </row>
    <row r="11" spans="1:10">
      <c r="A11" s="169">
        <v>7</v>
      </c>
      <c r="B11" s="169"/>
    </row>
    <row r="12" spans="1:10">
      <c r="A12" s="169">
        <v>8</v>
      </c>
      <c r="B12" s="169" t="s">
        <v>62</v>
      </c>
    </row>
    <row r="13" spans="1:10">
      <c r="A13" s="169">
        <v>9</v>
      </c>
      <c r="B13" s="169" t="s">
        <v>63</v>
      </c>
      <c r="C13" s="275">
        <f t="shared" ref="C13:C22" si="1">SUM(D13:J13)</f>
        <v>1407801.9860914284</v>
      </c>
      <c r="D13" s="275">
        <f>SUM('Pro Forma Adj'!C19:G19)</f>
        <v>0</v>
      </c>
      <c r="E13" s="275">
        <f>SUM('Pro Forma Adj'!H19:L19)</f>
        <v>0</v>
      </c>
      <c r="F13" s="275">
        <f>SUM('Pro Forma Adj'!M19:N19)</f>
        <v>2371723.0291982596</v>
      </c>
      <c r="G13" s="275">
        <f>SUM('Pro Forma Adj'!O19)</f>
        <v>0</v>
      </c>
      <c r="H13" s="275">
        <f>SUM('Pro Forma Adj'!P19:R19)</f>
        <v>0</v>
      </c>
      <c r="I13" s="275">
        <f>SUM('Pro Forma Adj'!S19:U19)</f>
        <v>0</v>
      </c>
      <c r="J13" s="275">
        <f>SUM('Pro Forma Adj'!V19:W19)</f>
        <v>-963921.04310683114</v>
      </c>
    </row>
    <row r="14" spans="1:10">
      <c r="A14" s="169">
        <v>10</v>
      </c>
      <c r="B14" s="169" t="s">
        <v>64</v>
      </c>
      <c r="C14" s="275">
        <f t="shared" si="1"/>
        <v>0</v>
      </c>
      <c r="D14" s="275">
        <f>SUM('Pro Forma Adj'!C20:G20)</f>
        <v>0</v>
      </c>
      <c r="E14" s="275">
        <f>SUM('Pro Forma Adj'!H20:L20)</f>
        <v>0</v>
      </c>
      <c r="F14" s="275">
        <f>SUM('Pro Forma Adj'!M20:N20)</f>
        <v>0</v>
      </c>
      <c r="G14" s="275">
        <f>SUM('Pro Forma Adj'!O20)</f>
        <v>0</v>
      </c>
      <c r="H14" s="275">
        <f>SUM('Pro Forma Adj'!P20:R20)</f>
        <v>0</v>
      </c>
      <c r="I14" s="275">
        <f>SUM('Pro Forma Adj'!S20:U20)</f>
        <v>0</v>
      </c>
      <c r="J14" s="275">
        <f>SUM('Pro Forma Adj'!V20:W20)</f>
        <v>0</v>
      </c>
    </row>
    <row r="15" spans="1:10">
      <c r="A15" s="169">
        <v>11</v>
      </c>
      <c r="B15" s="169" t="s">
        <v>65</v>
      </c>
      <c r="C15" s="275">
        <f t="shared" si="1"/>
        <v>-229179.88482946434</v>
      </c>
      <c r="D15" s="275">
        <f>SUM('Pro Forma Adj'!C21:G21)</f>
        <v>0</v>
      </c>
      <c r="E15" s="275">
        <f>SUM('Pro Forma Adj'!H21:L21)</f>
        <v>0</v>
      </c>
      <c r="F15" s="275">
        <f>SUM('Pro Forma Adj'!M21:N21)</f>
        <v>0</v>
      </c>
      <c r="G15" s="275">
        <f>SUM('Pro Forma Adj'!O21)</f>
        <v>0</v>
      </c>
      <c r="H15" s="275">
        <f>SUM('Pro Forma Adj'!P21:R21)</f>
        <v>0</v>
      </c>
      <c r="I15" s="275">
        <f>SUM('Pro Forma Adj'!S21:U21)</f>
        <v>-107276.52971351889</v>
      </c>
      <c r="J15" s="275">
        <f>SUM('Pro Forma Adj'!V21:W21)</f>
        <v>-121903.35511594545</v>
      </c>
    </row>
    <row r="16" spans="1:10">
      <c r="A16" s="169">
        <v>12</v>
      </c>
      <c r="B16" s="169" t="s">
        <v>66</v>
      </c>
      <c r="C16" s="275">
        <f t="shared" si="1"/>
        <v>-19995413.363707144</v>
      </c>
      <c r="D16" s="275">
        <f>SUM('Pro Forma Adj'!C22:G22)</f>
        <v>0</v>
      </c>
      <c r="E16" s="275">
        <f>SUM('Pro Forma Adj'!H22:L22)</f>
        <v>82851.118234178648</v>
      </c>
      <c r="F16" s="275">
        <f>SUM('Pro Forma Adj'!M22:N22)</f>
        <v>-18150818.786363181</v>
      </c>
      <c r="G16" s="275">
        <f>SUM('Pro Forma Adj'!O22)</f>
        <v>0</v>
      </c>
      <c r="H16" s="275">
        <f>SUM('Pro Forma Adj'!P22:R22)</f>
        <v>0</v>
      </c>
      <c r="I16" s="275">
        <f>SUM('Pro Forma Adj'!S22:U22)</f>
        <v>0</v>
      </c>
      <c r="J16" s="275">
        <f>SUM('Pro Forma Adj'!V22:W22)</f>
        <v>-1927445.6955781446</v>
      </c>
    </row>
    <row r="17" spans="1:10">
      <c r="A17" s="169">
        <v>13</v>
      </c>
      <c r="B17" s="169" t="s">
        <v>67</v>
      </c>
      <c r="C17" s="275">
        <f t="shared" si="1"/>
        <v>-3764609.2675194046</v>
      </c>
      <c r="D17" s="275">
        <f>SUM('Pro Forma Adj'!C23:G23)</f>
        <v>0</v>
      </c>
      <c r="E17" s="275">
        <f>SUM('Pro Forma Adj'!H23:L23)</f>
        <v>160518.37103772757</v>
      </c>
      <c r="F17" s="275">
        <f>SUM('Pro Forma Adj'!M23:N23)</f>
        <v>-3568926.1977596208</v>
      </c>
      <c r="G17" s="275">
        <f>SUM('Pro Forma Adj'!O23)</f>
        <v>0</v>
      </c>
      <c r="H17" s="275">
        <f>SUM('Pro Forma Adj'!P23:R23)</f>
        <v>0</v>
      </c>
      <c r="I17" s="275">
        <f>SUM('Pro Forma Adj'!S23:U23)</f>
        <v>0</v>
      </c>
      <c r="J17" s="275">
        <f>SUM('Pro Forma Adj'!V23:W23)</f>
        <v>-356201.44079751149</v>
      </c>
    </row>
    <row r="18" spans="1:10">
      <c r="A18" s="169">
        <v>14</v>
      </c>
      <c r="B18" s="169" t="s">
        <v>68</v>
      </c>
      <c r="C18" s="275">
        <f t="shared" si="1"/>
        <v>365620.68538776349</v>
      </c>
      <c r="D18" s="275">
        <f>SUM('Pro Forma Adj'!C24:G24)</f>
        <v>0</v>
      </c>
      <c r="E18" s="275">
        <f>SUM('Pro Forma Adj'!H24:L24)</f>
        <v>365620.68538776349</v>
      </c>
      <c r="F18" s="275">
        <f>SUM('Pro Forma Adj'!M24:N24)</f>
        <v>0</v>
      </c>
      <c r="G18" s="275">
        <f>SUM('Pro Forma Adj'!O24)</f>
        <v>0</v>
      </c>
      <c r="H18" s="275">
        <f>SUM('Pro Forma Adj'!P24:R24)</f>
        <v>0</v>
      </c>
      <c r="I18" s="275">
        <f>SUM('Pro Forma Adj'!S24:U24)</f>
        <v>0</v>
      </c>
      <c r="J18" s="275">
        <f>SUM('Pro Forma Adj'!V24:W24)</f>
        <v>0</v>
      </c>
    </row>
    <row r="19" spans="1:10">
      <c r="A19" s="169">
        <v>15</v>
      </c>
      <c r="B19" s="169" t="s">
        <v>69</v>
      </c>
      <c r="C19" s="275">
        <f t="shared" si="1"/>
        <v>-1107198.5813119351</v>
      </c>
      <c r="D19" s="275">
        <f>SUM('Pro Forma Adj'!C25:G25)</f>
        <v>0</v>
      </c>
      <c r="E19" s="275">
        <f>SUM('Pro Forma Adj'!H25:L25)</f>
        <v>-1083728.1413119351</v>
      </c>
      <c r="F19" s="275">
        <f>SUM('Pro Forma Adj'!M25:N25)</f>
        <v>0</v>
      </c>
      <c r="G19" s="275">
        <f>SUM('Pro Forma Adj'!O25)</f>
        <v>0</v>
      </c>
      <c r="H19" s="275">
        <f>SUM('Pro Forma Adj'!P25:R25)</f>
        <v>0</v>
      </c>
      <c r="I19" s="275">
        <f>SUM('Pro Forma Adj'!S25:U25)</f>
        <v>-23470.439999999988</v>
      </c>
      <c r="J19" s="275">
        <f>SUM('Pro Forma Adj'!V25:W25)</f>
        <v>0</v>
      </c>
    </row>
    <row r="20" spans="1:10">
      <c r="A20" s="169">
        <v>16</v>
      </c>
      <c r="B20" s="169" t="s">
        <v>70</v>
      </c>
      <c r="C20" s="275">
        <f t="shared" si="1"/>
        <v>0</v>
      </c>
      <c r="D20" s="275">
        <f>SUM('Pro Forma Adj'!C26:G26)</f>
        <v>0</v>
      </c>
      <c r="E20" s="275">
        <f>SUM('Pro Forma Adj'!H26:L26)</f>
        <v>0</v>
      </c>
      <c r="F20" s="275">
        <f>SUM('Pro Forma Adj'!M26:N26)</f>
        <v>0</v>
      </c>
      <c r="G20" s="275">
        <f>SUM('Pro Forma Adj'!O26)</f>
        <v>0</v>
      </c>
      <c r="H20" s="275">
        <f>SUM('Pro Forma Adj'!P26:R26)</f>
        <v>0</v>
      </c>
      <c r="I20" s="275">
        <f>SUM('Pro Forma Adj'!S26:U26)</f>
        <v>0</v>
      </c>
      <c r="J20" s="275">
        <f>SUM('Pro Forma Adj'!V26:W26)</f>
        <v>0</v>
      </c>
    </row>
    <row r="21" spans="1:10">
      <c r="A21" s="169">
        <v>17</v>
      </c>
      <c r="B21" s="169" t="s">
        <v>71</v>
      </c>
      <c r="C21" s="275">
        <f t="shared" si="1"/>
        <v>0</v>
      </c>
      <c r="D21" s="275">
        <f>SUM('Pro Forma Adj'!C27:G27)</f>
        <v>0</v>
      </c>
      <c r="E21" s="275">
        <f>SUM('Pro Forma Adj'!H27:L27)</f>
        <v>0</v>
      </c>
      <c r="F21" s="275">
        <f>SUM('Pro Forma Adj'!M27:N27)</f>
        <v>0</v>
      </c>
      <c r="G21" s="275">
        <f>SUM('Pro Forma Adj'!O27)</f>
        <v>0</v>
      </c>
      <c r="H21" s="275">
        <f>SUM('Pro Forma Adj'!P27:R27)</f>
        <v>0</v>
      </c>
      <c r="I21" s="275">
        <f>SUM('Pro Forma Adj'!S27:U27)</f>
        <v>0</v>
      </c>
      <c r="J21" s="275">
        <f>SUM('Pro Forma Adj'!V27:W27)</f>
        <v>0</v>
      </c>
    </row>
    <row r="22" spans="1:10">
      <c r="A22" s="169">
        <v>18</v>
      </c>
      <c r="B22" s="169" t="s">
        <v>72</v>
      </c>
      <c r="C22" s="282">
        <f t="shared" si="1"/>
        <v>-771362.78533639375</v>
      </c>
      <c r="D22" s="275">
        <f>SUM('Pro Forma Adj'!C28:G28)</f>
        <v>0</v>
      </c>
      <c r="E22" s="275">
        <f>SUM('Pro Forma Adj'!H28:L28)</f>
        <v>-771362.78533639375</v>
      </c>
      <c r="F22" s="277">
        <f>SUM('Pro Forma Adj'!M28:N28)</f>
        <v>0</v>
      </c>
      <c r="G22" s="277">
        <f>SUM('Pro Forma Adj'!O28)</f>
        <v>0</v>
      </c>
      <c r="H22" s="277">
        <f>SUM('Pro Forma Adj'!P28:R28)</f>
        <v>0</v>
      </c>
      <c r="I22" s="275">
        <f>SUM('Pro Forma Adj'!S28:U28)</f>
        <v>0</v>
      </c>
      <c r="J22" s="277">
        <f>SUM('Pro Forma Adj'!V28:W28)</f>
        <v>0</v>
      </c>
    </row>
    <row r="23" spans="1:10">
      <c r="A23" s="169">
        <v>19</v>
      </c>
      <c r="B23" s="169" t="s">
        <v>73</v>
      </c>
      <c r="C23" s="286">
        <f>SUM(C13:C22)</f>
        <v>-24094341.211225148</v>
      </c>
      <c r="D23" s="278">
        <f t="shared" ref="D23:J23" si="2">SUM(D13:D22)</f>
        <v>0</v>
      </c>
      <c r="E23" s="278">
        <f t="shared" si="2"/>
        <v>-1246100.7519886591</v>
      </c>
      <c r="F23" s="278">
        <f t="shared" si="2"/>
        <v>-19348021.954924542</v>
      </c>
      <c r="G23" s="278">
        <f t="shared" si="2"/>
        <v>0</v>
      </c>
      <c r="H23" s="278">
        <f t="shared" si="2"/>
        <v>0</v>
      </c>
      <c r="I23" s="278">
        <f t="shared" si="2"/>
        <v>-130746.96971351888</v>
      </c>
      <c r="J23" s="278">
        <f t="shared" si="2"/>
        <v>-3369471.5345984325</v>
      </c>
    </row>
    <row r="24" spans="1:10">
      <c r="A24" s="169">
        <v>20</v>
      </c>
      <c r="B24" s="169" t="s">
        <v>74</v>
      </c>
      <c r="C24" s="275">
        <f>SUM(D24:J24)</f>
        <v>-361953.08500578615</v>
      </c>
      <c r="D24" s="275">
        <f>SUM('Pro Forma Adj'!C30:G30)</f>
        <v>0</v>
      </c>
      <c r="E24" s="275">
        <f>SUM('Pro Forma Adj'!H30:L30)</f>
        <v>-62393.007246632129</v>
      </c>
      <c r="F24" s="275">
        <f>SUM('Pro Forma Adj'!M30:N30)</f>
        <v>0</v>
      </c>
      <c r="G24" s="275">
        <f>SUM('Pro Forma Adj'!O30)</f>
        <v>0</v>
      </c>
      <c r="H24" s="275">
        <f>SUM('Pro Forma Adj'!P30:R30)</f>
        <v>0</v>
      </c>
      <c r="I24" s="275">
        <f>SUM('Pro Forma Adj'!S30:U30)</f>
        <v>0</v>
      </c>
      <c r="J24" s="275">
        <f>SUM('Pro Forma Adj'!V30:W30)</f>
        <v>-299560.07775915402</v>
      </c>
    </row>
    <row r="25" spans="1:10">
      <c r="A25" s="169">
        <v>21</v>
      </c>
      <c r="B25" s="169" t="s">
        <v>75</v>
      </c>
      <c r="C25" s="275">
        <f>SUM(D25:J25)</f>
        <v>-402431.60954907537</v>
      </c>
      <c r="D25" s="275">
        <f>SUM('Pro Forma Adj'!C31:G31)</f>
        <v>0</v>
      </c>
      <c r="E25" s="275">
        <f>SUM('Pro Forma Adj'!H31:L31)</f>
        <v>0</v>
      </c>
      <c r="F25" s="275">
        <f>SUM('Pro Forma Adj'!M31:N31)</f>
        <v>0</v>
      </c>
      <c r="G25" s="275">
        <f>SUM('Pro Forma Adj'!O31)</f>
        <v>0</v>
      </c>
      <c r="H25" s="275">
        <f>SUM('Pro Forma Adj'!P31:R31)</f>
        <v>0</v>
      </c>
      <c r="I25" s="275">
        <f>SUM('Pro Forma Adj'!S31:U31)</f>
        <v>-402431.60954907537</v>
      </c>
      <c r="J25" s="275">
        <f>SUM('Pro Forma Adj'!V31:W31)</f>
        <v>0</v>
      </c>
    </row>
    <row r="26" spans="1:10">
      <c r="A26" s="169">
        <v>22</v>
      </c>
      <c r="B26" s="169" t="s">
        <v>76</v>
      </c>
      <c r="C26" s="275">
        <f>SUM(D26:J26)</f>
        <v>1741720.3599999994</v>
      </c>
      <c r="D26" s="275">
        <f>SUM('Pro Forma Adj'!C32:G32)</f>
        <v>0</v>
      </c>
      <c r="E26" s="275">
        <f>SUM('Pro Forma Adj'!H32:L32)</f>
        <v>0</v>
      </c>
      <c r="F26" s="275">
        <f>SUM('Pro Forma Adj'!M32:N32)</f>
        <v>0</v>
      </c>
      <c r="G26" s="275">
        <f>SUM('Pro Forma Adj'!O32)</f>
        <v>0</v>
      </c>
      <c r="H26" s="275">
        <f>SUM('Pro Forma Adj'!P32:R32)</f>
        <v>1741720.3599999994</v>
      </c>
      <c r="I26" s="275">
        <f>SUM('Pro Forma Adj'!S32:U32)</f>
        <v>0</v>
      </c>
      <c r="J26" s="275">
        <f>SUM('Pro Forma Adj'!V32:W32)</f>
        <v>0</v>
      </c>
    </row>
    <row r="27" spans="1:10">
      <c r="A27" s="169">
        <v>23</v>
      </c>
      <c r="B27" s="169" t="s">
        <v>203</v>
      </c>
      <c r="C27" s="275">
        <f>C80</f>
        <v>3807757.4270533854</v>
      </c>
      <c r="D27" s="275">
        <f>D80</f>
        <v>9515790.8502259497</v>
      </c>
      <c r="E27" s="275">
        <f t="shared" ref="E27:J27" si="3">E80</f>
        <v>821573.24198276829</v>
      </c>
      <c r="F27" s="275">
        <f t="shared" si="3"/>
        <v>-4389948.1724995738</v>
      </c>
      <c r="G27" s="275">
        <f t="shared" si="3"/>
        <v>-932020.24015831109</v>
      </c>
      <c r="H27" s="275">
        <f t="shared" si="3"/>
        <v>-1782308.9910163758</v>
      </c>
      <c r="I27" s="275">
        <f t="shared" si="3"/>
        <v>-537661.20450090116</v>
      </c>
      <c r="J27" s="275">
        <f t="shared" si="3"/>
        <v>1112331.9430198302</v>
      </c>
    </row>
    <row r="28" spans="1:10">
      <c r="A28" s="169">
        <v>24</v>
      </c>
      <c r="B28" s="169" t="s">
        <v>204</v>
      </c>
      <c r="C28" s="275">
        <f>SUM(D28:J28)</f>
        <v>0</v>
      </c>
      <c r="D28" s="275">
        <f>SUM('Pro Forma Adj'!C34:G34)</f>
        <v>0</v>
      </c>
      <c r="E28" s="275">
        <f>SUM('Pro Forma Adj'!H34:L34)</f>
        <v>0</v>
      </c>
      <c r="F28" s="275">
        <f t="shared" ref="F28" si="4">C341</f>
        <v>0</v>
      </c>
      <c r="G28" s="275">
        <f t="shared" ref="G28" si="5">C455</f>
        <v>0</v>
      </c>
      <c r="H28" s="275">
        <f t="shared" ref="H28" si="6">C570</f>
        <v>0</v>
      </c>
      <c r="I28" s="275">
        <f>SUM('Pro Forma Adj'!S34:U34)</f>
        <v>0</v>
      </c>
      <c r="J28" s="275">
        <f t="shared" ref="J28" si="7">C803</f>
        <v>0</v>
      </c>
    </row>
    <row r="29" spans="1:10">
      <c r="A29" s="169">
        <v>25</v>
      </c>
      <c r="B29" s="169" t="s">
        <v>205</v>
      </c>
      <c r="C29" s="275">
        <f>SUM(D29:J29)</f>
        <v>974090.70055956382</v>
      </c>
      <c r="D29" s="275">
        <f>SUM('Pro Forma Adj'!C35:G35)</f>
        <v>0</v>
      </c>
      <c r="E29" s="275">
        <f>SUM('Pro Forma Adj'!H35:L35)</f>
        <v>-102491</v>
      </c>
      <c r="F29" s="275">
        <f>SUM('Pro Forma Adj'!M35:N35)</f>
        <v>0</v>
      </c>
      <c r="G29" s="275">
        <f>SUM('Pro Forma Adj'!O35)</f>
        <v>1010602.8659636988</v>
      </c>
      <c r="H29" s="275">
        <f>SUM('Pro Forma Adj'!P35:R35)</f>
        <v>419162.75841324474</v>
      </c>
      <c r="I29" s="275">
        <f>SUM('Pro Forma Adj'!S35:U35)</f>
        <v>-353183.92381737975</v>
      </c>
      <c r="J29" s="275">
        <f>SUM('Pro Forma Adj'!V35:W35)</f>
        <v>0</v>
      </c>
    </row>
    <row r="30" spans="1:10">
      <c r="A30" s="169">
        <v>26</v>
      </c>
      <c r="B30" s="169" t="s">
        <v>80</v>
      </c>
      <c r="C30" s="275">
        <f>SUM(D30:J30)</f>
        <v>0</v>
      </c>
      <c r="D30" s="275">
        <f>SUM('Pro Forma Adj'!C36:G36)</f>
        <v>0</v>
      </c>
      <c r="E30" s="275">
        <f>SUM('Pro Forma Adj'!H36:L36)</f>
        <v>0</v>
      </c>
      <c r="F30" s="275">
        <f>SUM('Pro Forma Adj'!M36:N36)</f>
        <v>0</v>
      </c>
      <c r="G30" s="275">
        <f>SUM('Pro Forma Adj'!O36)</f>
        <v>0</v>
      </c>
      <c r="H30" s="275">
        <f>SUM('Pro Forma Adj'!P36:R36)</f>
        <v>0</v>
      </c>
      <c r="I30" s="275">
        <f>SUM('Pro Forma Adj'!S36:U36)</f>
        <v>0</v>
      </c>
      <c r="J30" s="275">
        <f>SUM('Pro Forma Adj'!V36:W36)</f>
        <v>0</v>
      </c>
    </row>
    <row r="31" spans="1:10">
      <c r="A31" s="169">
        <v>27</v>
      </c>
      <c r="B31" s="169" t="s">
        <v>81</v>
      </c>
      <c r="C31" s="275">
        <f>SUM(D31:J31)</f>
        <v>15951.581451000529</v>
      </c>
      <c r="D31" s="275">
        <f>SUM('Pro Forma Adj'!C37:G37)</f>
        <v>0</v>
      </c>
      <c r="E31" s="275">
        <f>SUM('Pro Forma Adj'!H37:L37)</f>
        <v>0</v>
      </c>
      <c r="F31" s="275">
        <f>SUM('Pro Forma Adj'!M37:N37)</f>
        <v>0</v>
      </c>
      <c r="G31" s="275">
        <f>SUM('Pro Forma Adj'!O37)</f>
        <v>0</v>
      </c>
      <c r="H31" s="275">
        <f>SUM('Pro Forma Adj'!P37:R37)</f>
        <v>0</v>
      </c>
      <c r="I31" s="275">
        <f>SUM('Pro Forma Adj'!S37:U37)</f>
        <v>0</v>
      </c>
      <c r="J31" s="275">
        <f>SUM('Pro Forma Adj'!V37:W37)</f>
        <v>15951.581451000529</v>
      </c>
    </row>
    <row r="32" spans="1:10">
      <c r="A32" s="169">
        <v>28</v>
      </c>
      <c r="B32" s="279" t="s">
        <v>82</v>
      </c>
      <c r="C32" s="280">
        <f>SUM(C23:C31)</f>
        <v>-18319205.836716063</v>
      </c>
      <c r="D32" s="280">
        <f t="shared" ref="D32:J32" si="8">SUM(D23:D31)</f>
        <v>9515790.8502259497</v>
      </c>
      <c r="E32" s="280">
        <f t="shared" si="8"/>
        <v>-589411.51725252299</v>
      </c>
      <c r="F32" s="280">
        <f t="shared" si="8"/>
        <v>-23737970.127424117</v>
      </c>
      <c r="G32" s="280">
        <f t="shared" si="8"/>
        <v>78582.625805387739</v>
      </c>
      <c r="H32" s="280">
        <f t="shared" si="8"/>
        <v>378574.12739686831</v>
      </c>
      <c r="I32" s="280">
        <f t="shared" si="8"/>
        <v>-1424023.7075808751</v>
      </c>
      <c r="J32" s="280">
        <f t="shared" si="8"/>
        <v>-2540748.0878867558</v>
      </c>
    </row>
    <row r="33" spans="1:10">
      <c r="A33" s="169">
        <v>29</v>
      </c>
      <c r="B33" s="169"/>
    </row>
    <row r="34" spans="1:10" ht="15.75" thickBot="1">
      <c r="A34" s="169">
        <v>30</v>
      </c>
      <c r="B34" s="169" t="s">
        <v>83</v>
      </c>
      <c r="C34" s="281">
        <f>C10-C32</f>
        <v>9854958.377126202</v>
      </c>
      <c r="D34" s="281">
        <f t="shared" ref="D34:J34" si="9">D10-D32</f>
        <v>17672183.007562481</v>
      </c>
      <c r="E34" s="281">
        <f t="shared" si="9"/>
        <v>589411.51725252299</v>
      </c>
      <c r="F34" s="281">
        <f t="shared" si="9"/>
        <v>-8152760.8917849213</v>
      </c>
      <c r="G34" s="281">
        <f t="shared" si="9"/>
        <v>-78582.625805387739</v>
      </c>
      <c r="H34" s="281">
        <f t="shared" si="9"/>
        <v>-378574.12739686831</v>
      </c>
      <c r="I34" s="281">
        <f t="shared" si="9"/>
        <v>-1575976.2924191249</v>
      </c>
      <c r="J34" s="281">
        <f t="shared" si="9"/>
        <v>1779257.7897174989</v>
      </c>
    </row>
    <row r="35" spans="1:10" ht="15.75" thickTop="1">
      <c r="A35" s="169">
        <v>31</v>
      </c>
      <c r="B35" s="169"/>
    </row>
    <row r="36" spans="1:10">
      <c r="A36" s="169">
        <v>32</v>
      </c>
      <c r="B36" s="169" t="s">
        <v>84</v>
      </c>
    </row>
    <row r="37" spans="1:10">
      <c r="A37" s="169">
        <v>33</v>
      </c>
      <c r="B37" s="169" t="s">
        <v>85</v>
      </c>
      <c r="C37" s="275">
        <f t="shared" ref="C37:C47" si="10">SUM(D37:J37)</f>
        <v>-15715508.538425047</v>
      </c>
      <c r="D37" s="275">
        <f>SUM('Pro Forma Adj'!C43:G43)</f>
        <v>0</v>
      </c>
      <c r="E37" s="275">
        <f>SUM('Pro Forma Adj'!H43:L43)</f>
        <v>-2012269.6840151576</v>
      </c>
      <c r="F37" s="275">
        <f>SUM('Pro Forma Adj'!M43:N43)</f>
        <v>0</v>
      </c>
      <c r="G37" s="275">
        <f>SUM('Pro Forma Adj'!O43)</f>
        <v>0</v>
      </c>
      <c r="H37" s="275">
        <f>SUM('Pro Forma Adj'!P43:R43)</f>
        <v>0</v>
      </c>
      <c r="I37" s="275">
        <f>SUM('Pro Forma Adj'!S43:U43)</f>
        <v>-1557660.9172082131</v>
      </c>
      <c r="J37" s="275">
        <f>SUM('Pro Forma Adj'!V43:W43)</f>
        <v>-12145577.937201677</v>
      </c>
    </row>
    <row r="38" spans="1:10">
      <c r="A38" s="169">
        <v>34</v>
      </c>
      <c r="B38" s="169" t="s">
        <v>86</v>
      </c>
      <c r="C38" s="275">
        <f t="shared" si="10"/>
        <v>0</v>
      </c>
      <c r="D38" s="275">
        <f>SUM('Pro Forma Adj'!C44:G44)</f>
        <v>0</v>
      </c>
      <c r="E38" s="275">
        <f>SUM('Pro Forma Adj'!H44:L44)</f>
        <v>0</v>
      </c>
      <c r="F38" s="275">
        <f>SUM('Pro Forma Adj'!M44:N44)</f>
        <v>0</v>
      </c>
      <c r="G38" s="275">
        <f>SUM('Pro Forma Adj'!O44)</f>
        <v>0</v>
      </c>
      <c r="H38" s="275">
        <f>SUM('Pro Forma Adj'!P44:R44)</f>
        <v>0</v>
      </c>
      <c r="I38" s="275">
        <f>SUM('Pro Forma Adj'!S44:U44)</f>
        <v>0</v>
      </c>
      <c r="J38" s="275">
        <f>SUM('Pro Forma Adj'!V44:W44)</f>
        <v>0</v>
      </c>
    </row>
    <row r="39" spans="1:10">
      <c r="A39" s="169">
        <v>35</v>
      </c>
      <c r="B39" s="169" t="s">
        <v>87</v>
      </c>
      <c r="C39" s="275">
        <f t="shared" si="10"/>
        <v>-3261120.6293837503</v>
      </c>
      <c r="D39" s="275">
        <f>SUM('Pro Forma Adj'!C45:G45)</f>
        <v>0</v>
      </c>
      <c r="E39" s="275">
        <f>SUM('Pro Forma Adj'!H45:L45)</f>
        <v>0</v>
      </c>
      <c r="F39" s="275">
        <f>SUM('Pro Forma Adj'!M45:N45)</f>
        <v>0</v>
      </c>
      <c r="G39" s="275">
        <f>SUM('Pro Forma Adj'!O45)</f>
        <v>0</v>
      </c>
      <c r="H39" s="275">
        <f>SUM('Pro Forma Adj'!P45:R45)</f>
        <v>0</v>
      </c>
      <c r="I39" s="275">
        <f>SUM('Pro Forma Adj'!S45:U45)</f>
        <v>-3254390.2056199927</v>
      </c>
      <c r="J39" s="275">
        <f>SUM('Pro Forma Adj'!V45:W45)</f>
        <v>-6730.423763757688</v>
      </c>
    </row>
    <row r="40" spans="1:10">
      <c r="A40" s="169">
        <v>36</v>
      </c>
      <c r="B40" s="169" t="s">
        <v>88</v>
      </c>
      <c r="C40" s="275">
        <f t="shared" si="10"/>
        <v>0</v>
      </c>
      <c r="D40" s="275">
        <f>SUM('Pro Forma Adj'!C46:G46)</f>
        <v>0</v>
      </c>
      <c r="E40" s="275">
        <f>SUM('Pro Forma Adj'!H46:L46)</f>
        <v>0</v>
      </c>
      <c r="F40" s="275">
        <f>SUM('Pro Forma Adj'!M46:N46)</f>
        <v>0</v>
      </c>
      <c r="G40" s="275">
        <f>SUM('Pro Forma Adj'!O46)</f>
        <v>0</v>
      </c>
      <c r="H40" s="275">
        <f>SUM('Pro Forma Adj'!P46:R46)</f>
        <v>0</v>
      </c>
      <c r="I40" s="275">
        <f>SUM('Pro Forma Adj'!S46:U46)</f>
        <v>0</v>
      </c>
      <c r="J40" s="275">
        <f>SUM('Pro Forma Adj'!V46:W46)</f>
        <v>0</v>
      </c>
    </row>
    <row r="41" spans="1:10">
      <c r="A41" s="169">
        <v>37</v>
      </c>
      <c r="B41" s="169" t="s">
        <v>89</v>
      </c>
      <c r="C41" s="275">
        <f t="shared" si="10"/>
        <v>0</v>
      </c>
      <c r="D41" s="275">
        <f>SUM('Pro Forma Adj'!C47:G47)</f>
        <v>0</v>
      </c>
      <c r="E41" s="275">
        <f>SUM('Pro Forma Adj'!H47:L47)</f>
        <v>0</v>
      </c>
      <c r="F41" s="275">
        <f>SUM('Pro Forma Adj'!M47:N47)</f>
        <v>0</v>
      </c>
      <c r="G41" s="275">
        <f>SUM('Pro Forma Adj'!O47)</f>
        <v>0</v>
      </c>
      <c r="H41" s="275">
        <f>SUM('Pro Forma Adj'!P47:R47)</f>
        <v>0</v>
      </c>
      <c r="I41" s="275">
        <f>SUM('Pro Forma Adj'!S47:U47)</f>
        <v>0</v>
      </c>
      <c r="J41" s="275">
        <f>SUM('Pro Forma Adj'!V47:W47)</f>
        <v>0</v>
      </c>
    </row>
    <row r="42" spans="1:10">
      <c r="A42" s="169">
        <v>38</v>
      </c>
      <c r="B42" s="169" t="s">
        <v>90</v>
      </c>
      <c r="C42" s="275">
        <f t="shared" si="10"/>
        <v>0</v>
      </c>
      <c r="D42" s="275">
        <f>SUM('Pro Forma Adj'!C48:G48)</f>
        <v>0</v>
      </c>
      <c r="E42" s="275">
        <f>SUM('Pro Forma Adj'!H48:L48)</f>
        <v>0</v>
      </c>
      <c r="F42" s="275">
        <f>SUM('Pro Forma Adj'!M48:N48)</f>
        <v>0</v>
      </c>
      <c r="G42" s="275">
        <f>SUM('Pro Forma Adj'!O48)</f>
        <v>0</v>
      </c>
      <c r="H42" s="275">
        <f>SUM('Pro Forma Adj'!P48:R48)</f>
        <v>0</v>
      </c>
      <c r="I42" s="275">
        <f>SUM('Pro Forma Adj'!S48:U48)</f>
        <v>0</v>
      </c>
      <c r="J42" s="275">
        <f>SUM('Pro Forma Adj'!V48:W48)</f>
        <v>0</v>
      </c>
    </row>
    <row r="43" spans="1:10">
      <c r="A43" s="169">
        <v>39</v>
      </c>
      <c r="B43" s="169" t="s">
        <v>91</v>
      </c>
      <c r="C43" s="275">
        <f t="shared" si="10"/>
        <v>0</v>
      </c>
      <c r="D43" s="275">
        <f>SUM('Pro Forma Adj'!C49:G49)</f>
        <v>0</v>
      </c>
      <c r="E43" s="275">
        <f>SUM('Pro Forma Adj'!H49:L49)</f>
        <v>0</v>
      </c>
      <c r="F43" s="275">
        <f>SUM('Pro Forma Adj'!M49:N49)</f>
        <v>0</v>
      </c>
      <c r="G43" s="275">
        <f>SUM('Pro Forma Adj'!O49)</f>
        <v>0</v>
      </c>
      <c r="H43" s="275">
        <f>SUM('Pro Forma Adj'!P49:R49)</f>
        <v>0</v>
      </c>
      <c r="I43" s="275">
        <f>SUM('Pro Forma Adj'!S49:U49)</f>
        <v>0</v>
      </c>
      <c r="J43" s="275">
        <f>SUM('Pro Forma Adj'!V49:W49)</f>
        <v>0</v>
      </c>
    </row>
    <row r="44" spans="1:10">
      <c r="A44" s="169">
        <v>40</v>
      </c>
      <c r="B44" s="169" t="s">
        <v>92</v>
      </c>
      <c r="C44" s="275">
        <f t="shared" si="10"/>
        <v>0</v>
      </c>
      <c r="D44" s="275">
        <f>SUM('Pro Forma Adj'!C50:G50)</f>
        <v>0</v>
      </c>
      <c r="E44" s="275">
        <f>SUM('Pro Forma Adj'!H50:L50)</f>
        <v>0</v>
      </c>
      <c r="F44" s="275">
        <f>SUM('Pro Forma Adj'!M50:N50)</f>
        <v>0</v>
      </c>
      <c r="G44" s="275">
        <f>SUM('Pro Forma Adj'!O50)</f>
        <v>0</v>
      </c>
      <c r="H44" s="275">
        <f>SUM('Pro Forma Adj'!P50:R50)</f>
        <v>0</v>
      </c>
      <c r="I44" s="275">
        <f>SUM('Pro Forma Adj'!S50:U50)</f>
        <v>0</v>
      </c>
      <c r="J44" s="275">
        <f>SUM('Pro Forma Adj'!V50:W50)</f>
        <v>0</v>
      </c>
    </row>
    <row r="45" spans="1:10">
      <c r="A45" s="169">
        <v>41</v>
      </c>
      <c r="B45" s="169" t="s">
        <v>93</v>
      </c>
      <c r="C45" s="275">
        <f t="shared" si="10"/>
        <v>0</v>
      </c>
      <c r="D45" s="275">
        <f>SUM('Pro Forma Adj'!C51:G51)</f>
        <v>0</v>
      </c>
      <c r="E45" s="275">
        <f>SUM('Pro Forma Adj'!H51:L51)</f>
        <v>0</v>
      </c>
      <c r="F45" s="275">
        <f>SUM('Pro Forma Adj'!M51:N51)</f>
        <v>0</v>
      </c>
      <c r="G45" s="275">
        <f>SUM('Pro Forma Adj'!O51)</f>
        <v>0</v>
      </c>
      <c r="H45" s="275">
        <f>SUM('Pro Forma Adj'!P51:R51)</f>
        <v>0</v>
      </c>
      <c r="I45" s="275">
        <f>SUM('Pro Forma Adj'!S51:U51)</f>
        <v>0</v>
      </c>
      <c r="J45" s="275">
        <f>SUM('Pro Forma Adj'!V51:W51)</f>
        <v>0</v>
      </c>
    </row>
    <row r="46" spans="1:10">
      <c r="A46" s="169">
        <v>42</v>
      </c>
      <c r="B46" s="169" t="s">
        <v>206</v>
      </c>
      <c r="C46" s="275">
        <f t="shared" si="10"/>
        <v>0</v>
      </c>
      <c r="D46" s="275">
        <f>SUM('Pro Forma Adj'!C52:G52)</f>
        <v>0</v>
      </c>
      <c r="E46" s="275">
        <f>SUM('Pro Forma Adj'!H52:L52)</f>
        <v>0</v>
      </c>
      <c r="F46" s="275">
        <f>SUM('Pro Forma Adj'!M52:N52)</f>
        <v>0</v>
      </c>
      <c r="G46" s="275">
        <f>SUM('Pro Forma Adj'!O52)</f>
        <v>0</v>
      </c>
      <c r="H46" s="275">
        <f>SUM('Pro Forma Adj'!P52:R52)</f>
        <v>0</v>
      </c>
      <c r="I46" s="275">
        <f>SUM('Pro Forma Adj'!S52:U52)</f>
        <v>0</v>
      </c>
      <c r="J46" s="275">
        <f>SUM('Pro Forma Adj'!V52:W52)</f>
        <v>0</v>
      </c>
    </row>
    <row r="47" spans="1:10">
      <c r="A47" s="169">
        <v>43</v>
      </c>
      <c r="B47" s="169" t="s">
        <v>95</v>
      </c>
      <c r="C47" s="275">
        <f t="shared" si="10"/>
        <v>0</v>
      </c>
      <c r="D47" s="275">
        <f>SUM('Pro Forma Adj'!C53:G53)</f>
        <v>0</v>
      </c>
      <c r="E47" s="275">
        <f>SUM('Pro Forma Adj'!H53:L53)</f>
        <v>0</v>
      </c>
      <c r="F47" s="275">
        <f>SUM('Pro Forma Adj'!M53:N53)</f>
        <v>0</v>
      </c>
      <c r="G47" s="275">
        <f>SUM('Pro Forma Adj'!O53)</f>
        <v>0</v>
      </c>
      <c r="H47" s="275">
        <f>SUM('Pro Forma Adj'!P53:R53)</f>
        <v>0</v>
      </c>
      <c r="I47" s="275">
        <f>SUM('Pro Forma Adj'!S53:U53)</f>
        <v>0</v>
      </c>
      <c r="J47" s="275">
        <f>SUM('Pro Forma Adj'!V53:W53)</f>
        <v>0</v>
      </c>
    </row>
    <row r="48" spans="1:10">
      <c r="A48" s="169">
        <v>44</v>
      </c>
      <c r="B48" s="169" t="s">
        <v>96</v>
      </c>
      <c r="C48" s="280">
        <f>SUM(C37:C47)</f>
        <v>-18976629.167808797</v>
      </c>
      <c r="D48" s="280">
        <f t="shared" ref="D48:J48" si="11">SUM(D37:D47)</f>
        <v>0</v>
      </c>
      <c r="E48" s="280">
        <f t="shared" si="11"/>
        <v>-2012269.6840151576</v>
      </c>
      <c r="F48" s="280">
        <f t="shared" si="11"/>
        <v>0</v>
      </c>
      <c r="G48" s="280">
        <f t="shared" si="11"/>
        <v>0</v>
      </c>
      <c r="H48" s="280">
        <f t="shared" si="11"/>
        <v>0</v>
      </c>
      <c r="I48" s="280">
        <f t="shared" si="11"/>
        <v>-4812051.122828206</v>
      </c>
      <c r="J48" s="280">
        <f t="shared" si="11"/>
        <v>-12152308.360965434</v>
      </c>
    </row>
    <row r="49" spans="1:10">
      <c r="A49" s="169">
        <v>45</v>
      </c>
      <c r="B49" s="169"/>
    </row>
    <row r="50" spans="1:10">
      <c r="A50" s="169">
        <v>46</v>
      </c>
      <c r="B50" s="169" t="s">
        <v>207</v>
      </c>
    </row>
    <row r="51" spans="1:10">
      <c r="A51" s="169">
        <v>47</v>
      </c>
      <c r="B51" s="169" t="s">
        <v>98</v>
      </c>
      <c r="C51" s="275">
        <f t="shared" ref="C51:C57" si="12">SUM(D51:J51)</f>
        <v>15685302.595786646</v>
      </c>
      <c r="D51" s="275">
        <f>SUM('Pro Forma Adj'!C57:G57)</f>
        <v>0</v>
      </c>
      <c r="E51" s="275">
        <f>SUM('Pro Forma Adj'!H57:L57)</f>
        <v>9419911.8527651522</v>
      </c>
      <c r="F51" s="275">
        <f>SUM('Pro Forma Adj'!M57:N57)</f>
        <v>0</v>
      </c>
      <c r="G51" s="275">
        <f>SUM('Pro Forma Adj'!O57)</f>
        <v>672394.72947564709</v>
      </c>
      <c r="H51" s="275">
        <f>SUM('Pro Forma Adj'!P57:R57)</f>
        <v>0</v>
      </c>
      <c r="I51" s="275">
        <f>SUM('Pro Forma Adj'!S57:U57)</f>
        <v>1521445.4948156718</v>
      </c>
      <c r="J51" s="275">
        <f>SUM('Pro Forma Adj'!V57:W57)</f>
        <v>4071550.5187301748</v>
      </c>
    </row>
    <row r="52" spans="1:10">
      <c r="A52" s="169">
        <v>48</v>
      </c>
      <c r="B52" s="169" t="s">
        <v>99</v>
      </c>
      <c r="C52" s="275">
        <f t="shared" si="12"/>
        <v>0</v>
      </c>
      <c r="D52" s="275">
        <f>SUM('Pro Forma Adj'!C58:G58)</f>
        <v>0</v>
      </c>
      <c r="E52" s="275">
        <f>SUM('Pro Forma Adj'!H58:L58)</f>
        <v>0</v>
      </c>
      <c r="F52" s="275">
        <f>SUM('Pro Forma Adj'!M58:N58)</f>
        <v>0</v>
      </c>
      <c r="G52" s="275">
        <f>SUM('Pro Forma Adj'!O58)</f>
        <v>0</v>
      </c>
      <c r="H52" s="275">
        <f>SUM('Pro Forma Adj'!P58:R58)</f>
        <v>0</v>
      </c>
      <c r="I52" s="275">
        <f>SUM('Pro Forma Adj'!S58:U58)</f>
        <v>0</v>
      </c>
      <c r="J52" s="275">
        <f>SUM('Pro Forma Adj'!V58:W58)</f>
        <v>0</v>
      </c>
    </row>
    <row r="53" spans="1:10">
      <c r="A53" s="169">
        <v>49</v>
      </c>
      <c r="B53" s="169" t="s">
        <v>100</v>
      </c>
      <c r="C53" s="275">
        <f t="shared" si="12"/>
        <v>-21661.504834290594</v>
      </c>
      <c r="D53" s="275">
        <f>SUM('Pro Forma Adj'!C59:G59)</f>
        <v>0</v>
      </c>
      <c r="E53" s="275">
        <f>SUM('Pro Forma Adj'!H59:L59)</f>
        <v>-1212325.7083333335</v>
      </c>
      <c r="F53" s="275">
        <f>SUM('Pro Forma Adj'!M59:N59)</f>
        <v>0</v>
      </c>
      <c r="G53" s="275">
        <f>SUM('Pro Forma Adj'!O59)</f>
        <v>-391038.76591474324</v>
      </c>
      <c r="H53" s="275">
        <f>SUM('Pro Forma Adj'!P59:R59)</f>
        <v>0</v>
      </c>
      <c r="I53" s="275">
        <f>SUM('Pro Forma Adj'!S59:U59)</f>
        <v>1581702.9694137862</v>
      </c>
      <c r="J53" s="275">
        <f>SUM('Pro Forma Adj'!V59:W59)</f>
        <v>0</v>
      </c>
    </row>
    <row r="54" spans="1:10">
      <c r="A54" s="169">
        <v>50</v>
      </c>
      <c r="B54" s="169" t="s">
        <v>101</v>
      </c>
      <c r="C54" s="275">
        <f t="shared" si="12"/>
        <v>0</v>
      </c>
      <c r="D54" s="275">
        <f>SUM('Pro Forma Adj'!C60:G60)</f>
        <v>0</v>
      </c>
      <c r="E54" s="275">
        <f>SUM('Pro Forma Adj'!H60:L60)</f>
        <v>0</v>
      </c>
      <c r="F54" s="275">
        <f>SUM('Pro Forma Adj'!M60:N60)</f>
        <v>0</v>
      </c>
      <c r="G54" s="275">
        <f>SUM('Pro Forma Adj'!O60)</f>
        <v>0</v>
      </c>
      <c r="H54" s="275">
        <f>SUM('Pro Forma Adj'!P60:R60)</f>
        <v>0</v>
      </c>
      <c r="I54" s="275">
        <f>SUM('Pro Forma Adj'!S60:U60)</f>
        <v>0</v>
      </c>
      <c r="J54" s="275">
        <f>SUM('Pro Forma Adj'!V60:W60)</f>
        <v>0</v>
      </c>
    </row>
    <row r="55" spans="1:10">
      <c r="A55" s="169">
        <v>51</v>
      </c>
      <c r="B55" s="169" t="s">
        <v>102</v>
      </c>
      <c r="C55" s="275">
        <f t="shared" si="12"/>
        <v>0</v>
      </c>
      <c r="D55" s="275">
        <f>SUM('Pro Forma Adj'!C61:G61)</f>
        <v>0</v>
      </c>
      <c r="E55" s="275">
        <f>SUM('Pro Forma Adj'!H61:L61)</f>
        <v>0</v>
      </c>
      <c r="F55" s="275">
        <f>SUM('Pro Forma Adj'!M61:N61)</f>
        <v>0</v>
      </c>
      <c r="G55" s="275">
        <f>SUM('Pro Forma Adj'!O61)</f>
        <v>0</v>
      </c>
      <c r="H55" s="275">
        <f>SUM('Pro Forma Adj'!P61:R61)</f>
        <v>0</v>
      </c>
      <c r="I55" s="275">
        <f>SUM('Pro Forma Adj'!S61:U61)</f>
        <v>0</v>
      </c>
      <c r="J55" s="275">
        <f>SUM('Pro Forma Adj'!V61:W61)</f>
        <v>0</v>
      </c>
    </row>
    <row r="56" spans="1:10">
      <c r="A56" s="169">
        <v>52</v>
      </c>
      <c r="B56" s="169" t="s">
        <v>103</v>
      </c>
      <c r="C56" s="275">
        <f t="shared" si="12"/>
        <v>0</v>
      </c>
      <c r="D56" s="275">
        <f>SUM('Pro Forma Adj'!C62:G62)</f>
        <v>0</v>
      </c>
      <c r="E56" s="275">
        <f>SUM('Pro Forma Adj'!H62:L62)</f>
        <v>0</v>
      </c>
      <c r="F56" s="275">
        <f>SUM('Pro Forma Adj'!M62:N62)</f>
        <v>0</v>
      </c>
      <c r="G56" s="275">
        <f>SUM('Pro Forma Adj'!O62)</f>
        <v>0</v>
      </c>
      <c r="H56" s="275">
        <f>SUM('Pro Forma Adj'!P62:R62)</f>
        <v>0</v>
      </c>
      <c r="I56" s="275">
        <f>SUM('Pro Forma Adj'!S62:U62)</f>
        <v>0</v>
      </c>
      <c r="J56" s="275">
        <f>SUM('Pro Forma Adj'!V62:W62)</f>
        <v>0</v>
      </c>
    </row>
    <row r="57" spans="1:10">
      <c r="A57" s="169">
        <v>53</v>
      </c>
      <c r="B57" s="169" t="s">
        <v>208</v>
      </c>
      <c r="C57" s="275">
        <f t="shared" si="12"/>
        <v>56207.192047362681</v>
      </c>
      <c r="D57" s="275">
        <f>SUM('Pro Forma Adj'!C63:G63)</f>
        <v>0</v>
      </c>
      <c r="E57" s="275">
        <f>SUM('Pro Forma Adj'!H63:L63)</f>
        <v>0</v>
      </c>
      <c r="F57" s="275">
        <f>SUM('Pro Forma Adj'!M63:N63)</f>
        <v>0</v>
      </c>
      <c r="G57" s="275">
        <f>SUM('Pro Forma Adj'!O63)</f>
        <v>0</v>
      </c>
      <c r="H57" s="275">
        <f>SUM('Pro Forma Adj'!P63:R63)</f>
        <v>0</v>
      </c>
      <c r="I57" s="275">
        <f>SUM('Pro Forma Adj'!S63:U63)</f>
        <v>0</v>
      </c>
      <c r="J57" s="275">
        <f>SUM('Pro Forma Adj'!V63:W63)</f>
        <v>56207.192047362681</v>
      </c>
    </row>
    <row r="58" spans="1:10">
      <c r="A58" s="169">
        <v>54</v>
      </c>
      <c r="B58" s="169"/>
      <c r="E58" s="275">
        <f>SUM('Pro Forma Adj'!H64:L64)</f>
        <v>0</v>
      </c>
      <c r="F58" s="275"/>
      <c r="G58" s="275"/>
    </row>
    <row r="59" spans="1:10">
      <c r="A59" s="169">
        <v>55</v>
      </c>
      <c r="B59" s="169" t="s">
        <v>209</v>
      </c>
      <c r="C59" s="280">
        <f>SUM(C51:C58)</f>
        <v>15719848.282999719</v>
      </c>
      <c r="D59" s="280">
        <f t="shared" ref="D59:J59" si="13">SUM(D51:D58)</f>
        <v>0</v>
      </c>
      <c r="E59" s="280">
        <f t="shared" si="13"/>
        <v>8207586.1444318183</v>
      </c>
      <c r="F59" s="280">
        <f t="shared" si="13"/>
        <v>0</v>
      </c>
      <c r="G59" s="280">
        <f t="shared" si="13"/>
        <v>281355.96356090385</v>
      </c>
      <c r="H59" s="280">
        <f t="shared" si="13"/>
        <v>0</v>
      </c>
      <c r="I59" s="280">
        <f t="shared" si="13"/>
        <v>3103148.464229458</v>
      </c>
      <c r="J59" s="280">
        <f t="shared" si="13"/>
        <v>4127757.7107775374</v>
      </c>
    </row>
    <row r="60" spans="1:10">
      <c r="A60" s="169">
        <v>56</v>
      </c>
      <c r="B60" s="169"/>
    </row>
    <row r="61" spans="1:10" ht="15.75" thickBot="1">
      <c r="A61" s="169">
        <v>57</v>
      </c>
      <c r="B61" s="169" t="s">
        <v>106</v>
      </c>
      <c r="C61" s="281">
        <f>C48+C59</f>
        <v>-3256780.8848090786</v>
      </c>
      <c r="D61" s="281">
        <f t="shared" ref="D61:J61" si="14">D48+D59</f>
        <v>0</v>
      </c>
      <c r="E61" s="281">
        <f t="shared" si="14"/>
        <v>6195316.4604166606</v>
      </c>
      <c r="F61" s="281">
        <f t="shared" si="14"/>
        <v>0</v>
      </c>
      <c r="G61" s="281">
        <f t="shared" si="14"/>
        <v>281355.96356090385</v>
      </c>
      <c r="H61" s="281">
        <f t="shared" si="14"/>
        <v>0</v>
      </c>
      <c r="I61" s="281">
        <f t="shared" si="14"/>
        <v>-1708902.658598748</v>
      </c>
      <c r="J61" s="281">
        <f t="shared" si="14"/>
        <v>-8024550.6501878966</v>
      </c>
    </row>
    <row r="62" spans="1:10" ht="15.75" thickTop="1">
      <c r="A62" s="169">
        <v>58</v>
      </c>
      <c r="B62" s="169"/>
    </row>
    <row r="63" spans="1:10">
      <c r="A63" s="169">
        <v>59</v>
      </c>
      <c r="B63" s="283" t="s">
        <v>210</v>
      </c>
      <c r="C63" s="284">
        <f t="shared" ref="C63:J63" si="15">(((C34+Restated_Op_revenue)/(C61+Restated_rate_base))-Weighted_cost_debt-Weighted_cost_pref)/Percent_common-Restated_ROE</f>
        <v>2.7315350041415623E-2</v>
      </c>
      <c r="D63" s="284">
        <f t="shared" si="15"/>
        <v>4.7750714309527945E-2</v>
      </c>
      <c r="E63" s="284">
        <f t="shared" si="15"/>
        <v>5.0611536238462373E-4</v>
      </c>
      <c r="F63" s="284">
        <f t="shared" si="15"/>
        <v>-2.2028979442489952E-2</v>
      </c>
      <c r="G63" s="284">
        <f t="shared" si="15"/>
        <v>-2.6138808474886199E-4</v>
      </c>
      <c r="H63" s="284">
        <f t="shared" si="15"/>
        <v>-1.0229174853254169E-3</v>
      </c>
      <c r="I63" s="284">
        <f t="shared" si="15"/>
        <v>-3.9687806646521023E-3</v>
      </c>
      <c r="J63" s="284">
        <f t="shared" si="15"/>
        <v>6.276321310764249E-3</v>
      </c>
    </row>
    <row r="64" spans="1:10">
      <c r="A64" s="169">
        <v>60</v>
      </c>
      <c r="B64" s="101" t="s">
        <v>53</v>
      </c>
      <c r="C64" s="285">
        <f t="shared" ref="C64:J64" si="16">-(C34-(C61*Overall_ROR))/gross_up_factor</f>
        <v>-16295621.330168527</v>
      </c>
      <c r="D64" s="285">
        <f t="shared" si="16"/>
        <v>-28492951.014240656</v>
      </c>
      <c r="E64" s="285">
        <f t="shared" si="16"/>
        <v>-177182.69547792507</v>
      </c>
      <c r="F64" s="285">
        <f t="shared" si="16"/>
        <v>13144738.067789244</v>
      </c>
      <c r="G64" s="285">
        <f t="shared" si="16"/>
        <v>161810.25971817182</v>
      </c>
      <c r="H64" s="285">
        <f t="shared" si="16"/>
        <v>610377.00110744138</v>
      </c>
      <c r="I64" s="285">
        <f t="shared" si="16"/>
        <v>2327696.5426431838</v>
      </c>
      <c r="J64" s="285">
        <f t="shared" si="16"/>
        <v>-3870109.491707983</v>
      </c>
    </row>
    <row r="65" spans="1:10">
      <c r="A65" s="169">
        <v>61</v>
      </c>
      <c r="B65" s="169"/>
    </row>
    <row r="66" spans="1:10">
      <c r="A66" s="169">
        <v>62</v>
      </c>
      <c r="B66" s="169" t="s">
        <v>108</v>
      </c>
    </row>
    <row r="67" spans="1:10">
      <c r="A67" s="169">
        <v>63</v>
      </c>
      <c r="B67" s="169" t="s">
        <v>109</v>
      </c>
      <c r="C67" s="286">
        <f>SUM(D67:J67)</f>
        <v>14636806.504739149</v>
      </c>
      <c r="D67" s="286">
        <f t="shared" ref="D67:J67" si="17">D10-D23-D24-D25-D26-D31</f>
        <v>27187973.857788429</v>
      </c>
      <c r="E67" s="286">
        <f t="shared" si="17"/>
        <v>1308493.7592352913</v>
      </c>
      <c r="F67" s="286">
        <f t="shared" si="17"/>
        <v>-12542709.064284496</v>
      </c>
      <c r="G67" s="286">
        <f t="shared" si="17"/>
        <v>0</v>
      </c>
      <c r="H67" s="286">
        <f t="shared" si="17"/>
        <v>-1741720.3599999994</v>
      </c>
      <c r="I67" s="286">
        <f t="shared" si="17"/>
        <v>-2466821.4207374058</v>
      </c>
      <c r="J67" s="286">
        <f t="shared" si="17"/>
        <v>2891589.7327373289</v>
      </c>
    </row>
    <row r="68" spans="1:10">
      <c r="A68" s="169">
        <v>64</v>
      </c>
      <c r="B68" s="169" t="s">
        <v>110</v>
      </c>
      <c r="C68" s="286">
        <v>0</v>
      </c>
      <c r="D68" s="275">
        <f>SUM('Pro Forma Adj'!C74:G74)</f>
        <v>27187973.857788429</v>
      </c>
      <c r="E68" s="275">
        <f>SUM('Pro Forma Adj'!H74:L74)</f>
        <v>1308493.7592352913</v>
      </c>
      <c r="F68" s="110">
        <v>0</v>
      </c>
      <c r="G68" s="110">
        <v>0</v>
      </c>
      <c r="H68" s="110">
        <v>0</v>
      </c>
      <c r="I68" s="110">
        <v>0</v>
      </c>
      <c r="J68" s="110">
        <v>0</v>
      </c>
    </row>
    <row r="69" spans="1:10">
      <c r="A69" s="169">
        <v>65</v>
      </c>
      <c r="B69" s="169" t="s">
        <v>111</v>
      </c>
      <c r="C69" s="286">
        <f>SUM(D69:J69)</f>
        <v>0</v>
      </c>
      <c r="D69" s="275">
        <f>SUM('Pro Forma Adj'!C75:G75)</f>
        <v>0</v>
      </c>
      <c r="E69" s="275">
        <f>SUM('Pro Forma Adj'!H75:L75)</f>
        <v>0</v>
      </c>
      <c r="F69" s="286">
        <f>SUM('Pro Forma Adj'!M76:N76)</f>
        <v>0</v>
      </c>
      <c r="G69" s="286">
        <f>SUM('Pro Forma Adj'!O76)</f>
        <v>0</v>
      </c>
      <c r="H69" s="286">
        <f>SUM('Pro Forma Adj'!P76:R76)</f>
        <v>0</v>
      </c>
      <c r="I69" s="275">
        <f>SUM('Pro Forma Adj'!S76:U76)</f>
        <v>0</v>
      </c>
      <c r="J69" s="286">
        <f>SUM('Pro Forma Adj'!V76:W76)</f>
        <v>0</v>
      </c>
    </row>
    <row r="70" spans="1:10">
      <c r="A70" s="169">
        <v>66</v>
      </c>
      <c r="B70" s="169" t="s">
        <v>112</v>
      </c>
      <c r="C70" s="286">
        <f>SUM(D70:J70)</f>
        <v>-94920.83295628801</v>
      </c>
      <c r="D70" s="275">
        <f>SUM('Pro Forma Adj'!C76:G76)</f>
        <v>0</v>
      </c>
      <c r="E70" s="275">
        <f>SUM('Pro Forma Adj'!H76:L76)</f>
        <v>0</v>
      </c>
      <c r="F70" s="286">
        <f>SUM('Pro Forma Adj'!M77:N77)</f>
        <v>0</v>
      </c>
      <c r="G70" s="286">
        <f>SUM('Pro Forma Adj'!O77)</f>
        <v>0</v>
      </c>
      <c r="H70" s="286">
        <f>SUM('Pro Forma Adj'!P77:R77)</f>
        <v>-94920.83295628801</v>
      </c>
      <c r="I70" s="275">
        <f>SUM('Pro Forma Adj'!S77:U77)</f>
        <v>0</v>
      </c>
      <c r="J70" s="286">
        <f>SUM('Pro Forma Adj'!V77:W77)</f>
        <v>0</v>
      </c>
    </row>
    <row r="71" spans="1:10">
      <c r="A71" s="169">
        <v>67</v>
      </c>
      <c r="B71" s="279" t="s">
        <v>113</v>
      </c>
      <c r="C71" s="286">
        <f>SUM(D71:J71)</f>
        <v>682548.26504344877</v>
      </c>
      <c r="D71" s="275">
        <f>SUM('Pro Forma Adj'!C77:G77)</f>
        <v>0</v>
      </c>
      <c r="E71" s="275">
        <f>SUM('Pro Forma Adj'!H78:L78)</f>
        <v>603689.71430861799</v>
      </c>
      <c r="F71" s="286">
        <f>SUM('Pro Forma Adj'!M78:N78)</f>
        <v>0</v>
      </c>
      <c r="G71" s="286">
        <f>SUM('Pro Forma Adj'!O78)</f>
        <v>0</v>
      </c>
      <c r="H71" s="286">
        <f>SUM('Pro Forma Adj'!P78:R78)</f>
        <v>0</v>
      </c>
      <c r="I71" s="275">
        <f>SUM('Pro Forma Adj'!S78:U78)</f>
        <v>78858.550734830831</v>
      </c>
      <c r="J71" s="286">
        <f>SUM('Pro Forma Adj'!V78:W78)</f>
        <v>0</v>
      </c>
    </row>
    <row r="72" spans="1:10">
      <c r="A72" s="169">
        <v>68</v>
      </c>
      <c r="B72" s="279" t="s">
        <v>114</v>
      </c>
      <c r="C72" s="289">
        <f>SUM(D72:J72)</f>
        <v>1375958.3254740317</v>
      </c>
      <c r="D72" s="275">
        <f>SUM('Pro Forma Adj'!C78:G78)</f>
        <v>0</v>
      </c>
      <c r="E72" s="275">
        <f>SUM('Pro Forma Adj'!H79:L79)</f>
        <v>-435168.6464068573</v>
      </c>
      <c r="F72" s="289">
        <f>SUM('Pro Forma Adj'!M79:N79)</f>
        <v>0</v>
      </c>
      <c r="G72" s="289">
        <f>SUM('Pro Forma Adj'!O79)</f>
        <v>2662914.971880889</v>
      </c>
      <c r="H72" s="289">
        <f>SUM('Pro Forma Adj'!P79:R79)</f>
        <v>0</v>
      </c>
      <c r="I72" s="275">
        <f>SUM('Pro Forma Adj'!S79:U79)</f>
        <v>-851788</v>
      </c>
      <c r="J72" s="289">
        <f>SUM('Pro Forma Adj'!V79:W79)</f>
        <v>0</v>
      </c>
    </row>
    <row r="73" spans="1:10">
      <c r="A73" s="169">
        <v>69</v>
      </c>
      <c r="B73" s="279" t="s">
        <v>115</v>
      </c>
      <c r="C73" s="277">
        <f>SUM(D73:J73)</f>
        <v>14038317.277264854</v>
      </c>
      <c r="D73" s="287">
        <f>D67-D69-D70+D71-D72</f>
        <v>27187973.857788429</v>
      </c>
      <c r="E73" s="287">
        <f>E67-E69-E70+E71-E72</f>
        <v>2347352.1199507667</v>
      </c>
      <c r="F73" s="277">
        <f t="shared" ref="F73:J73" si="18">F67-F69-F70+F71-F72</f>
        <v>-12542709.064284496</v>
      </c>
      <c r="G73" s="277">
        <f t="shared" si="18"/>
        <v>-2662914.971880889</v>
      </c>
      <c r="H73" s="277">
        <f t="shared" si="18"/>
        <v>-1646799.5270437114</v>
      </c>
      <c r="I73" s="287">
        <f t="shared" si="18"/>
        <v>-1536174.8700025748</v>
      </c>
      <c r="J73" s="277">
        <f t="shared" si="18"/>
        <v>2891589.7327373289</v>
      </c>
    </row>
    <row r="74" spans="1:10">
      <c r="A74" s="169">
        <v>70</v>
      </c>
      <c r="B74" s="169"/>
      <c r="C74" s="170"/>
      <c r="D74" s="170"/>
      <c r="E74" s="170"/>
      <c r="F74" s="170"/>
      <c r="G74" s="170"/>
      <c r="H74" s="170"/>
      <c r="I74" s="170"/>
      <c r="J74" s="170"/>
    </row>
    <row r="75" spans="1:10">
      <c r="A75" s="169">
        <v>71</v>
      </c>
      <c r="B75" s="169" t="s">
        <v>116</v>
      </c>
      <c r="C75" s="286">
        <f>SUM(D75:J75)</f>
        <v>0</v>
      </c>
      <c r="D75" s="286">
        <f>C162</f>
        <v>0</v>
      </c>
      <c r="E75" s="286">
        <f>C277</f>
        <v>0</v>
      </c>
      <c r="F75" s="286">
        <f>C391</f>
        <v>0</v>
      </c>
      <c r="G75" s="286">
        <f>C505</f>
        <v>0</v>
      </c>
      <c r="H75" s="286">
        <f>C620</f>
        <v>0</v>
      </c>
      <c r="I75" s="286">
        <f>C735</f>
        <v>0</v>
      </c>
      <c r="J75" s="286">
        <f>C853</f>
        <v>0</v>
      </c>
    </row>
    <row r="76" spans="1:10">
      <c r="A76" s="169">
        <v>72</v>
      </c>
      <c r="B76" s="169" t="s">
        <v>117</v>
      </c>
      <c r="C76" s="286">
        <f>SUM(D76:J76)</f>
        <v>14038317.277264854</v>
      </c>
      <c r="D76" s="286">
        <f>D73-D75</f>
        <v>27187973.857788429</v>
      </c>
      <c r="E76" s="286">
        <f t="shared" ref="E76:J76" si="19">E73-E75</f>
        <v>2347352.1199507667</v>
      </c>
      <c r="F76" s="286">
        <f t="shared" si="19"/>
        <v>-12542709.064284496</v>
      </c>
      <c r="G76" s="286">
        <f t="shared" si="19"/>
        <v>-2662914.971880889</v>
      </c>
      <c r="H76" s="286">
        <f t="shared" si="19"/>
        <v>-1646799.5270437114</v>
      </c>
      <c r="I76" s="286">
        <f t="shared" si="19"/>
        <v>-1536174.8700025748</v>
      </c>
      <c r="J76" s="286">
        <f t="shared" si="19"/>
        <v>2891589.7327373289</v>
      </c>
    </row>
    <row r="77" spans="1:10">
      <c r="A77" s="169">
        <v>73</v>
      </c>
      <c r="B77" s="169"/>
    </row>
    <row r="78" spans="1:10">
      <c r="A78" s="169">
        <v>74</v>
      </c>
      <c r="B78" s="169" t="s">
        <v>168</v>
      </c>
      <c r="C78" s="170">
        <f>SUM(D78:J78)</f>
        <v>4913411.0470426977</v>
      </c>
      <c r="D78" s="170">
        <f>D76*0.35</f>
        <v>9515790.8502259497</v>
      </c>
      <c r="E78" s="170">
        <f t="shared" ref="E78:J78" si="20">E76*0.35</f>
        <v>821573.24198276829</v>
      </c>
      <c r="F78" s="170">
        <f t="shared" si="20"/>
        <v>-4389948.1724995738</v>
      </c>
      <c r="G78" s="170">
        <f t="shared" si="20"/>
        <v>-932020.24015831109</v>
      </c>
      <c r="H78" s="170">
        <f t="shared" si="20"/>
        <v>-576379.83446529892</v>
      </c>
      <c r="I78" s="170">
        <f t="shared" si="20"/>
        <v>-537661.20450090116</v>
      </c>
      <c r="J78" s="170">
        <f t="shared" si="20"/>
        <v>1012056.406458065</v>
      </c>
    </row>
    <row r="79" spans="1:10">
      <c r="A79" s="169">
        <v>75</v>
      </c>
      <c r="B79" s="169" t="s">
        <v>167</v>
      </c>
      <c r="C79" s="170">
        <f>SUM(D79:J79)</f>
        <v>-1105653.619989312</v>
      </c>
      <c r="D79" s="275">
        <f>SUM('Pro Forma Adj'!C86:G86)</f>
        <v>0</v>
      </c>
      <c r="E79" s="275">
        <f>SUM('Pro Forma Adj'!H86:L86)</f>
        <v>0</v>
      </c>
      <c r="F79" s="170">
        <f>SUM('Pro Forma Adj'!M86:N86)</f>
        <v>0</v>
      </c>
      <c r="G79" s="170">
        <f>SUM('Pro Forma Adj'!O86)</f>
        <v>0</v>
      </c>
      <c r="H79" s="170">
        <f>SUM('Pro Forma Adj'!P86:R86)</f>
        <v>-1205929.156551077</v>
      </c>
      <c r="I79" s="275">
        <f>SUM('Pro Forma Adj'!S86:U86)</f>
        <v>0</v>
      </c>
      <c r="J79" s="170">
        <f>SUM('Pro Forma Adj'!V86:W86)</f>
        <v>100275.5365617651</v>
      </c>
    </row>
    <row r="80" spans="1:10" ht="15.75" thickBot="1">
      <c r="A80" s="169">
        <v>76</v>
      </c>
      <c r="B80" s="169" t="s">
        <v>168</v>
      </c>
      <c r="C80" s="288">
        <f>SUM(D80:J80)</f>
        <v>3807757.4270533854</v>
      </c>
      <c r="D80" s="288">
        <f>D78+D79</f>
        <v>9515790.8502259497</v>
      </c>
      <c r="E80" s="288">
        <f t="shared" ref="E80:J80" si="21">E78+E79</f>
        <v>821573.24198276829</v>
      </c>
      <c r="F80" s="288">
        <f t="shared" si="21"/>
        <v>-4389948.1724995738</v>
      </c>
      <c r="G80" s="288">
        <f t="shared" si="21"/>
        <v>-932020.24015831109</v>
      </c>
      <c r="H80" s="288">
        <f t="shared" si="21"/>
        <v>-1782308.9910163758</v>
      </c>
      <c r="I80" s="288">
        <f t="shared" si="21"/>
        <v>-537661.20450090116</v>
      </c>
      <c r="J80" s="288">
        <f t="shared" si="21"/>
        <v>1112331.9430198302</v>
      </c>
    </row>
    <row r="81" ht="15.75" thickTop="1"/>
  </sheetData>
  <pageMargins left="0.5" right="0.5" top="0.4" bottom="0.25" header="0.25" footer="0.3"/>
  <pageSetup scale="63" orientation="portrait" r:id="rId1"/>
  <headerFooter>
    <oddHeader>&amp;RExhibit No.___(RBD-6) - Revised 12/10/10</oddHeader>
  </headerFooter>
  <ignoredErrors>
    <ignoredError sqref="C23" formula="1"/>
  </ignoredErrors>
</worksheet>
</file>

<file path=xl/worksheets/sheet3.xml><?xml version="1.0" encoding="utf-8"?>
<worksheet xmlns="http://schemas.openxmlformats.org/spreadsheetml/2006/main" xmlns:r="http://schemas.openxmlformats.org/officeDocument/2006/relationships">
  <sheetPr>
    <tabColor rgb="FFFFFF00"/>
    <pageSetUpPr fitToPage="1"/>
  </sheetPr>
  <dimension ref="A1:H105"/>
  <sheetViews>
    <sheetView workbookViewId="0">
      <selection activeCell="D6" sqref="D6"/>
    </sheetView>
  </sheetViews>
  <sheetFormatPr defaultRowHeight="15.75"/>
  <cols>
    <col min="1" max="1" width="6.5703125" style="387" customWidth="1"/>
    <col min="2" max="2" width="43.140625" style="388" bestFit="1" customWidth="1"/>
    <col min="3" max="3" width="9.42578125" style="393" customWidth="1"/>
    <col min="4" max="4" width="13.5703125" style="388" customWidth="1"/>
    <col min="5" max="5" width="15.28515625" style="388" bestFit="1" customWidth="1"/>
    <col min="6" max="6" width="16.42578125" style="388" bestFit="1" customWidth="1"/>
    <col min="7" max="7" width="17" style="421" customWidth="1"/>
    <col min="8" max="8" width="14.7109375" style="388" customWidth="1"/>
    <col min="9" max="16384" width="9.140625" style="388"/>
  </cols>
  <sheetData>
    <row r="1" spans="1:8" s="458" customFormat="1">
      <c r="A1" s="456" t="s">
        <v>52</v>
      </c>
      <c r="B1" s="457"/>
      <c r="C1" s="457"/>
      <c r="D1" s="457"/>
      <c r="E1" s="457"/>
      <c r="F1" s="457"/>
      <c r="G1" s="457"/>
      <c r="H1" s="457"/>
    </row>
    <row r="2" spans="1:8" s="458" customFormat="1">
      <c r="A2" s="456" t="s">
        <v>225</v>
      </c>
      <c r="B2" s="457"/>
      <c r="C2" s="457"/>
      <c r="D2" s="457"/>
      <c r="E2" s="457"/>
      <c r="F2" s="457"/>
      <c r="G2" s="457"/>
      <c r="H2" s="457"/>
    </row>
    <row r="3" spans="1:8" s="458" customFormat="1">
      <c r="A3" s="456" t="s">
        <v>598</v>
      </c>
      <c r="B3" s="457"/>
      <c r="C3" s="457"/>
      <c r="D3" s="457"/>
      <c r="E3" s="457"/>
      <c r="F3" s="457"/>
      <c r="G3" s="457"/>
      <c r="H3" s="457"/>
    </row>
    <row r="4" spans="1:8">
      <c r="C4" s="389"/>
      <c r="D4" s="390"/>
      <c r="E4" s="390"/>
      <c r="F4" s="390"/>
      <c r="G4" s="391"/>
      <c r="H4" s="390"/>
    </row>
    <row r="5" spans="1:8">
      <c r="F5" s="394" t="s">
        <v>399</v>
      </c>
      <c r="G5" s="395" t="s">
        <v>346</v>
      </c>
    </row>
    <row r="6" spans="1:8">
      <c r="C6" s="396"/>
      <c r="D6" s="387" t="s">
        <v>399</v>
      </c>
      <c r="E6" s="397"/>
      <c r="F6" s="387" t="s">
        <v>347</v>
      </c>
      <c r="G6" s="398" t="s">
        <v>347</v>
      </c>
    </row>
    <row r="7" spans="1:8">
      <c r="B7" s="399"/>
      <c r="C7" s="400" t="s">
        <v>348</v>
      </c>
      <c r="D7" s="387" t="s">
        <v>220</v>
      </c>
      <c r="E7" s="387" t="s">
        <v>349</v>
      </c>
      <c r="F7" s="394" t="s">
        <v>350</v>
      </c>
      <c r="G7" s="398" t="s">
        <v>350</v>
      </c>
    </row>
    <row r="8" spans="1:8" ht="18.75">
      <c r="B8" s="401" t="s">
        <v>400</v>
      </c>
      <c r="C8" s="402" t="s">
        <v>351</v>
      </c>
      <c r="D8" s="403" t="s">
        <v>352</v>
      </c>
      <c r="E8" s="403" t="s">
        <v>352</v>
      </c>
      <c r="F8" s="403" t="s">
        <v>352</v>
      </c>
      <c r="G8" s="404" t="s">
        <v>599</v>
      </c>
      <c r="H8" s="403" t="s">
        <v>353</v>
      </c>
    </row>
    <row r="9" spans="1:8">
      <c r="B9" s="394" t="s">
        <v>334</v>
      </c>
      <c r="C9" s="405" t="s">
        <v>335</v>
      </c>
      <c r="D9" s="394" t="s">
        <v>336</v>
      </c>
      <c r="E9" s="394" t="s">
        <v>337</v>
      </c>
      <c r="F9" s="394" t="s">
        <v>338</v>
      </c>
      <c r="G9" s="406" t="s">
        <v>339</v>
      </c>
      <c r="H9" s="394" t="s">
        <v>354</v>
      </c>
    </row>
    <row r="10" spans="1:8">
      <c r="A10" s="387">
        <v>1</v>
      </c>
      <c r="B10" s="407" t="s">
        <v>355</v>
      </c>
      <c r="C10" s="405"/>
      <c r="D10" s="408">
        <f>Unadj_Op_revenue</f>
        <v>39356667.963908076</v>
      </c>
      <c r="E10" s="409">
        <f>Unadj_rate_base</f>
        <v>757510776.52255499</v>
      </c>
      <c r="F10" s="409">
        <f>(-+D10+(E10*$E$85))/$G$75</f>
        <v>31076642.759843405</v>
      </c>
      <c r="G10" s="410">
        <v>31076643</v>
      </c>
      <c r="H10" s="411">
        <f>+F10-G10</f>
        <v>-0.24015659466385841</v>
      </c>
    </row>
    <row r="11" spans="1:8">
      <c r="A11" s="387">
        <f>+A10+1</f>
        <v>2</v>
      </c>
      <c r="B11" s="412" t="s">
        <v>356</v>
      </c>
      <c r="C11" s="405"/>
      <c r="D11" s="413"/>
      <c r="E11" s="413"/>
      <c r="F11" s="413"/>
      <c r="G11" s="414"/>
      <c r="H11" s="411"/>
    </row>
    <row r="12" spans="1:8">
      <c r="A12" s="387">
        <f t="shared" ref="A12:A69" si="0">+A11+1</f>
        <v>3</v>
      </c>
      <c r="B12" s="394" t="s">
        <v>357</v>
      </c>
      <c r="C12" s="405"/>
      <c r="D12" s="413"/>
      <c r="E12" s="413"/>
      <c r="F12" s="413"/>
      <c r="G12" s="414"/>
      <c r="H12" s="411"/>
    </row>
    <row r="13" spans="1:8">
      <c r="A13" s="387">
        <f t="shared" si="0"/>
        <v>4</v>
      </c>
      <c r="B13" s="407" t="s">
        <v>118</v>
      </c>
      <c r="C13" s="405" t="s">
        <v>0</v>
      </c>
      <c r="D13" s="415">
        <f>'Total Adj'!C40</f>
        <v>2065366.1795000006</v>
      </c>
      <c r="E13" s="415">
        <f>'Total Adj'!C67</f>
        <v>0</v>
      </c>
      <c r="F13" s="409">
        <f t="shared" ref="F13:F19" si="1">(-+D13+(E13*$E$85))/$G$75</f>
        <v>-3330000.45063928</v>
      </c>
      <c r="G13" s="416">
        <v>-3330000.45063928</v>
      </c>
      <c r="H13" s="411">
        <f t="shared" ref="H13:H67" si="2">+F13-G13</f>
        <v>0</v>
      </c>
    </row>
    <row r="14" spans="1:8">
      <c r="A14" s="387">
        <f t="shared" si="0"/>
        <v>5</v>
      </c>
      <c r="B14" s="407" t="s">
        <v>358</v>
      </c>
      <c r="C14" s="405" t="s">
        <v>2</v>
      </c>
      <c r="D14" s="415">
        <f>'Total Adj'!D40</f>
        <v>9163677.3999999948</v>
      </c>
      <c r="E14" s="415">
        <f>'Total Adj'!D67</f>
        <v>0</v>
      </c>
      <c r="F14" s="409">
        <f t="shared" si="1"/>
        <v>-14774643.922415871</v>
      </c>
      <c r="G14" s="416">
        <v>-11774350.482885374</v>
      </c>
      <c r="H14" s="411">
        <f t="shared" si="2"/>
        <v>-3000293.4395304974</v>
      </c>
    </row>
    <row r="15" spans="1:8">
      <c r="A15" s="387">
        <f t="shared" si="0"/>
        <v>6</v>
      </c>
      <c r="B15" s="407" t="s">
        <v>134</v>
      </c>
      <c r="C15" s="405" t="s">
        <v>3</v>
      </c>
      <c r="D15" s="415">
        <f>'Total Adj'!E40</f>
        <v>21569261.453999996</v>
      </c>
      <c r="E15" s="415">
        <f>'Total Adj'!E67</f>
        <v>0</v>
      </c>
      <c r="F15" s="409">
        <f t="shared" si="1"/>
        <v>-34776230.51771117</v>
      </c>
      <c r="G15" s="416">
        <v>-34776230.51771117</v>
      </c>
      <c r="H15" s="411">
        <f t="shared" si="2"/>
        <v>0</v>
      </c>
    </row>
    <row r="16" spans="1:8">
      <c r="A16" s="387">
        <f t="shared" si="0"/>
        <v>7</v>
      </c>
      <c r="B16" s="407" t="s">
        <v>120</v>
      </c>
      <c r="C16" s="405" t="s">
        <v>4</v>
      </c>
      <c r="D16" s="415">
        <f>'Total Adj'!F40</f>
        <v>425743.90133370459</v>
      </c>
      <c r="E16" s="415">
        <f>'Total Adj'!F67</f>
        <v>-1995224.0762694315</v>
      </c>
      <c r="F16" s="409">
        <f t="shared" si="1"/>
        <v>-935417.90116079303</v>
      </c>
      <c r="G16" s="416">
        <v>-935417.90116079303</v>
      </c>
      <c r="H16" s="411">
        <f t="shared" si="2"/>
        <v>0</v>
      </c>
    </row>
    <row r="17" spans="1:8">
      <c r="A17" s="387">
        <f t="shared" si="0"/>
        <v>8</v>
      </c>
      <c r="B17" s="407" t="s">
        <v>227</v>
      </c>
      <c r="C17" s="405" t="s">
        <v>5</v>
      </c>
      <c r="D17" s="415">
        <f>'Total Adj'!G40</f>
        <v>-5352010.177307141</v>
      </c>
      <c r="E17" s="415">
        <f>'Total Adj'!G67</f>
        <v>0</v>
      </c>
      <c r="F17" s="409">
        <f t="shared" si="1"/>
        <v>8629073.3716639653</v>
      </c>
      <c r="G17" s="416">
        <v>8629073.3716639653</v>
      </c>
      <c r="H17" s="411">
        <f t="shared" si="2"/>
        <v>0</v>
      </c>
    </row>
    <row r="18" spans="1:8">
      <c r="A18" s="387">
        <f t="shared" si="0"/>
        <v>9</v>
      </c>
      <c r="B18" s="407" t="s">
        <v>359</v>
      </c>
      <c r="C18" s="405" t="s">
        <v>6</v>
      </c>
      <c r="D18" s="415">
        <f>'Total Adj'!H40</f>
        <v>602352.36190478317</v>
      </c>
      <c r="E18" s="415">
        <f>'Total Adj'!H67</f>
        <v>0</v>
      </c>
      <c r="F18" s="409">
        <f t="shared" si="1"/>
        <v>-971175.79269752069</v>
      </c>
      <c r="G18" s="416">
        <v>-180985.05700269769</v>
      </c>
      <c r="H18" s="411">
        <f t="shared" si="2"/>
        <v>-790190.73569482297</v>
      </c>
    </row>
    <row r="19" spans="1:8">
      <c r="A19" s="387">
        <f t="shared" si="0"/>
        <v>10</v>
      </c>
      <c r="B19" s="407" t="s">
        <v>360</v>
      </c>
      <c r="C19" s="405" t="s">
        <v>228</v>
      </c>
      <c r="D19" s="415">
        <f>'Total Adj'!I40</f>
        <v>654922.81931942562</v>
      </c>
      <c r="E19" s="415">
        <f>'Total Adj'!I67</f>
        <v>0</v>
      </c>
      <c r="F19" s="409">
        <f t="shared" si="1"/>
        <v>-1055935.4099598951</v>
      </c>
      <c r="G19" s="417">
        <v>1162560.6610030567</v>
      </c>
      <c r="H19" s="411">
        <f t="shared" si="2"/>
        <v>-2218496.0709629515</v>
      </c>
    </row>
    <row r="20" spans="1:8">
      <c r="A20" s="387">
        <f t="shared" si="0"/>
        <v>11</v>
      </c>
      <c r="B20" s="407"/>
      <c r="C20" s="405"/>
      <c r="D20" s="415"/>
      <c r="E20" s="415"/>
      <c r="F20" s="409"/>
      <c r="G20" s="417"/>
      <c r="H20" s="411"/>
    </row>
    <row r="21" spans="1:8">
      <c r="A21" s="387">
        <f t="shared" si="0"/>
        <v>12</v>
      </c>
      <c r="B21" s="387" t="s">
        <v>361</v>
      </c>
      <c r="C21" s="400"/>
      <c r="D21" s="418"/>
      <c r="E21" s="418"/>
      <c r="F21" s="409"/>
      <c r="G21" s="417"/>
      <c r="H21" s="411"/>
    </row>
    <row r="22" spans="1:8">
      <c r="A22" s="387">
        <f t="shared" si="0"/>
        <v>13</v>
      </c>
      <c r="B22" s="419" t="s">
        <v>362</v>
      </c>
      <c r="C22" s="400" t="s">
        <v>1</v>
      </c>
      <c r="D22" s="415">
        <f>'Total Adj'!J40</f>
        <v>86025.10682635993</v>
      </c>
      <c r="E22" s="415">
        <f>'Total Adj'!J67</f>
        <v>0</v>
      </c>
      <c r="F22" s="409">
        <f t="shared" ref="F22:F34" si="3">(-+D22+(E22*$E$85))/$G$75</f>
        <v>-138698.71954977981</v>
      </c>
      <c r="G22" s="417">
        <v>-4188</v>
      </c>
      <c r="H22" s="411">
        <f t="shared" si="2"/>
        <v>-134510.71954977981</v>
      </c>
    </row>
    <row r="23" spans="1:8">
      <c r="A23" s="387">
        <f t="shared" si="0"/>
        <v>14</v>
      </c>
      <c r="B23" s="419" t="s">
        <v>363</v>
      </c>
      <c r="C23" s="400" t="s">
        <v>7</v>
      </c>
      <c r="D23" s="415">
        <f>'Total Adj'!K40</f>
        <v>70897.978747582063</v>
      </c>
      <c r="E23" s="415">
        <f>'Total Adj'!K67</f>
        <v>0</v>
      </c>
      <c r="F23" s="409">
        <f t="shared" si="3"/>
        <v>-114309.17360911609</v>
      </c>
      <c r="G23" s="417">
        <v>-114309</v>
      </c>
      <c r="H23" s="411">
        <f t="shared" si="2"/>
        <v>-0.17360911608557217</v>
      </c>
    </row>
    <row r="24" spans="1:8">
      <c r="A24" s="387">
        <f t="shared" si="0"/>
        <v>15</v>
      </c>
      <c r="B24" s="419" t="s">
        <v>364</v>
      </c>
      <c r="C24" s="400" t="s">
        <v>8</v>
      </c>
      <c r="D24" s="415">
        <f>'Total Adj'!L40</f>
        <v>0</v>
      </c>
      <c r="E24" s="415">
        <f>'Total Adj'!L67</f>
        <v>0</v>
      </c>
      <c r="F24" s="409">
        <f t="shared" si="3"/>
        <v>0</v>
      </c>
      <c r="G24" s="417">
        <v>321340</v>
      </c>
      <c r="H24" s="411">
        <f t="shared" si="2"/>
        <v>-321340</v>
      </c>
    </row>
    <row r="25" spans="1:8">
      <c r="A25" s="387">
        <f t="shared" si="0"/>
        <v>16</v>
      </c>
      <c r="B25" s="419" t="s">
        <v>254</v>
      </c>
      <c r="C25" s="400" t="s">
        <v>9</v>
      </c>
      <c r="D25" s="418">
        <f>'Total Adj'!M40</f>
        <v>722907.98959938949</v>
      </c>
      <c r="E25" s="415">
        <f>'Total Adj'!M67</f>
        <v>7282596.1270833286</v>
      </c>
      <c r="F25" s="409">
        <f t="shared" si="3"/>
        <v>-256735.48419641086</v>
      </c>
      <c r="G25" s="417">
        <v>-256735</v>
      </c>
      <c r="H25" s="411">
        <f t="shared" si="2"/>
        <v>-0.48419641086366028</v>
      </c>
    </row>
    <row r="26" spans="1:8">
      <c r="A26" s="387">
        <f t="shared" si="0"/>
        <v>17</v>
      </c>
      <c r="B26" s="419" t="s">
        <v>123</v>
      </c>
      <c r="C26" s="400" t="s">
        <v>10</v>
      </c>
      <c r="D26" s="418">
        <f>'Total Adj'!N40</f>
        <v>-61216.664693535815</v>
      </c>
      <c r="E26" s="415">
        <f>'Total Adj'!N67</f>
        <v>56244.919679730992</v>
      </c>
      <c r="F26" s="409">
        <f t="shared" si="3"/>
        <v>105718.88086153039</v>
      </c>
      <c r="G26" s="417">
        <v>105719</v>
      </c>
      <c r="H26" s="411">
        <f t="shared" si="2"/>
        <v>-0.11913846961397212</v>
      </c>
    </row>
    <row r="27" spans="1:8">
      <c r="A27" s="387">
        <f t="shared" si="0"/>
        <v>18</v>
      </c>
      <c r="B27" s="419" t="s">
        <v>365</v>
      </c>
      <c r="C27" s="400" t="s">
        <v>11</v>
      </c>
      <c r="D27" s="418">
        <f>'Total Adj'!O40</f>
        <v>32798.565992366755</v>
      </c>
      <c r="E27" s="415">
        <f>'Total Adj'!O67</f>
        <v>-1087279.6666666667</v>
      </c>
      <c r="F27" s="409">
        <f t="shared" si="3"/>
        <v>-188565.5517991177</v>
      </c>
      <c r="G27" s="417">
        <v>-188566</v>
      </c>
      <c r="H27" s="411">
        <f t="shared" si="2"/>
        <v>0.44820088229607791</v>
      </c>
    </row>
    <row r="28" spans="1:8">
      <c r="A28" s="387">
        <f t="shared" si="0"/>
        <v>19</v>
      </c>
      <c r="B28" s="419" t="s">
        <v>366</v>
      </c>
      <c r="C28" s="400" t="s">
        <v>12</v>
      </c>
      <c r="D28" s="418">
        <f>'Total Adj'!P40</f>
        <v>714064.77513409406</v>
      </c>
      <c r="E28" s="415">
        <f>'Total Adj'!P67</f>
        <v>0</v>
      </c>
      <c r="F28" s="409">
        <f t="shared" si="3"/>
        <v>-1151290.2876902022</v>
      </c>
      <c r="G28" s="417">
        <v>-1151290</v>
      </c>
      <c r="H28" s="411">
        <f t="shared" si="2"/>
        <v>-0.28769020223990083</v>
      </c>
    </row>
    <row r="29" spans="1:8">
      <c r="A29" s="387">
        <f t="shared" si="0"/>
        <v>20</v>
      </c>
      <c r="B29" s="388" t="s">
        <v>367</v>
      </c>
      <c r="C29" s="400" t="s">
        <v>45</v>
      </c>
      <c r="D29" s="418">
        <f>'Total Adj'!Q40</f>
        <v>-2384.8170024567889</v>
      </c>
      <c r="E29" s="415">
        <f>'Total Adj'!Q67</f>
        <v>0</v>
      </c>
      <c r="F29" s="409">
        <f t="shared" si="3"/>
        <v>3845.0526457230208</v>
      </c>
      <c r="G29" s="417">
        <v>3845</v>
      </c>
      <c r="H29" s="411">
        <f t="shared" si="2"/>
        <v>5.264572302075976E-2</v>
      </c>
    </row>
    <row r="30" spans="1:8">
      <c r="A30" s="387">
        <f t="shared" si="0"/>
        <v>21</v>
      </c>
      <c r="B30" s="388" t="s">
        <v>233</v>
      </c>
      <c r="C30" s="400" t="s">
        <v>232</v>
      </c>
      <c r="D30" s="418">
        <f>'Total Adj'!R40</f>
        <v>92445.477524220623</v>
      </c>
      <c r="E30" s="415">
        <f>'Total Adj'!R67</f>
        <v>-79630.904999999548</v>
      </c>
      <c r="F30" s="409">
        <f t="shared" si="3"/>
        <v>-158987.6490515141</v>
      </c>
      <c r="G30" s="417">
        <v>-158988</v>
      </c>
      <c r="H30" s="411">
        <f t="shared" si="2"/>
        <v>0.35094848589506</v>
      </c>
    </row>
    <row r="31" spans="1:8">
      <c r="A31" s="387">
        <f t="shared" si="0"/>
        <v>22</v>
      </c>
      <c r="B31" s="388" t="s">
        <v>368</v>
      </c>
      <c r="C31" s="400" t="s">
        <v>234</v>
      </c>
      <c r="D31" s="418">
        <f>'Total Adj'!S40</f>
        <v>9368.5899177937645</v>
      </c>
      <c r="E31" s="415">
        <f>'Total Adj'!S67</f>
        <v>0</v>
      </c>
      <c r="F31" s="409">
        <f t="shared" si="3"/>
        <v>-15105.025422494502</v>
      </c>
      <c r="G31" s="417">
        <v>-15105</v>
      </c>
      <c r="H31" s="411">
        <f t="shared" si="2"/>
        <v>-2.5422494501981419E-2</v>
      </c>
    </row>
    <row r="32" spans="1:8">
      <c r="A32" s="387">
        <f t="shared" si="0"/>
        <v>23</v>
      </c>
      <c r="B32" s="388" t="s">
        <v>253</v>
      </c>
      <c r="C32" s="400" t="s">
        <v>252</v>
      </c>
      <c r="D32" s="418">
        <f>'Total Adj'!T40</f>
        <v>-166295.03833923308</v>
      </c>
      <c r="E32" s="415">
        <f>'Total Adj'!T67</f>
        <v>0</v>
      </c>
      <c r="F32" s="409">
        <f t="shared" si="3"/>
        <v>268118.34051760333</v>
      </c>
      <c r="G32" s="417">
        <v>511530</v>
      </c>
      <c r="H32" s="411">
        <f t="shared" si="2"/>
        <v>-243411.65948239667</v>
      </c>
    </row>
    <row r="33" spans="1:8">
      <c r="A33" s="387">
        <f t="shared" si="0"/>
        <v>24</v>
      </c>
      <c r="B33" s="388" t="s">
        <v>200</v>
      </c>
      <c r="C33" s="400" t="s">
        <v>236</v>
      </c>
      <c r="D33" s="418">
        <f>'Total Adj'!U40</f>
        <v>-28304.510248875617</v>
      </c>
      <c r="E33" s="415">
        <f>'Total Adj'!U67</f>
        <v>0</v>
      </c>
      <c r="F33" s="409">
        <f t="shared" si="3"/>
        <v>45635.506584453542</v>
      </c>
      <c r="G33" s="417">
        <v>45636</v>
      </c>
      <c r="H33" s="411">
        <f t="shared" si="2"/>
        <v>-0.49341554645798169</v>
      </c>
    </row>
    <row r="34" spans="1:8">
      <c r="A34" s="387">
        <f t="shared" si="0"/>
        <v>25</v>
      </c>
      <c r="B34" s="388" t="s">
        <v>238</v>
      </c>
      <c r="C34" s="400" t="s">
        <v>237</v>
      </c>
      <c r="D34" s="418">
        <f>'Total Adj'!V40</f>
        <v>-885.67661004467527</v>
      </c>
      <c r="E34" s="415">
        <f>'Total Adj'!V67</f>
        <v>0</v>
      </c>
      <c r="F34" s="409">
        <f t="shared" si="3"/>
        <v>1427.9809265025481</v>
      </c>
      <c r="G34" s="417">
        <v>1428</v>
      </c>
      <c r="H34" s="411">
        <f t="shared" si="2"/>
        <v>-1.9073497451927324E-2</v>
      </c>
    </row>
    <row r="35" spans="1:8">
      <c r="A35" s="387">
        <f t="shared" si="0"/>
        <v>26</v>
      </c>
      <c r="B35" s="419" t="s">
        <v>369</v>
      </c>
      <c r="C35" s="400" t="s">
        <v>370</v>
      </c>
      <c r="D35" s="418"/>
      <c r="E35" s="415"/>
      <c r="F35" s="409"/>
      <c r="G35" s="417"/>
      <c r="H35" s="411">
        <f t="shared" si="2"/>
        <v>0</v>
      </c>
    </row>
    <row r="36" spans="1:8">
      <c r="A36" s="387">
        <f t="shared" si="0"/>
        <v>27</v>
      </c>
      <c r="B36" s="387" t="s">
        <v>371</v>
      </c>
      <c r="C36" s="400"/>
      <c r="D36" s="418"/>
      <c r="E36" s="418"/>
      <c r="F36" s="409"/>
      <c r="G36" s="417"/>
      <c r="H36" s="411"/>
    </row>
    <row r="37" spans="1:8">
      <c r="A37" s="387">
        <f t="shared" si="0"/>
        <v>28</v>
      </c>
      <c r="B37" s="419" t="s">
        <v>372</v>
      </c>
      <c r="C37" s="400">
        <v>5.0999999999999996</v>
      </c>
      <c r="D37" s="418">
        <f>'Total Adj'!W40</f>
        <v>1059367.7048230357</v>
      </c>
      <c r="E37" s="415">
        <f>'Total Adj'!W67</f>
        <v>0</v>
      </c>
      <c r="F37" s="409">
        <f t="shared" ref="F37:F41" si="4">(-+D37+(E37*$E$85))/$G$75</f>
        <v>-1708023.966630179</v>
      </c>
      <c r="G37" s="417">
        <v>-1708024</v>
      </c>
      <c r="H37" s="411">
        <f t="shared" si="2"/>
        <v>3.3369821030646563E-2</v>
      </c>
    </row>
    <row r="38" spans="1:8">
      <c r="A38" s="387">
        <f t="shared" si="0"/>
        <v>29</v>
      </c>
      <c r="B38" s="419" t="s">
        <v>373</v>
      </c>
      <c r="C38" s="400" t="s">
        <v>255</v>
      </c>
      <c r="D38" s="418">
        <f>'Total Adj'!X40</f>
        <v>-8868109.6037769392</v>
      </c>
      <c r="E38" s="415">
        <f>'Total Adj'!X67</f>
        <v>0</v>
      </c>
      <c r="F38" s="409">
        <f t="shared" si="4"/>
        <v>14298098.453439755</v>
      </c>
      <c r="G38" s="417">
        <v>21470157</v>
      </c>
      <c r="H38" s="411">
        <f t="shared" si="2"/>
        <v>-7172058.5465602446</v>
      </c>
    </row>
    <row r="39" spans="1:8">
      <c r="A39" s="387">
        <f t="shared" si="0"/>
        <v>30</v>
      </c>
      <c r="B39" s="419" t="s">
        <v>135</v>
      </c>
      <c r="C39" s="400" t="s">
        <v>50</v>
      </c>
      <c r="D39" s="418">
        <f>'Total Adj'!Y40</f>
        <v>715348.71199201676</v>
      </c>
      <c r="E39" s="415">
        <f>'Total Adj'!Y67</f>
        <v>0</v>
      </c>
      <c r="F39" s="409">
        <f t="shared" si="4"/>
        <v>-1153360.3856505116</v>
      </c>
      <c r="G39" s="417">
        <v>-1153360</v>
      </c>
      <c r="H39" s="411">
        <f t="shared" si="2"/>
        <v>-0.38565051159821451</v>
      </c>
    </row>
    <row r="40" spans="1:8">
      <c r="A40" s="387">
        <f t="shared" si="0"/>
        <v>31</v>
      </c>
      <c r="B40" s="419" t="s">
        <v>125</v>
      </c>
      <c r="C40" s="400" t="s">
        <v>46</v>
      </c>
      <c r="D40" s="418">
        <f>'Total Adj'!Z40</f>
        <v>-5703246.7505000001</v>
      </c>
      <c r="E40" s="415">
        <f>'Total Adj'!Z67</f>
        <v>0</v>
      </c>
      <c r="F40" s="409">
        <f t="shared" si="4"/>
        <v>9195373.8943617698</v>
      </c>
      <c r="G40" s="417">
        <v>9195374</v>
      </c>
      <c r="H40" s="411">
        <f t="shared" si="2"/>
        <v>-0.10563823021948338</v>
      </c>
    </row>
    <row r="41" spans="1:8">
      <c r="A41" s="387">
        <f t="shared" si="0"/>
        <v>32</v>
      </c>
      <c r="B41" s="388" t="s">
        <v>239</v>
      </c>
      <c r="C41" s="400" t="s">
        <v>44</v>
      </c>
      <c r="D41" s="418">
        <f>'Total Adj'!AA40</f>
        <v>305298.54482166702</v>
      </c>
      <c r="E41" s="415">
        <f>'Total Adj'!AA67</f>
        <v>-8629458.7270486429</v>
      </c>
      <c r="F41" s="409">
        <f t="shared" si="4"/>
        <v>-1569125.4055676637</v>
      </c>
      <c r="G41" s="417">
        <v>-1569125</v>
      </c>
      <c r="H41" s="411">
        <f t="shared" si="2"/>
        <v>-0.40556766372174025</v>
      </c>
    </row>
    <row r="42" spans="1:8">
      <c r="A42" s="387">
        <f t="shared" si="0"/>
        <v>33</v>
      </c>
      <c r="B42" s="419"/>
      <c r="C42" s="400"/>
      <c r="F42" s="409"/>
      <c r="G42" s="417"/>
      <c r="H42" s="411"/>
    </row>
    <row r="43" spans="1:8">
      <c r="A43" s="387">
        <f t="shared" si="0"/>
        <v>34</v>
      </c>
      <c r="B43" s="387" t="s">
        <v>374</v>
      </c>
      <c r="C43" s="400"/>
      <c r="F43" s="409"/>
      <c r="G43" s="417"/>
      <c r="H43" s="411"/>
    </row>
    <row r="44" spans="1:8">
      <c r="A44" s="387">
        <f t="shared" si="0"/>
        <v>35</v>
      </c>
      <c r="B44" s="419" t="s">
        <v>126</v>
      </c>
      <c r="C44" s="400" t="s">
        <v>14</v>
      </c>
      <c r="D44" s="418">
        <f>'Total Adj'!AB40</f>
        <v>-78582.625805387739</v>
      </c>
      <c r="E44" s="415">
        <f>'[4]Adj Summary'!AD64</f>
        <v>273209.89236551552</v>
      </c>
      <c r="F44" s="409">
        <f t="shared" ref="F44" si="5">(-+D44+(E44*$E$85))/$G$75</f>
        <v>160793.69181509866</v>
      </c>
      <c r="G44" s="417">
        <v>160794</v>
      </c>
      <c r="H44" s="411">
        <f t="shared" si="2"/>
        <v>-0.30818490133970045</v>
      </c>
    </row>
    <row r="45" spans="1:8">
      <c r="A45" s="387">
        <f t="shared" si="0"/>
        <v>36</v>
      </c>
      <c r="B45" s="419"/>
      <c r="C45" s="400"/>
      <c r="D45" s="418"/>
      <c r="E45" s="418"/>
      <c r="F45" s="409"/>
      <c r="G45" s="417"/>
      <c r="H45" s="411"/>
    </row>
    <row r="46" spans="1:8">
      <c r="A46" s="387">
        <f t="shared" si="0"/>
        <v>37</v>
      </c>
      <c r="B46" s="387" t="s">
        <v>375</v>
      </c>
      <c r="C46" s="400"/>
      <c r="D46" s="418"/>
      <c r="E46" s="418"/>
      <c r="F46" s="409"/>
      <c r="G46" s="417"/>
      <c r="H46" s="411"/>
    </row>
    <row r="47" spans="1:8">
      <c r="A47" s="387">
        <f t="shared" si="0"/>
        <v>38</v>
      </c>
      <c r="B47" s="419" t="s">
        <v>127</v>
      </c>
      <c r="C47" s="400">
        <v>7.1</v>
      </c>
      <c r="D47" s="418">
        <f>'Total Adj'!AC$40</f>
        <v>-380692.37042456953</v>
      </c>
      <c r="E47" s="415">
        <f>'Total Adj'!AC67</f>
        <v>0</v>
      </c>
      <c r="F47" s="409">
        <f t="shared" ref="F47:F55" si="6">(-+D47+(E47*$E$85))/$G$75</f>
        <v>613792.25517077465</v>
      </c>
      <c r="G47" s="417">
        <v>613792</v>
      </c>
      <c r="H47" s="411">
        <f t="shared" si="2"/>
        <v>0.25517077464610338</v>
      </c>
    </row>
    <row r="48" spans="1:8">
      <c r="A48" s="387">
        <f t="shared" si="0"/>
        <v>39</v>
      </c>
      <c r="B48" s="419" t="s">
        <v>138</v>
      </c>
      <c r="C48" s="400">
        <v>7.2</v>
      </c>
      <c r="D48" s="418">
        <f>'Total Adj'!AD$40</f>
        <v>786766.39813783229</v>
      </c>
      <c r="E48" s="415">
        <f>'Total Adj'!AD$67</f>
        <v>0</v>
      </c>
      <c r="F48" s="409">
        <f t="shared" si="6"/>
        <v>-1268507.4861548657</v>
      </c>
      <c r="G48" s="417">
        <v>-1268507</v>
      </c>
      <c r="H48" s="411">
        <f t="shared" si="2"/>
        <v>-0.48615486570633948</v>
      </c>
    </row>
    <row r="49" spans="1:8">
      <c r="A49" s="387">
        <f t="shared" si="0"/>
        <v>40</v>
      </c>
      <c r="B49" s="419" t="s">
        <v>128</v>
      </c>
      <c r="C49" s="400">
        <v>7.3</v>
      </c>
      <c r="D49" s="418">
        <f>'Total Adj'!AE$40</f>
        <v>296778.81346373697</v>
      </c>
      <c r="E49" s="415">
        <f>'Total Adj'!AE$67</f>
        <v>-222584.42473664155</v>
      </c>
      <c r="F49" s="409">
        <f t="shared" si="6"/>
        <v>-506274.84632854431</v>
      </c>
      <c r="G49" s="417">
        <v>-506275</v>
      </c>
      <c r="H49" s="411">
        <f t="shared" si="2"/>
        <v>0.15367145568598062</v>
      </c>
    </row>
    <row r="50" spans="1:8">
      <c r="A50" s="387">
        <f t="shared" si="0"/>
        <v>41</v>
      </c>
      <c r="B50" s="419" t="s">
        <v>376</v>
      </c>
      <c r="C50" s="400">
        <v>7.4</v>
      </c>
      <c r="D50" s="418">
        <f>'Total Adj'!AF$40</f>
        <v>-1132118.2339999997</v>
      </c>
      <c r="E50" s="415">
        <f>'Total Adj'!AF$67</f>
        <v>0</v>
      </c>
      <c r="F50" s="409">
        <f t="shared" si="6"/>
        <v>1825320.0167679728</v>
      </c>
      <c r="G50" s="417">
        <v>1825320</v>
      </c>
      <c r="H50" s="411">
        <f t="shared" si="2"/>
        <v>1.6767972847446799E-2</v>
      </c>
    </row>
    <row r="51" spans="1:8">
      <c r="A51" s="387">
        <f t="shared" si="0"/>
        <v>42</v>
      </c>
      <c r="B51" s="419" t="s">
        <v>129</v>
      </c>
      <c r="C51" s="400">
        <v>7.5</v>
      </c>
      <c r="D51" s="418">
        <f>'Total Adj'!AG$40</f>
        <v>83729.110166808881</v>
      </c>
      <c r="E51" s="415">
        <f>'Total Adj'!AG$67</f>
        <v>0</v>
      </c>
      <c r="F51" s="409">
        <f t="shared" si="6"/>
        <v>-134996.87239702835</v>
      </c>
      <c r="G51" s="417">
        <v>-134997</v>
      </c>
      <c r="H51" s="411">
        <f t="shared" si="2"/>
        <v>0.12760297165368684</v>
      </c>
    </row>
    <row r="52" spans="1:8">
      <c r="A52" s="387">
        <f t="shared" si="0"/>
        <v>43</v>
      </c>
      <c r="B52" s="388" t="s">
        <v>377</v>
      </c>
      <c r="C52" s="400">
        <v>7.6</v>
      </c>
      <c r="D52" s="418">
        <f>'Total Adj'!AH$40</f>
        <v>0</v>
      </c>
      <c r="E52" s="415">
        <f>'Total Adj'!AH$67</f>
        <v>-2089738.2646262255</v>
      </c>
      <c r="F52" s="409">
        <f t="shared" si="6"/>
        <v>-260783.48625843614</v>
      </c>
      <c r="G52" s="417">
        <v>-260783</v>
      </c>
      <c r="H52" s="411">
        <f t="shared" si="2"/>
        <v>-0.48625843613990583</v>
      </c>
    </row>
    <row r="53" spans="1:8">
      <c r="A53" s="387">
        <f t="shared" si="0"/>
        <v>44</v>
      </c>
      <c r="B53" s="388" t="s">
        <v>378</v>
      </c>
      <c r="C53" s="400" t="s">
        <v>270</v>
      </c>
      <c r="D53" s="418">
        <f>'Total Adj'!AI$40</f>
        <v>-396343.93645358831</v>
      </c>
      <c r="E53" s="415">
        <f>'Total Adj'!AI$67</f>
        <v>0</v>
      </c>
      <c r="F53" s="409">
        <f t="shared" si="6"/>
        <v>639027.35509986349</v>
      </c>
      <c r="G53" s="416">
        <v>639027</v>
      </c>
      <c r="H53" s="411">
        <f>+F53-G53</f>
        <v>0.35509986348915845</v>
      </c>
    </row>
    <row r="54" spans="1:8">
      <c r="A54" s="387">
        <f t="shared" si="0"/>
        <v>45</v>
      </c>
      <c r="B54" s="419" t="s">
        <v>379</v>
      </c>
      <c r="C54" s="400" t="s">
        <v>19</v>
      </c>
      <c r="D54" s="418">
        <f>'Total Adj'!AJ$40</f>
        <v>1877339</v>
      </c>
      <c r="E54" s="415">
        <f>'Total Adj'!AJ$67</f>
        <v>953690</v>
      </c>
      <c r="F54" s="409">
        <f t="shared" si="6"/>
        <v>-2907829.9888750953</v>
      </c>
      <c r="G54" s="417">
        <v>-2907830</v>
      </c>
      <c r="H54" s="411">
        <f>+F54-G54</f>
        <v>1.1124904733151197E-2</v>
      </c>
    </row>
    <row r="55" spans="1:8">
      <c r="A55" s="387">
        <f t="shared" si="0"/>
        <v>46</v>
      </c>
      <c r="B55" s="388" t="s">
        <v>262</v>
      </c>
      <c r="C55" s="400">
        <v>7.8</v>
      </c>
      <c r="D55" s="418">
        <f>'Total Adj'!AK$40</f>
        <v>-20913</v>
      </c>
      <c r="E55" s="415">
        <f>'Total Adj'!AK$67</f>
        <v>-773349.3887389946</v>
      </c>
      <c r="F55" s="409">
        <f t="shared" si="6"/>
        <v>-62790.001593599445</v>
      </c>
      <c r="G55" s="417">
        <v>-62790</v>
      </c>
      <c r="H55" s="411">
        <f>+F55-G55</f>
        <v>-1.5935994451865554E-3</v>
      </c>
    </row>
    <row r="56" spans="1:8">
      <c r="A56" s="387">
        <f t="shared" si="0"/>
        <v>47</v>
      </c>
      <c r="B56" s="419"/>
      <c r="C56" s="400"/>
      <c r="D56" s="415"/>
      <c r="E56" s="415"/>
      <c r="F56" s="409"/>
      <c r="G56" s="417"/>
      <c r="H56" s="411"/>
    </row>
    <row r="57" spans="1:8">
      <c r="A57" s="387">
        <f t="shared" si="0"/>
        <v>48</v>
      </c>
      <c r="B57" s="387" t="s">
        <v>380</v>
      </c>
      <c r="C57" s="400"/>
      <c r="D57" s="415"/>
      <c r="E57" s="415"/>
      <c r="F57" s="409"/>
      <c r="G57" s="417"/>
      <c r="H57" s="411"/>
    </row>
    <row r="58" spans="1:8">
      <c r="A58" s="387">
        <f t="shared" si="0"/>
        <v>49</v>
      </c>
      <c r="B58" s="407" t="s">
        <v>103</v>
      </c>
      <c r="C58" s="400">
        <v>8.1</v>
      </c>
      <c r="D58" s="418">
        <f>'Total Adj'!AL$40</f>
        <v>-6548.163818181818</v>
      </c>
      <c r="E58" s="415">
        <f>'Total Adj'!AL$67</f>
        <v>-3291205.6015833332</v>
      </c>
      <c r="F58" s="409">
        <f t="shared" ref="F58:F69" si="7">(-+D58+(E58*$E$85))/$G$75</f>
        <v>-400159.85963975976</v>
      </c>
      <c r="G58" s="417">
        <v>-400160</v>
      </c>
      <c r="H58" s="411">
        <f t="shared" si="2"/>
        <v>0.14036024024244398</v>
      </c>
    </row>
    <row r="59" spans="1:8">
      <c r="A59" s="387">
        <f t="shared" si="0"/>
        <v>50</v>
      </c>
      <c r="B59" s="419" t="s">
        <v>130</v>
      </c>
      <c r="C59" s="400">
        <v>8.1999999999999993</v>
      </c>
      <c r="D59" s="418">
        <f>'Total Adj'!AM$40</f>
        <v>0</v>
      </c>
      <c r="E59" s="415">
        <f>'Total Adj'!AM$67</f>
        <v>32582682.633573584</v>
      </c>
      <c r="F59" s="409">
        <f t="shared" si="7"/>
        <v>4066071.6763758534</v>
      </c>
      <c r="G59" s="417">
        <v>4066072</v>
      </c>
      <c r="H59" s="411">
        <f t="shared" si="2"/>
        <v>-0.32362414663657546</v>
      </c>
    </row>
    <row r="60" spans="1:8">
      <c r="A60" s="387">
        <f t="shared" si="0"/>
        <v>51</v>
      </c>
      <c r="B60" s="419" t="s">
        <v>381</v>
      </c>
      <c r="C60" s="400">
        <v>8.3000000000000007</v>
      </c>
      <c r="D60" s="418">
        <f>'Total Adj'!AN$40</f>
        <v>-220086.03398960872</v>
      </c>
      <c r="E60" s="415">
        <f>'Total Adj'!AN$67</f>
        <v>-97120.704204546346</v>
      </c>
      <c r="F60" s="409">
        <f t="shared" si="7"/>
        <v>342725.91052380059</v>
      </c>
      <c r="G60" s="417">
        <v>342726</v>
      </c>
      <c r="H60" s="411">
        <f t="shared" si="2"/>
        <v>-8.9476199413184077E-2</v>
      </c>
    </row>
    <row r="61" spans="1:8">
      <c r="A61" s="387">
        <f t="shared" si="0"/>
        <v>52</v>
      </c>
      <c r="B61" s="419" t="s">
        <v>132</v>
      </c>
      <c r="C61" s="400">
        <v>8.4</v>
      </c>
      <c r="D61" s="418">
        <f>'Total Adj'!AO$40</f>
        <v>0</v>
      </c>
      <c r="E61" s="415">
        <f>'Total Adj'!AO$67</f>
        <v>-293988.17735592474</v>
      </c>
      <c r="F61" s="409">
        <f t="shared" si="7"/>
        <v>-36687.494844410263</v>
      </c>
      <c r="G61" s="417">
        <v>-36687</v>
      </c>
      <c r="H61" s="411">
        <f t="shared" si="2"/>
        <v>-0.4948444102628855</v>
      </c>
    </row>
    <row r="62" spans="1:8">
      <c r="A62" s="387">
        <f t="shared" si="0"/>
        <v>53</v>
      </c>
      <c r="B62" s="419" t="s">
        <v>343</v>
      </c>
      <c r="C62" s="400">
        <v>8.5</v>
      </c>
      <c r="D62" s="418">
        <f>'Total Adj'!AP$40</f>
        <v>17990.552799178593</v>
      </c>
      <c r="E62" s="415">
        <f>'Total Adj'!AP$67</f>
        <v>-423015.57377275266</v>
      </c>
      <c r="F62" s="409">
        <f t="shared" si="7"/>
        <v>-81795.395593875903</v>
      </c>
      <c r="G62" s="417">
        <v>-81795</v>
      </c>
      <c r="H62" s="411">
        <f t="shared" si="2"/>
        <v>-0.39559387590270489</v>
      </c>
    </row>
    <row r="63" spans="1:8">
      <c r="A63" s="387">
        <f t="shared" si="0"/>
        <v>54</v>
      </c>
      <c r="B63" s="407" t="s">
        <v>382</v>
      </c>
      <c r="C63" s="400">
        <v>8.6</v>
      </c>
      <c r="D63" s="418">
        <f>'Total Adj'!AQ$40</f>
        <v>0</v>
      </c>
      <c r="E63" s="415">
        <f>'Total Adj'!AQ$67</f>
        <v>-17300210.276439257</v>
      </c>
      <c r="F63" s="409">
        <f t="shared" si="7"/>
        <v>-2158935.0328046023</v>
      </c>
      <c r="G63" s="420">
        <v>-2158935</v>
      </c>
      <c r="H63" s="411">
        <f>+F63-G63</f>
        <v>-3.2804602291435003E-2</v>
      </c>
    </row>
    <row r="64" spans="1:8">
      <c r="A64" s="387">
        <f t="shared" si="0"/>
        <v>55</v>
      </c>
      <c r="B64" s="407" t="s">
        <v>383</v>
      </c>
      <c r="C64" s="400" t="s">
        <v>245</v>
      </c>
      <c r="D64" s="418">
        <f>'Total Adj'!AR$40</f>
        <v>0</v>
      </c>
      <c r="E64" s="415">
        <f>'Total Adj'!AR$67</f>
        <v>-3225575.8254245874</v>
      </c>
      <c r="F64" s="409">
        <f t="shared" si="7"/>
        <v>-402527.39933228493</v>
      </c>
      <c r="G64" s="420">
        <v>-402527</v>
      </c>
      <c r="H64" s="411">
        <f>+F64-G64</f>
        <v>-0.39933228492736816</v>
      </c>
    </row>
    <row r="65" spans="1:8">
      <c r="A65" s="387">
        <f t="shared" si="0"/>
        <v>56</v>
      </c>
      <c r="B65" s="407" t="s">
        <v>383</v>
      </c>
      <c r="C65" s="387" t="s">
        <v>247</v>
      </c>
      <c r="D65" s="418">
        <f>'Total Adj'!AS$40</f>
        <v>-71784.749346106531</v>
      </c>
      <c r="E65" s="415">
        <f>'Total Adj'!AS$67</f>
        <v>0</v>
      </c>
      <c r="F65" s="409">
        <f t="shared" si="7"/>
        <v>115738.91837883776</v>
      </c>
      <c r="G65" s="421">
        <v>115739</v>
      </c>
      <c r="H65" s="411">
        <f>+F65-G65</f>
        <v>-8.162116224411875E-2</v>
      </c>
    </row>
    <row r="66" spans="1:8">
      <c r="A66" s="387">
        <f t="shared" si="0"/>
        <v>57</v>
      </c>
      <c r="B66" s="407" t="s">
        <v>137</v>
      </c>
      <c r="C66" s="400">
        <v>8.6999999999999993</v>
      </c>
      <c r="D66" s="418">
        <f>'Total Adj'!AT$40</f>
        <v>299506.03828321683</v>
      </c>
      <c r="E66" s="415">
        <f>'Total Adj'!AT$67</f>
        <v>-315733.83958087338</v>
      </c>
      <c r="F66" s="409">
        <f t="shared" si="7"/>
        <v>-522296.30534926796</v>
      </c>
      <c r="G66" s="417">
        <v>-522296</v>
      </c>
      <c r="H66" s="411">
        <f t="shared" si="2"/>
        <v>-0.30534926796099171</v>
      </c>
    </row>
    <row r="67" spans="1:8">
      <c r="A67" s="387">
        <f t="shared" si="0"/>
        <v>58</v>
      </c>
      <c r="B67" s="388" t="s">
        <v>384</v>
      </c>
      <c r="C67" s="422">
        <v>8.8000000000000007</v>
      </c>
      <c r="D67" s="418">
        <f>'Total Adj'!AU$40</f>
        <v>-1935442.56</v>
      </c>
      <c r="E67" s="415">
        <f>'Total Adj'!AU$67</f>
        <v>-1356953.3966253332</v>
      </c>
      <c r="F67" s="409">
        <f t="shared" si="7"/>
        <v>2951186.4422894721</v>
      </c>
      <c r="G67" s="417">
        <v>2951186</v>
      </c>
      <c r="H67" s="411">
        <f t="shared" si="2"/>
        <v>0.44228947209194303</v>
      </c>
    </row>
    <row r="68" spans="1:8">
      <c r="A68" s="387">
        <f t="shared" si="0"/>
        <v>59</v>
      </c>
      <c r="B68" s="407" t="s">
        <v>385</v>
      </c>
      <c r="C68" s="422">
        <v>8.9</v>
      </c>
      <c r="D68" s="418">
        <f>'Total Adj'!AV$40</f>
        <v>166473.91694577364</v>
      </c>
      <c r="E68" s="415">
        <f>'Total Adj'!AV$67</f>
        <v>1078475.3317584428</v>
      </c>
      <c r="F68" s="409">
        <f t="shared" si="7"/>
        <v>-133821.20546840716</v>
      </c>
      <c r="G68" s="417">
        <v>-133821</v>
      </c>
      <c r="H68" s="411">
        <f>+F68-G68</f>
        <v>-0.20546840716269799</v>
      </c>
    </row>
    <row r="69" spans="1:8">
      <c r="A69" s="387">
        <f t="shared" si="0"/>
        <v>60</v>
      </c>
      <c r="B69" s="407" t="s">
        <v>386</v>
      </c>
      <c r="C69" s="405" t="s">
        <v>275</v>
      </c>
      <c r="D69" s="418">
        <f>'Total Adj'!AW$40</f>
        <v>59960.22929765837</v>
      </c>
      <c r="E69" s="415">
        <f>'Total Adj'!AW$67</f>
        <v>-36215.42239254131</v>
      </c>
      <c r="F69" s="409">
        <f t="shared" si="7"/>
        <v>-101193.59429702058</v>
      </c>
      <c r="G69" s="417">
        <v>-101194</v>
      </c>
      <c r="H69" s="411">
        <f>+F69-G69</f>
        <v>0.40570297942031175</v>
      </c>
    </row>
    <row r="70" spans="1:8">
      <c r="A70" s="387">
        <f>+A69+1</f>
        <v>61</v>
      </c>
      <c r="B70" s="423" t="s">
        <v>387</v>
      </c>
      <c r="C70" s="407" t="s">
        <v>312</v>
      </c>
      <c r="D70" s="424">
        <f>'Total Adj'!AX40+'Total Adj'!AY40</f>
        <v>1779257.7897174992</v>
      </c>
      <c r="E70" s="425">
        <f>'Total Adj'!AX67+'Total Adj'!AY67</f>
        <v>-8024550.6501878975</v>
      </c>
      <c r="F70" s="409">
        <f>(-+D70+(E70*$E$85))/$G$75</f>
        <v>-3870109.4917079834</v>
      </c>
      <c r="G70" s="417">
        <v>-3995477</v>
      </c>
      <c r="H70" s="426">
        <f>+F70-G70</f>
        <v>125367.50829201657</v>
      </c>
    </row>
    <row r="71" spans="1:8" ht="16.5" thickBot="1">
      <c r="A71" s="387">
        <f t="shared" ref="A71:A86" si="8">+A70+1</f>
        <v>62</v>
      </c>
      <c r="B71" s="427"/>
      <c r="C71" s="405"/>
      <c r="D71" s="428">
        <f>SUM(D13:D70)</f>
        <v>19232684.497932471</v>
      </c>
      <c r="E71" s="428">
        <f t="shared" ref="E71:H71" si="9">SUM(E13:E70)</f>
        <v>-7014936.016193049</v>
      </c>
      <c r="F71" s="428">
        <f t="shared" si="9"/>
        <v>-31884366.356973723</v>
      </c>
      <c r="G71" s="428">
        <f t="shared" si="9"/>
        <v>-18129429.376732297</v>
      </c>
      <c r="H71" s="428">
        <f t="shared" si="9"/>
        <v>-13754936.980241429</v>
      </c>
    </row>
    <row r="72" spans="1:8" ht="16.5" thickTop="1">
      <c r="A72" s="387">
        <f t="shared" si="8"/>
        <v>63</v>
      </c>
      <c r="C72" s="388"/>
      <c r="G72" s="388"/>
      <c r="H72" s="426"/>
    </row>
    <row r="73" spans="1:8">
      <c r="A73" s="387">
        <f t="shared" si="8"/>
        <v>64</v>
      </c>
      <c r="B73" s="429" t="s">
        <v>388</v>
      </c>
      <c r="C73" s="430"/>
      <c r="D73" s="431">
        <f>D10+D71</f>
        <v>58589352.461840548</v>
      </c>
      <c r="E73" s="431">
        <f>E10+E71</f>
        <v>750495840.50636196</v>
      </c>
      <c r="F73" s="431">
        <f>F10+F71</f>
        <v>-807723.59713031724</v>
      </c>
      <c r="G73" s="431">
        <f>G10+G71</f>
        <v>12947213.623267703</v>
      </c>
      <c r="H73" s="431">
        <f>H10+H71</f>
        <v>-13754937.220398024</v>
      </c>
    </row>
    <row r="74" spans="1:8">
      <c r="A74" s="387">
        <f t="shared" si="8"/>
        <v>65</v>
      </c>
      <c r="B74" s="407"/>
      <c r="E74" s="432"/>
      <c r="F74" s="433"/>
      <c r="G74" s="416"/>
      <c r="H74" s="434"/>
    </row>
    <row r="75" spans="1:8">
      <c r="A75" s="387">
        <f t="shared" si="8"/>
        <v>66</v>
      </c>
      <c r="B75" s="407" t="s">
        <v>389</v>
      </c>
      <c r="D75" s="413"/>
      <c r="G75" s="435">
        <f>gross_up_factor</f>
        <v>0.62022999999999995</v>
      </c>
    </row>
    <row r="76" spans="1:8">
      <c r="A76" s="387">
        <f t="shared" si="8"/>
        <v>67</v>
      </c>
      <c r="B76" s="407" t="s">
        <v>390</v>
      </c>
      <c r="D76" s="413"/>
      <c r="F76" s="436">
        <f>+F73/[4]RevReqSummary!E9</f>
        <v>-2.6640545329993338E-3</v>
      </c>
      <c r="G76" s="436"/>
      <c r="H76" s="434"/>
    </row>
    <row r="77" spans="1:8" ht="16.5" thickBot="1">
      <c r="A77" s="387">
        <f t="shared" si="8"/>
        <v>68</v>
      </c>
      <c r="B77" s="437"/>
      <c r="C77" s="438"/>
      <c r="D77" s="439"/>
      <c r="E77" s="439"/>
      <c r="F77" s="440"/>
      <c r="G77" s="440"/>
      <c r="H77" s="441"/>
    </row>
    <row r="78" spans="1:8" ht="16.5" hidden="1" thickTop="1">
      <c r="A78" s="387">
        <f t="shared" si="8"/>
        <v>69</v>
      </c>
      <c r="B78" s="442"/>
      <c r="D78" s="387"/>
      <c r="E78" s="387"/>
      <c r="F78" s="387"/>
      <c r="G78" s="395"/>
      <c r="H78" s="432"/>
    </row>
    <row r="79" spans="1:8" ht="16.5" hidden="1" thickTop="1">
      <c r="A79" s="387">
        <f t="shared" si="8"/>
        <v>70</v>
      </c>
      <c r="C79" s="388"/>
      <c r="G79" s="388"/>
    </row>
    <row r="80" spans="1:8" ht="16.5" hidden="1" thickTop="1">
      <c r="A80" s="387">
        <f t="shared" si="8"/>
        <v>71</v>
      </c>
      <c r="B80" s="442" t="s">
        <v>391</v>
      </c>
      <c r="D80" s="387" t="s">
        <v>399</v>
      </c>
      <c r="E80" s="387" t="s">
        <v>399</v>
      </c>
      <c r="G80" s="395" t="s">
        <v>392</v>
      </c>
      <c r="H80" s="387" t="s">
        <v>392</v>
      </c>
    </row>
    <row r="81" spans="1:8" ht="16.5" hidden="1" thickTop="1">
      <c r="A81" s="387">
        <f t="shared" si="8"/>
        <v>72</v>
      </c>
      <c r="B81" s="443" t="s">
        <v>393</v>
      </c>
      <c r="D81" s="444">
        <v>0.50600000000000001</v>
      </c>
      <c r="E81" s="445">
        <f>+'[4]cost of capital'!D9</f>
        <v>5.7599999999999998E-2</v>
      </c>
      <c r="G81" s="446">
        <v>0.50600000000000001</v>
      </c>
      <c r="H81" s="445">
        <f t="shared" ref="G81:H84" si="10">E81</f>
        <v>5.7599999999999998E-2</v>
      </c>
    </row>
    <row r="82" spans="1:8" s="458" customFormat="1" ht="16.5" hidden="1" thickTop="1">
      <c r="A82" s="387">
        <f t="shared" si="8"/>
        <v>73</v>
      </c>
      <c r="B82" s="419" t="s">
        <v>394</v>
      </c>
      <c r="C82" s="393"/>
      <c r="D82" s="444">
        <v>0</v>
      </c>
      <c r="E82" s="445">
        <f>+'[4]cost of capital'!D10</f>
        <v>0</v>
      </c>
      <c r="F82" s="388"/>
      <c r="G82" s="447">
        <f t="shared" si="10"/>
        <v>0</v>
      </c>
      <c r="H82" s="445">
        <f t="shared" si="10"/>
        <v>0</v>
      </c>
    </row>
    <row r="83" spans="1:8" s="458" customFormat="1" ht="16.5" hidden="1" thickTop="1">
      <c r="A83" s="387">
        <f t="shared" si="8"/>
        <v>74</v>
      </c>
      <c r="B83" s="443" t="s">
        <v>395</v>
      </c>
      <c r="C83" s="393"/>
      <c r="D83" s="444">
        <v>3.0000000000000001E-3</v>
      </c>
      <c r="E83" s="445">
        <f>+'[4]cost of capital'!D11</f>
        <v>5.4300000000000001E-2</v>
      </c>
      <c r="F83" s="388"/>
      <c r="G83" s="446">
        <v>3.0000000000000001E-3</v>
      </c>
      <c r="H83" s="445">
        <f t="shared" si="10"/>
        <v>5.4300000000000001E-2</v>
      </c>
    </row>
    <row r="84" spans="1:8" s="458" customFormat="1" ht="16.5" hidden="1" thickTop="1">
      <c r="A84" s="387">
        <f t="shared" si="8"/>
        <v>75</v>
      </c>
      <c r="B84" s="448" t="s">
        <v>396</v>
      </c>
      <c r="C84" s="393"/>
      <c r="D84" s="449">
        <v>0.49099999999999999</v>
      </c>
      <c r="E84" s="450">
        <f>+'[4]cost of capital'!D22</f>
        <v>9.8000000000000004E-2</v>
      </c>
      <c r="F84" s="388"/>
      <c r="G84" s="451">
        <v>0.49099999999999999</v>
      </c>
      <c r="H84" s="450">
        <f t="shared" si="10"/>
        <v>9.8000000000000004E-2</v>
      </c>
    </row>
    <row r="85" spans="1:8" s="458" customFormat="1" ht="16.5" hidden="1" thickTop="1">
      <c r="A85" s="387">
        <f t="shared" si="8"/>
        <v>76</v>
      </c>
      <c r="B85" s="452" t="s">
        <v>397</v>
      </c>
      <c r="C85" s="393"/>
      <c r="D85" s="453">
        <f>SUM(D81:D84)</f>
        <v>1</v>
      </c>
      <c r="E85" s="454">
        <f>'[4]cost of capital'!E13</f>
        <v>7.7399999999999997E-2</v>
      </c>
      <c r="F85" s="388"/>
      <c r="G85" s="455">
        <f>SUM(G81:G84)</f>
        <v>1</v>
      </c>
      <c r="H85" s="454">
        <f>$E$85</f>
        <v>7.7399999999999997E-2</v>
      </c>
    </row>
    <row r="86" spans="1:8" s="458" customFormat="1" ht="16.5" hidden="1" thickTop="1">
      <c r="A86" s="387">
        <f t="shared" si="8"/>
        <v>77</v>
      </c>
    </row>
    <row r="87" spans="1:8" ht="16.5" hidden="1" thickTop="1">
      <c r="B87" s="388" t="s">
        <v>398</v>
      </c>
    </row>
    <row r="88" spans="1:8" ht="16.5" hidden="1" thickTop="1"/>
    <row r="89" spans="1:8" ht="16.5" thickTop="1"/>
    <row r="91" spans="1:8">
      <c r="B91" s="459"/>
      <c r="C91" s="460"/>
      <c r="D91" s="459"/>
      <c r="E91" s="459"/>
      <c r="F91" s="459"/>
      <c r="G91" s="414"/>
      <c r="H91" s="459"/>
    </row>
    <row r="101" spans="2:2">
      <c r="B101" s="461"/>
    </row>
    <row r="103" spans="2:2">
      <c r="B103" s="462"/>
    </row>
    <row r="105" spans="2:2">
      <c r="B105" s="462"/>
    </row>
  </sheetData>
  <printOptions horizontalCentered="1"/>
  <pageMargins left="0.36" right="0.25" top="0.75" bottom="0.36" header="0.3" footer="0.17"/>
  <pageSetup scale="58" orientation="portrait" r:id="rId1"/>
</worksheet>
</file>

<file path=xl/worksheets/sheet4.xml><?xml version="1.0" encoding="utf-8"?>
<worksheet xmlns="http://schemas.openxmlformats.org/spreadsheetml/2006/main" xmlns:r="http://schemas.openxmlformats.org/officeDocument/2006/relationships">
  <sheetPr>
    <tabColor rgb="FFFFFF00"/>
    <pageSetUpPr fitToPage="1"/>
  </sheetPr>
  <dimension ref="A1:DH90"/>
  <sheetViews>
    <sheetView workbookViewId="0"/>
  </sheetViews>
  <sheetFormatPr defaultRowHeight="15.75"/>
  <cols>
    <col min="1" max="1" width="36" style="468" customWidth="1"/>
    <col min="2" max="3" width="20.7109375" style="462" customWidth="1"/>
    <col min="4" max="4" width="23.85546875" style="468" customWidth="1"/>
    <col min="5" max="16384" width="9.140625" style="462"/>
  </cols>
  <sheetData>
    <row r="1" spans="1:112">
      <c r="A1" s="464" t="s">
        <v>52</v>
      </c>
      <c r="B1" s="465"/>
      <c r="C1" s="465"/>
      <c r="D1" s="466"/>
    </row>
    <row r="2" spans="1:112" s="468" customFormat="1">
      <c r="A2" s="467" t="s">
        <v>225</v>
      </c>
      <c r="B2" s="466"/>
      <c r="C2" s="466"/>
      <c r="D2" s="466"/>
    </row>
    <row r="3" spans="1:112" s="468" customFormat="1">
      <c r="A3" s="464" t="s">
        <v>627</v>
      </c>
      <c r="B3" s="466"/>
      <c r="C3" s="466"/>
      <c r="D3" s="466"/>
    </row>
    <row r="4" spans="1:112" s="468" customFormat="1">
      <c r="A4" s="469"/>
    </row>
    <row r="5" spans="1:112" s="871" customFormat="1" ht="16.5" thickBot="1">
      <c r="B5" s="872"/>
      <c r="C5" s="872"/>
      <c r="D5" s="872"/>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c r="AL5" s="468"/>
      <c r="AM5" s="468"/>
      <c r="AN5" s="468"/>
      <c r="AO5" s="468"/>
      <c r="AP5" s="468"/>
      <c r="AQ5" s="468"/>
      <c r="AR5" s="468"/>
      <c r="AS5" s="468"/>
      <c r="AT5" s="468"/>
      <c r="AU5" s="468"/>
      <c r="AV5" s="468"/>
      <c r="AW5" s="468"/>
      <c r="AX5" s="468"/>
      <c r="AY5" s="468"/>
      <c r="AZ5" s="468"/>
      <c r="BA5" s="468"/>
      <c r="BB5" s="468"/>
      <c r="BC5" s="468"/>
      <c r="BD5" s="468"/>
      <c r="BE5" s="468"/>
      <c r="BF5" s="468"/>
      <c r="BG5" s="468"/>
      <c r="BH5" s="468"/>
      <c r="BI5" s="468"/>
      <c r="BJ5" s="468"/>
      <c r="BK5" s="468"/>
      <c r="BL5" s="468"/>
      <c r="BM5" s="468"/>
      <c r="BN5" s="468"/>
      <c r="BO5" s="468"/>
      <c r="BP5" s="468"/>
      <c r="BQ5" s="468"/>
      <c r="BR5" s="468"/>
      <c r="BS5" s="468"/>
      <c r="BT5" s="468"/>
      <c r="BU5" s="468"/>
      <c r="BV5" s="468"/>
      <c r="BW5" s="468"/>
      <c r="BX5" s="468"/>
      <c r="BY5" s="468"/>
      <c r="BZ5" s="468"/>
      <c r="CA5" s="468"/>
      <c r="CB5" s="468"/>
      <c r="CC5" s="468"/>
      <c r="CD5" s="468"/>
      <c r="CE5" s="468"/>
      <c r="CF5" s="468"/>
      <c r="CG5" s="468"/>
      <c r="CH5" s="468"/>
      <c r="CI5" s="468"/>
      <c r="CJ5" s="468"/>
      <c r="CK5" s="468"/>
      <c r="CL5" s="468"/>
      <c r="CM5" s="468"/>
      <c r="CN5" s="468"/>
      <c r="CO5" s="468"/>
      <c r="CP5" s="468"/>
      <c r="CQ5" s="468"/>
      <c r="CR5" s="468"/>
      <c r="CS5" s="468"/>
      <c r="CT5" s="468"/>
      <c r="CU5" s="468"/>
      <c r="CV5" s="468"/>
      <c r="CW5" s="468"/>
      <c r="CX5" s="468"/>
      <c r="CY5" s="468"/>
      <c r="CZ5" s="468"/>
      <c r="DA5" s="468"/>
      <c r="DB5" s="468"/>
      <c r="DC5" s="468"/>
      <c r="DD5" s="468"/>
      <c r="DE5" s="468"/>
      <c r="DF5" s="468"/>
      <c r="DG5" s="468"/>
      <c r="DH5" s="468"/>
    </row>
    <row r="6" spans="1:112" s="494" customFormat="1" ht="75.75" customHeight="1">
      <c r="A6" s="489" t="s">
        <v>400</v>
      </c>
      <c r="B6" s="490" t="s">
        <v>401</v>
      </c>
      <c r="C6" s="873" t="s">
        <v>625</v>
      </c>
      <c r="D6" s="492" t="s">
        <v>626</v>
      </c>
    </row>
    <row r="7" spans="1:112">
      <c r="A7" s="482"/>
      <c r="B7" s="495"/>
      <c r="C7" s="502"/>
      <c r="D7" s="497"/>
    </row>
    <row r="8" spans="1:112">
      <c r="A8" s="501" t="s">
        <v>56</v>
      </c>
      <c r="B8" s="502"/>
      <c r="C8" s="502"/>
      <c r="D8" s="497"/>
    </row>
    <row r="9" spans="1:112">
      <c r="A9" s="501" t="s">
        <v>57</v>
      </c>
      <c r="B9" s="503">
        <f>SUM(C9:D9)</f>
        <v>13055703.999999991</v>
      </c>
      <c r="C9" s="503">
        <f>'ICNU Adj Summary'!C12+'ICNU Adj Summary'!F12</f>
        <v>13055703.999999991</v>
      </c>
      <c r="D9" s="505">
        <f>'ICNU Adj Summary'!D12+'ICNU Adj Summary'!E12+'ICNU Adj Summary'!G12+'ICNU Adj Summary'!H12+'ICNU Adj Summary'!I12+'ICNU Adj Summary'!J12+'ICNU Adj Summary'!K12</f>
        <v>0</v>
      </c>
    </row>
    <row r="10" spans="1:112">
      <c r="A10" s="501" t="s">
        <v>58</v>
      </c>
      <c r="B10" s="503">
        <f>SUM(C10:D10)</f>
        <v>0</v>
      </c>
      <c r="C10" s="503">
        <f>'ICNU Adj Summary'!C13+'ICNU Adj Summary'!F13</f>
        <v>0</v>
      </c>
      <c r="D10" s="505">
        <f>'ICNU Adj Summary'!D13+'ICNU Adj Summary'!E13+'ICNU Adj Summary'!G13+'ICNU Adj Summary'!H13+'ICNU Adj Summary'!I13+'ICNU Adj Summary'!J13+'ICNU Adj Summary'!K13</f>
        <v>0</v>
      </c>
    </row>
    <row r="11" spans="1:112">
      <c r="A11" s="501" t="s">
        <v>59</v>
      </c>
      <c r="B11" s="503">
        <f>SUM(C11:D11)</f>
        <v>-33733520.419695824</v>
      </c>
      <c r="C11" s="503">
        <f>'ICNU Adj Summary'!C14+'ICNU Adj Summary'!F14</f>
        <v>0</v>
      </c>
      <c r="D11" s="505">
        <f>'ICNU Adj Summary'!D14+'ICNU Adj Summary'!E14+'ICNU Adj Summary'!G14+'ICNU Adj Summary'!H14+'ICNU Adj Summary'!I14+'ICNU Adj Summary'!J14+'ICNU Adj Summary'!K14</f>
        <v>-33733520.419695824</v>
      </c>
    </row>
    <row r="12" spans="1:112">
      <c r="A12" s="501" t="s">
        <v>60</v>
      </c>
      <c r="B12" s="503">
        <f>SUM(C12:D12)</f>
        <v>1849878.7610199391</v>
      </c>
      <c r="C12" s="503">
        <f>'ICNU Adj Summary'!C15+'ICNU Adj Summary'!F15</f>
        <v>0</v>
      </c>
      <c r="D12" s="505">
        <f>'ICNU Adj Summary'!D15+'ICNU Adj Summary'!E15+'ICNU Adj Summary'!G15+'ICNU Adj Summary'!H15+'ICNU Adj Summary'!I15+'ICNU Adj Summary'!J15+'ICNU Adj Summary'!K15</f>
        <v>1849878.7610199391</v>
      </c>
    </row>
    <row r="13" spans="1:112">
      <c r="A13" s="508" t="s">
        <v>61</v>
      </c>
      <c r="B13" s="509">
        <f>SUM(C13:D13)</f>
        <v>-18827937.658675894</v>
      </c>
      <c r="C13" s="509">
        <f t="shared" ref="C13:D13" si="0">SUM(C9:C12)</f>
        <v>13055703.999999991</v>
      </c>
      <c r="D13" s="511">
        <f t="shared" si="0"/>
        <v>-31883641.658675887</v>
      </c>
    </row>
    <row r="14" spans="1:112">
      <c r="A14" s="501"/>
      <c r="B14" s="502"/>
      <c r="C14" s="502"/>
      <c r="D14" s="497"/>
    </row>
    <row r="15" spans="1:112">
      <c r="A15" s="501" t="s">
        <v>62</v>
      </c>
      <c r="B15" s="502"/>
      <c r="C15" s="502"/>
      <c r="D15" s="497"/>
    </row>
    <row r="16" spans="1:112">
      <c r="A16" s="501" t="s">
        <v>63</v>
      </c>
      <c r="B16" s="503">
        <f>SUM(C16:D16)</f>
        <v>1407801.9860914284</v>
      </c>
      <c r="C16" s="503">
        <f>'ICNU Adj Summary'!C19+'ICNU Adj Summary'!F19</f>
        <v>0</v>
      </c>
      <c r="D16" s="505">
        <f>'ICNU Adj Summary'!D19+'ICNU Adj Summary'!E19+'ICNU Adj Summary'!G19+'ICNU Adj Summary'!H19+'ICNU Adj Summary'!I19+'ICNU Adj Summary'!J19+'ICNU Adj Summary'!K19</f>
        <v>1407801.9860914284</v>
      </c>
    </row>
    <row r="17" spans="1:4">
      <c r="A17" s="501" t="s">
        <v>64</v>
      </c>
      <c r="B17" s="503">
        <f>SUM(C17:D17)</f>
        <v>0</v>
      </c>
      <c r="C17" s="503">
        <f>'ICNU Adj Summary'!C20+'ICNU Adj Summary'!F20</f>
        <v>0</v>
      </c>
      <c r="D17" s="505">
        <f>'ICNU Adj Summary'!D20+'ICNU Adj Summary'!E20+'ICNU Adj Summary'!G20+'ICNU Adj Summary'!H20+'ICNU Adj Summary'!I20+'ICNU Adj Summary'!J20+'ICNU Adj Summary'!K20</f>
        <v>0</v>
      </c>
    </row>
    <row r="18" spans="1:4">
      <c r="A18" s="501" t="s">
        <v>65</v>
      </c>
      <c r="B18" s="503">
        <f>SUM(C18:D18)</f>
        <v>-121903.35511594545</v>
      </c>
      <c r="C18" s="503">
        <f>'ICNU Adj Summary'!C21+'ICNU Adj Summary'!F21</f>
        <v>0</v>
      </c>
      <c r="D18" s="505">
        <f>'ICNU Adj Summary'!D21+'ICNU Adj Summary'!E21+'ICNU Adj Summary'!G21+'ICNU Adj Summary'!H21+'ICNU Adj Summary'!I21+'ICNU Adj Summary'!J21+'ICNU Adj Summary'!K21</f>
        <v>-121903.35511594545</v>
      </c>
    </row>
    <row r="19" spans="1:4">
      <c r="A19" s="501" t="s">
        <v>66</v>
      </c>
      <c r="B19" s="503">
        <f>SUM(C19:D19)</f>
        <v>-19995413.363707144</v>
      </c>
      <c r="C19" s="503">
        <f>'ICNU Adj Summary'!C22+'ICNU Adj Summary'!F22</f>
        <v>0</v>
      </c>
      <c r="D19" s="505">
        <f>'ICNU Adj Summary'!D22+'ICNU Adj Summary'!E22+'ICNU Adj Summary'!G22+'ICNU Adj Summary'!H22+'ICNU Adj Summary'!I22+'ICNU Adj Summary'!J22+'ICNU Adj Summary'!K22</f>
        <v>-19995413.363707144</v>
      </c>
    </row>
    <row r="20" spans="1:4">
      <c r="A20" s="501" t="s">
        <v>67</v>
      </c>
      <c r="B20" s="503">
        <f>SUM(C20:D20)</f>
        <v>-3829777.6635958022</v>
      </c>
      <c r="C20" s="503">
        <f>'ICNU Adj Summary'!C23+'ICNU Adj Summary'!F23</f>
        <v>-15.025190816493238</v>
      </c>
      <c r="D20" s="505">
        <f>'ICNU Adj Summary'!D23+'ICNU Adj Summary'!E23+'ICNU Adj Summary'!G23+'ICNU Adj Summary'!H23+'ICNU Adj Summary'!I23+'ICNU Adj Summary'!J23+'ICNU Adj Summary'!K23</f>
        <v>-3829762.6384049859</v>
      </c>
    </row>
    <row r="21" spans="1:4">
      <c r="A21" s="501" t="s">
        <v>68</v>
      </c>
      <c r="B21" s="503">
        <f>SUM(C21:D21)</f>
        <v>365573.11663005734</v>
      </c>
      <c r="C21" s="503">
        <f>'ICNU Adj Summary'!C24+'ICNU Adj Summary'!F24</f>
        <v>-47.568757706145263</v>
      </c>
      <c r="D21" s="505">
        <f>'ICNU Adj Summary'!D24+'ICNU Adj Summary'!E24+'ICNU Adj Summary'!G24+'ICNU Adj Summary'!H24+'ICNU Adj Summary'!I24+'ICNU Adj Summary'!J24+'ICNU Adj Summary'!K24</f>
        <v>365620.68538776349</v>
      </c>
    </row>
    <row r="22" spans="1:4">
      <c r="A22" s="501" t="s">
        <v>69</v>
      </c>
      <c r="B22" s="503">
        <f>SUM(C22:D22)</f>
        <v>-1001.831242912659</v>
      </c>
      <c r="C22" s="503">
        <f>'ICNU Adj Summary'!C25+'ICNU Adj Summary'!F25</f>
        <v>-1001.831242912659</v>
      </c>
      <c r="D22" s="505">
        <f>'ICNU Adj Summary'!D25+'ICNU Adj Summary'!E25+'ICNU Adj Summary'!G25+'ICNU Adj Summary'!H25+'ICNU Adj Summary'!I25+'ICNU Adj Summary'!J25+'ICNU Adj Summary'!K25</f>
        <v>0</v>
      </c>
    </row>
    <row r="23" spans="1:4">
      <c r="A23" s="501" t="s">
        <v>70</v>
      </c>
      <c r="B23" s="503">
        <f>SUM(C23:D23)</f>
        <v>247.08719192707974</v>
      </c>
      <c r="C23" s="503">
        <f>'ICNU Adj Summary'!C26+'ICNU Adj Summary'!F26</f>
        <v>247.08719192707974</v>
      </c>
      <c r="D23" s="505">
        <f>'ICNU Adj Summary'!D26+'ICNU Adj Summary'!E26+'ICNU Adj Summary'!G26+'ICNU Adj Summary'!H26+'ICNU Adj Summary'!I26+'ICNU Adj Summary'!J26+'ICNU Adj Summary'!K26</f>
        <v>0</v>
      </c>
    </row>
    <row r="24" spans="1:4">
      <c r="A24" s="501" t="s">
        <v>71</v>
      </c>
      <c r="B24" s="503">
        <f>SUM(C24:D24)</f>
        <v>0</v>
      </c>
      <c r="C24" s="503">
        <f>'ICNU Adj Summary'!C27+'ICNU Adj Summary'!F27</f>
        <v>0</v>
      </c>
      <c r="D24" s="505">
        <f>'ICNU Adj Summary'!D27+'ICNU Adj Summary'!E27+'ICNU Adj Summary'!G27+'ICNU Adj Summary'!H27+'ICNU Adj Summary'!I27+'ICNU Adj Summary'!J27+'ICNU Adj Summary'!K27</f>
        <v>0</v>
      </c>
    </row>
    <row r="25" spans="1:4">
      <c r="A25" s="501" t="s">
        <v>72</v>
      </c>
      <c r="B25" s="503">
        <f>SUM(C25:D25)</f>
        <v>-898647.80889006297</v>
      </c>
      <c r="C25" s="503">
        <f>'ICNU Adj Summary'!C28+'ICNU Adj Summary'!F28</f>
        <v>-131528.98019489166</v>
      </c>
      <c r="D25" s="505">
        <f>'ICNU Adj Summary'!D28+'ICNU Adj Summary'!E28+'ICNU Adj Summary'!G28+'ICNU Adj Summary'!H28+'ICNU Adj Summary'!I28+'ICNU Adj Summary'!J28+'ICNU Adj Summary'!K28</f>
        <v>-767118.82869517128</v>
      </c>
    </row>
    <row r="26" spans="1:4">
      <c r="A26" s="501" t="s">
        <v>73</v>
      </c>
      <c r="B26" s="513">
        <f>SUM(C26:D26)</f>
        <v>-23073121.832638457</v>
      </c>
      <c r="C26" s="513">
        <f t="shared" ref="C26:D26" si="1">SUM(C16:C25)</f>
        <v>-132346.31819439988</v>
      </c>
      <c r="D26" s="515">
        <f t="shared" si="1"/>
        <v>-22940775.514444057</v>
      </c>
    </row>
    <row r="27" spans="1:4">
      <c r="A27" s="501" t="s">
        <v>74</v>
      </c>
      <c r="B27" s="503">
        <f>SUM(C27:D27)</f>
        <v>-299560.07775915402</v>
      </c>
      <c r="C27" s="503">
        <f>'ICNU Adj Summary'!C30+'ICNU Adj Summary'!F30</f>
        <v>0</v>
      </c>
      <c r="D27" s="505">
        <f>'ICNU Adj Summary'!D30+'ICNU Adj Summary'!E30+'ICNU Adj Summary'!G30+'ICNU Adj Summary'!H30+'ICNU Adj Summary'!I30+'ICNU Adj Summary'!J30+'ICNU Adj Summary'!K30</f>
        <v>-299560.07775915402</v>
      </c>
    </row>
    <row r="28" spans="1:4">
      <c r="A28" s="501" t="s">
        <v>75</v>
      </c>
      <c r="B28" s="503">
        <f>SUM(C28:D28)</f>
        <v>0</v>
      </c>
      <c r="C28" s="503">
        <f>'ICNU Adj Summary'!C31+'ICNU Adj Summary'!F31</f>
        <v>0</v>
      </c>
      <c r="D28" s="505">
        <f>'ICNU Adj Summary'!D31+'ICNU Adj Summary'!E31+'ICNU Adj Summary'!G31+'ICNU Adj Summary'!H31+'ICNU Adj Summary'!I31+'ICNU Adj Summary'!J31+'ICNU Adj Summary'!K31</f>
        <v>0</v>
      </c>
    </row>
    <row r="29" spans="1:4">
      <c r="A29" s="501" t="s">
        <v>76</v>
      </c>
      <c r="B29" s="503">
        <f>SUM(C29:D29)</f>
        <v>0</v>
      </c>
      <c r="C29" s="503">
        <f>'ICNU Adj Summary'!C32+'ICNU Adj Summary'!F32</f>
        <v>0</v>
      </c>
      <c r="D29" s="505">
        <f>'ICNU Adj Summary'!D32+'ICNU Adj Summary'!E32+'ICNU Adj Summary'!G32+'ICNU Adj Summary'!H32+'ICNU Adj Summary'!I32+'ICNU Adj Summary'!J32+'ICNU Adj Summary'!K32</f>
        <v>0</v>
      </c>
    </row>
    <row r="30" spans="1:4">
      <c r="A30" s="501" t="s">
        <v>77</v>
      </c>
      <c r="B30" s="503">
        <f>SUM(C30:D30)</f>
        <v>1276961.8346188236</v>
      </c>
      <c r="C30" s="503">
        <f>'ICNU Adj Summary'!C33+'ICNU Adj Summary'!F33</f>
        <v>3938347.8113680365</v>
      </c>
      <c r="D30" s="505">
        <f>'ICNU Adj Summary'!D33+'ICNU Adj Summary'!E33+'ICNU Adj Summary'!G33+'ICNU Adj Summary'!H33+'ICNU Adj Summary'!I33+'ICNU Adj Summary'!J33+'ICNU Adj Summary'!K33</f>
        <v>-2661385.9767492129</v>
      </c>
    </row>
    <row r="31" spans="1:4">
      <c r="A31" s="501" t="s">
        <v>78</v>
      </c>
      <c r="B31" s="503">
        <f>SUM(C31:D31)</f>
        <v>0</v>
      </c>
      <c r="C31" s="503">
        <f>'ICNU Adj Summary'!C34+'ICNU Adj Summary'!F34</f>
        <v>0</v>
      </c>
      <c r="D31" s="505">
        <f>'ICNU Adj Summary'!D34+'ICNU Adj Summary'!E34+'ICNU Adj Summary'!G34+'ICNU Adj Summary'!H34+'ICNU Adj Summary'!I34+'ICNU Adj Summary'!J34+'ICNU Adj Summary'!K34</f>
        <v>0</v>
      </c>
    </row>
    <row r="32" spans="1:4">
      <c r="A32" s="501" t="s">
        <v>79</v>
      </c>
      <c r="B32" s="503">
        <f>SUM(C32:D32)</f>
        <v>0</v>
      </c>
      <c r="C32" s="503">
        <f>'ICNU Adj Summary'!C35+'ICNU Adj Summary'!F35</f>
        <v>0</v>
      </c>
      <c r="D32" s="505">
        <f>'ICNU Adj Summary'!D35+'ICNU Adj Summary'!E35+'ICNU Adj Summary'!G35+'ICNU Adj Summary'!H35+'ICNU Adj Summary'!I35+'ICNU Adj Summary'!J35+'ICNU Adj Summary'!K35</f>
        <v>0</v>
      </c>
    </row>
    <row r="33" spans="1:4" ht="11.25" customHeight="1">
      <c r="A33" s="501" t="s">
        <v>80</v>
      </c>
      <c r="B33" s="503">
        <f>SUM(C33:D33)</f>
        <v>0</v>
      </c>
      <c r="C33" s="503">
        <f>'ICNU Adj Summary'!C36+'ICNU Adj Summary'!F36</f>
        <v>0</v>
      </c>
      <c r="D33" s="505">
        <f>'ICNU Adj Summary'!D36+'ICNU Adj Summary'!E36+'ICNU Adj Summary'!G36+'ICNU Adj Summary'!H36+'ICNU Adj Summary'!I36+'ICNU Adj Summary'!J36+'ICNU Adj Summary'!K36</f>
        <v>0</v>
      </c>
    </row>
    <row r="34" spans="1:4">
      <c r="A34" s="501" t="s">
        <v>81</v>
      </c>
      <c r="B34" s="503">
        <f>SUM(C34:D34)</f>
        <v>15951.581451000529</v>
      </c>
      <c r="C34" s="503">
        <f>'ICNU Adj Summary'!C37+'ICNU Adj Summary'!F37</f>
        <v>0</v>
      </c>
      <c r="D34" s="505">
        <f>'ICNU Adj Summary'!D37+'ICNU Adj Summary'!E37+'ICNU Adj Summary'!G37+'ICNU Adj Summary'!H37+'ICNU Adj Summary'!I37+'ICNU Adj Summary'!J37+'ICNU Adj Summary'!K37</f>
        <v>15951.581451000529</v>
      </c>
    </row>
    <row r="35" spans="1:4">
      <c r="A35" s="501" t="s">
        <v>82</v>
      </c>
      <c r="B35" s="509">
        <f>SUM(C35:D35)</f>
        <v>-22079768.494327787</v>
      </c>
      <c r="C35" s="509">
        <f t="shared" ref="C35:D35" si="2">SUM(C26:C34)</f>
        <v>3806001.4931736365</v>
      </c>
      <c r="D35" s="511">
        <f t="shared" si="2"/>
        <v>-25885769.987501424</v>
      </c>
    </row>
    <row r="36" spans="1:4">
      <c r="A36" s="517"/>
      <c r="B36" s="502">
        <f>SUM(C36:D36)</f>
        <v>0</v>
      </c>
      <c r="C36" s="502"/>
      <c r="D36" s="497"/>
    </row>
    <row r="37" spans="1:4" ht="16.5" thickBot="1">
      <c r="A37" s="518" t="s">
        <v>83</v>
      </c>
      <c r="B37" s="519">
        <f>SUM(C37:D37)</f>
        <v>3251830.8356518913</v>
      </c>
      <c r="C37" s="519">
        <f t="shared" ref="C37:D37" si="3">C13-C35</f>
        <v>9249702.5068263542</v>
      </c>
      <c r="D37" s="521">
        <f t="shared" si="3"/>
        <v>-5997871.6711744629</v>
      </c>
    </row>
    <row r="38" spans="1:4" ht="16.5" thickTop="1">
      <c r="A38" s="501"/>
      <c r="B38" s="502"/>
      <c r="C38" s="502"/>
      <c r="D38" s="497"/>
    </row>
    <row r="39" spans="1:4">
      <c r="A39" s="501" t="s">
        <v>84</v>
      </c>
      <c r="B39" s="502"/>
      <c r="C39" s="502"/>
      <c r="D39" s="497"/>
    </row>
    <row r="40" spans="1:4">
      <c r="A40" s="501" t="s">
        <v>85</v>
      </c>
      <c r="B40" s="503">
        <f>SUM(C40:D40)</f>
        <v>-12145577.937201677</v>
      </c>
      <c r="C40" s="503">
        <f>'ICNU Adj Summary'!C43+'ICNU Adj Summary'!F43</f>
        <v>0</v>
      </c>
      <c r="D40" s="505">
        <f>'ICNU Adj Summary'!D43+'ICNU Adj Summary'!E43+'ICNU Adj Summary'!G43+'ICNU Adj Summary'!H43+'ICNU Adj Summary'!I43+'ICNU Adj Summary'!J43+'ICNU Adj Summary'!K43</f>
        <v>-12145577.937201677</v>
      </c>
    </row>
    <row r="41" spans="1:4">
      <c r="A41" s="501" t="s">
        <v>86</v>
      </c>
      <c r="B41" s="503">
        <f>SUM(C41:D41)</f>
        <v>0</v>
      </c>
      <c r="C41" s="503">
        <f>'ICNU Adj Summary'!C44+'ICNU Adj Summary'!F44</f>
        <v>0</v>
      </c>
      <c r="D41" s="505">
        <f>'ICNU Adj Summary'!D44+'ICNU Adj Summary'!E44+'ICNU Adj Summary'!G44+'ICNU Adj Summary'!H44+'ICNU Adj Summary'!I44+'ICNU Adj Summary'!J44+'ICNU Adj Summary'!K44</f>
        <v>0</v>
      </c>
    </row>
    <row r="42" spans="1:4">
      <c r="A42" s="501" t="s">
        <v>87</v>
      </c>
      <c r="B42" s="503">
        <f>SUM(C42:D42)</f>
        <v>-6730.423763757688</v>
      </c>
      <c r="C42" s="503">
        <f>'ICNU Adj Summary'!C45+'ICNU Adj Summary'!F45</f>
        <v>0</v>
      </c>
      <c r="D42" s="505">
        <f>'ICNU Adj Summary'!D45+'ICNU Adj Summary'!E45+'ICNU Adj Summary'!G45+'ICNU Adj Summary'!H45+'ICNU Adj Summary'!I45+'ICNU Adj Summary'!J45+'ICNU Adj Summary'!K45</f>
        <v>-6730.423763757688</v>
      </c>
    </row>
    <row r="43" spans="1:4">
      <c r="A43" s="501" t="s">
        <v>88</v>
      </c>
      <c r="B43" s="503">
        <f>SUM(C43:D43)</f>
        <v>0</v>
      </c>
      <c r="C43" s="503">
        <f>'ICNU Adj Summary'!C46+'ICNU Adj Summary'!F46</f>
        <v>0</v>
      </c>
      <c r="D43" s="505">
        <f>'ICNU Adj Summary'!D46+'ICNU Adj Summary'!E46+'ICNU Adj Summary'!G46+'ICNU Adj Summary'!H46+'ICNU Adj Summary'!I46+'ICNU Adj Summary'!J46+'ICNU Adj Summary'!K46</f>
        <v>0</v>
      </c>
    </row>
    <row r="44" spans="1:4">
      <c r="A44" s="501" t="s">
        <v>89</v>
      </c>
      <c r="B44" s="503">
        <f>SUM(C44:D44)</f>
        <v>0</v>
      </c>
      <c r="C44" s="503">
        <f>'ICNU Adj Summary'!C47+'ICNU Adj Summary'!F47</f>
        <v>0</v>
      </c>
      <c r="D44" s="505">
        <f>'ICNU Adj Summary'!D47+'ICNU Adj Summary'!E47+'ICNU Adj Summary'!G47+'ICNU Adj Summary'!H47+'ICNU Adj Summary'!I47+'ICNU Adj Summary'!J47+'ICNU Adj Summary'!K47</f>
        <v>0</v>
      </c>
    </row>
    <row r="45" spans="1:4">
      <c r="A45" s="501" t="s">
        <v>90</v>
      </c>
      <c r="B45" s="503">
        <f>SUM(C45:D45)</f>
        <v>0</v>
      </c>
      <c r="C45" s="503">
        <f>'ICNU Adj Summary'!C48+'ICNU Adj Summary'!F48</f>
        <v>0</v>
      </c>
      <c r="D45" s="505">
        <f>'ICNU Adj Summary'!D48+'ICNU Adj Summary'!E48+'ICNU Adj Summary'!G48+'ICNU Adj Summary'!H48+'ICNU Adj Summary'!I48+'ICNU Adj Summary'!J48+'ICNU Adj Summary'!K48</f>
        <v>0</v>
      </c>
    </row>
    <row r="46" spans="1:4">
      <c r="A46" s="501" t="s">
        <v>91</v>
      </c>
      <c r="B46" s="503">
        <f>SUM(C46:D46)</f>
        <v>0</v>
      </c>
      <c r="C46" s="503">
        <f>'ICNU Adj Summary'!C49+'ICNU Adj Summary'!F49</f>
        <v>0</v>
      </c>
      <c r="D46" s="505">
        <f>'ICNU Adj Summary'!D49+'ICNU Adj Summary'!E49+'ICNU Adj Summary'!G49+'ICNU Adj Summary'!H49+'ICNU Adj Summary'!I49+'ICNU Adj Summary'!J49+'ICNU Adj Summary'!K49</f>
        <v>0</v>
      </c>
    </row>
    <row r="47" spans="1:4">
      <c r="A47" s="501" t="s">
        <v>92</v>
      </c>
      <c r="B47" s="503">
        <f>SUM(C47:D47)</f>
        <v>0</v>
      </c>
      <c r="C47" s="503">
        <f>'ICNU Adj Summary'!C50+'ICNU Adj Summary'!F50</f>
        <v>0</v>
      </c>
      <c r="D47" s="505">
        <f>'ICNU Adj Summary'!D50+'ICNU Adj Summary'!E50+'ICNU Adj Summary'!G50+'ICNU Adj Summary'!H50+'ICNU Adj Summary'!I50+'ICNU Adj Summary'!J50+'ICNU Adj Summary'!K50</f>
        <v>0</v>
      </c>
    </row>
    <row r="48" spans="1:4">
      <c r="A48" s="501" t="s">
        <v>93</v>
      </c>
      <c r="B48" s="503">
        <f>SUM(C48:D48)</f>
        <v>0</v>
      </c>
      <c r="C48" s="503">
        <f>'ICNU Adj Summary'!C51+'ICNU Adj Summary'!F51</f>
        <v>0</v>
      </c>
      <c r="D48" s="505">
        <f>'ICNU Adj Summary'!D51+'ICNU Adj Summary'!E51+'ICNU Adj Summary'!G51+'ICNU Adj Summary'!H51+'ICNU Adj Summary'!I51+'ICNU Adj Summary'!J51+'ICNU Adj Summary'!K51</f>
        <v>0</v>
      </c>
    </row>
    <row r="49" spans="1:4">
      <c r="A49" s="501" t="s">
        <v>94</v>
      </c>
      <c r="B49" s="503">
        <f>SUM(C49:D49)</f>
        <v>0</v>
      </c>
      <c r="C49" s="503">
        <f>'ICNU Adj Summary'!C52+'ICNU Adj Summary'!F52</f>
        <v>0</v>
      </c>
      <c r="D49" s="505">
        <f>'ICNU Adj Summary'!D52+'ICNU Adj Summary'!E52+'ICNU Adj Summary'!G52+'ICNU Adj Summary'!H52+'ICNU Adj Summary'!I52+'ICNU Adj Summary'!J52+'ICNU Adj Summary'!K52</f>
        <v>0</v>
      </c>
    </row>
    <row r="50" spans="1:4">
      <c r="A50" s="501" t="s">
        <v>95</v>
      </c>
      <c r="B50" s="503">
        <f>SUM(C50:D50)</f>
        <v>0</v>
      </c>
      <c r="C50" s="503">
        <f>'ICNU Adj Summary'!C53+'ICNU Adj Summary'!F53</f>
        <v>0</v>
      </c>
      <c r="D50" s="505">
        <f>'ICNU Adj Summary'!D53+'ICNU Adj Summary'!E53+'ICNU Adj Summary'!G53+'ICNU Adj Summary'!H53+'ICNU Adj Summary'!I53+'ICNU Adj Summary'!J53+'ICNU Adj Summary'!K53</f>
        <v>0</v>
      </c>
    </row>
    <row r="51" spans="1:4">
      <c r="A51" s="508" t="s">
        <v>96</v>
      </c>
      <c r="B51" s="523">
        <f>SUM(C51:D51)</f>
        <v>-12152308.360965434</v>
      </c>
      <c r="C51" s="523">
        <f t="shared" ref="C51:D51" si="4">SUM(C40:C50)</f>
        <v>0</v>
      </c>
      <c r="D51" s="525">
        <f t="shared" si="4"/>
        <v>-12152308.360965434</v>
      </c>
    </row>
    <row r="52" spans="1:4">
      <c r="A52" s="501"/>
      <c r="B52" s="502"/>
      <c r="C52" s="502"/>
      <c r="D52" s="497"/>
    </row>
    <row r="53" spans="1:4">
      <c r="A53" s="501" t="s">
        <v>97</v>
      </c>
      <c r="B53" s="502"/>
      <c r="C53" s="502"/>
      <c r="D53" s="497"/>
    </row>
    <row r="54" spans="1:4">
      <c r="A54" s="501" t="s">
        <v>98</v>
      </c>
      <c r="B54" s="503">
        <f>SUM(C54:D54)</f>
        <v>4071550.5187301748</v>
      </c>
      <c r="C54" s="503">
        <f>'ICNU Adj Summary'!C57+'ICNU Adj Summary'!F57</f>
        <v>0</v>
      </c>
      <c r="D54" s="505">
        <f>'ICNU Adj Summary'!D57+'ICNU Adj Summary'!E57+'ICNU Adj Summary'!G57+'ICNU Adj Summary'!H57+'ICNU Adj Summary'!I57+'ICNU Adj Summary'!J57+'ICNU Adj Summary'!K57</f>
        <v>4071550.5187301748</v>
      </c>
    </row>
    <row r="55" spans="1:4">
      <c r="A55" s="501" t="s">
        <v>99</v>
      </c>
      <c r="B55" s="503">
        <f>SUM(C55:D55)</f>
        <v>0</v>
      </c>
      <c r="C55" s="503">
        <f>'ICNU Adj Summary'!C58+'ICNU Adj Summary'!F58</f>
        <v>0</v>
      </c>
      <c r="D55" s="505">
        <f>'ICNU Adj Summary'!D58+'ICNU Adj Summary'!E58+'ICNU Adj Summary'!G58+'ICNU Adj Summary'!H58+'ICNU Adj Summary'!I58+'ICNU Adj Summary'!J58+'ICNU Adj Summary'!K58</f>
        <v>0</v>
      </c>
    </row>
    <row r="56" spans="1:4">
      <c r="A56" s="501" t="s">
        <v>100</v>
      </c>
      <c r="B56" s="503">
        <f>SUM(C56:D56)</f>
        <v>0</v>
      </c>
      <c r="C56" s="503">
        <f>'ICNU Adj Summary'!C59+'ICNU Adj Summary'!F59</f>
        <v>0</v>
      </c>
      <c r="D56" s="505">
        <f>'ICNU Adj Summary'!D59+'ICNU Adj Summary'!E59+'ICNU Adj Summary'!G59+'ICNU Adj Summary'!H59+'ICNU Adj Summary'!I59+'ICNU Adj Summary'!J59+'ICNU Adj Summary'!K59</f>
        <v>0</v>
      </c>
    </row>
    <row r="57" spans="1:4">
      <c r="A57" s="501" t="s">
        <v>101</v>
      </c>
      <c r="B57" s="503">
        <f>SUM(C57:D57)</f>
        <v>0</v>
      </c>
      <c r="C57" s="503">
        <f>'ICNU Adj Summary'!C60+'ICNU Adj Summary'!F60</f>
        <v>0</v>
      </c>
      <c r="D57" s="505">
        <f>'ICNU Adj Summary'!D60+'ICNU Adj Summary'!E60+'ICNU Adj Summary'!G60+'ICNU Adj Summary'!H60+'ICNU Adj Summary'!I60+'ICNU Adj Summary'!J60+'ICNU Adj Summary'!K60</f>
        <v>0</v>
      </c>
    </row>
    <row r="58" spans="1:4">
      <c r="A58" s="501" t="s">
        <v>102</v>
      </c>
      <c r="B58" s="503">
        <f>SUM(C58:D58)</f>
        <v>0</v>
      </c>
      <c r="C58" s="503">
        <f>'ICNU Adj Summary'!C61+'ICNU Adj Summary'!F61</f>
        <v>0</v>
      </c>
      <c r="D58" s="505">
        <f>'ICNU Adj Summary'!D61+'ICNU Adj Summary'!E61+'ICNU Adj Summary'!G61+'ICNU Adj Summary'!H61+'ICNU Adj Summary'!I61+'ICNU Adj Summary'!J61+'ICNU Adj Summary'!K61</f>
        <v>0</v>
      </c>
    </row>
    <row r="59" spans="1:4">
      <c r="A59" s="501" t="s">
        <v>103</v>
      </c>
      <c r="B59" s="503">
        <f>SUM(C59:D59)</f>
        <v>0</v>
      </c>
      <c r="C59" s="503">
        <f>'ICNU Adj Summary'!C62+'ICNU Adj Summary'!F62</f>
        <v>0</v>
      </c>
      <c r="D59" s="505">
        <f>'ICNU Adj Summary'!D62+'ICNU Adj Summary'!E62+'ICNU Adj Summary'!G62+'ICNU Adj Summary'!H62+'ICNU Adj Summary'!I62+'ICNU Adj Summary'!J62+'ICNU Adj Summary'!K62</f>
        <v>0</v>
      </c>
    </row>
    <row r="60" spans="1:4">
      <c r="A60" s="501" t="s">
        <v>104</v>
      </c>
      <c r="B60" s="503">
        <f>SUM(C60:D60)</f>
        <v>56207.192047362681</v>
      </c>
      <c r="C60" s="503">
        <f>'ICNU Adj Summary'!C63+'ICNU Adj Summary'!F63</f>
        <v>0</v>
      </c>
      <c r="D60" s="505">
        <f>'ICNU Adj Summary'!D63+'ICNU Adj Summary'!E63+'ICNU Adj Summary'!G63+'ICNU Adj Summary'!H63+'ICNU Adj Summary'!I63+'ICNU Adj Summary'!J63+'ICNU Adj Summary'!K63</f>
        <v>56207.192047362681</v>
      </c>
    </row>
    <row r="61" spans="1:4">
      <c r="A61" s="501"/>
      <c r="B61" s="502"/>
      <c r="C61" s="874"/>
      <c r="D61" s="505"/>
    </row>
    <row r="62" spans="1:4">
      <c r="A62" s="508" t="s">
        <v>105</v>
      </c>
      <c r="B62" s="509">
        <f>SUM(C62:D62)</f>
        <v>4127757.7107775374</v>
      </c>
      <c r="C62" s="509">
        <f t="shared" ref="C62:D62" si="5">SUM(C54:C61)</f>
        <v>0</v>
      </c>
      <c r="D62" s="511">
        <f t="shared" si="5"/>
        <v>4127757.7107775374</v>
      </c>
    </row>
    <row r="63" spans="1:4">
      <c r="A63" s="501"/>
      <c r="B63" s="502"/>
      <c r="C63" s="502"/>
      <c r="D63" s="497"/>
    </row>
    <row r="64" spans="1:4" ht="16.5" thickBot="1">
      <c r="A64" s="518" t="s">
        <v>106</v>
      </c>
      <c r="B64" s="527">
        <f>SUM(C64:D64)</f>
        <v>-8024550.6501878966</v>
      </c>
      <c r="C64" s="527">
        <f t="shared" ref="C64:D64" si="6">C51+C62</f>
        <v>0</v>
      </c>
      <c r="D64" s="529">
        <f t="shared" si="6"/>
        <v>-8024550.6501878966</v>
      </c>
    </row>
    <row r="65" spans="1:4" ht="16.5" thickTop="1">
      <c r="A65" s="501"/>
      <c r="B65" s="502"/>
      <c r="C65" s="502"/>
      <c r="D65" s="497"/>
    </row>
    <row r="66" spans="1:4">
      <c r="A66" s="501"/>
      <c r="B66" s="502"/>
      <c r="C66" s="502"/>
      <c r="D66" s="497"/>
    </row>
    <row r="67" spans="1:4">
      <c r="A67" s="501" t="s">
        <v>186</v>
      </c>
      <c r="B67" s="534">
        <f t="shared" ref="B67:D67" si="7">(((B37+Unadj_Op_revenue)/(B64+Unadj_rate_base))-Weighted_cost_debt-Weighted_cost_pref)/Percent_common-Unadj_ROE</f>
        <v>9.9694864084923368E-3</v>
      </c>
      <c r="C67" s="534">
        <f t="shared" si="7"/>
        <v>2.4868950463943884E-2</v>
      </c>
      <c r="D67" s="536">
        <f t="shared" si="7"/>
        <v>-1.5165729325880822E-2</v>
      </c>
    </row>
    <row r="68" spans="1:4">
      <c r="A68" s="501" t="s">
        <v>53</v>
      </c>
      <c r="B68" s="538">
        <f>SUM(C68:D68)</f>
        <v>-6244346.5423736926</v>
      </c>
      <c r="C68" s="538">
        <f t="shared" ref="C68:D68" si="8">-(C37-(C64*Overall_ROR))/gross_up_factor</f>
        <v>-14913342.64196565</v>
      </c>
      <c r="D68" s="539">
        <f t="shared" si="8"/>
        <v>8668996.0995919574</v>
      </c>
    </row>
    <row r="69" spans="1:4">
      <c r="A69" s="501"/>
      <c r="B69" s="541"/>
      <c r="C69" s="541"/>
      <c r="D69" s="543"/>
    </row>
    <row r="70" spans="1:4">
      <c r="A70" s="501" t="s">
        <v>108</v>
      </c>
      <c r="B70" s="502"/>
      <c r="C70" s="502"/>
      <c r="D70" s="497"/>
    </row>
    <row r="71" spans="1:4">
      <c r="A71" s="501" t="s">
        <v>109</v>
      </c>
      <c r="B71" s="538">
        <f>SUM(C71:D71)</f>
        <v>4528792.6702707149</v>
      </c>
      <c r="C71" s="538">
        <f t="shared" ref="C71:D71" si="9">C13-C26-C27-C28-C29-C34</f>
        <v>13188050.318194391</v>
      </c>
      <c r="D71" s="539">
        <f t="shared" si="9"/>
        <v>-8659257.6479236763</v>
      </c>
    </row>
    <row r="72" spans="1:4">
      <c r="A72" s="501" t="s">
        <v>110</v>
      </c>
      <c r="B72" s="502">
        <f>SUM(C72:D72)</f>
        <v>0</v>
      </c>
      <c r="C72" s="502"/>
      <c r="D72" s="497"/>
    </row>
    <row r="73" spans="1:4">
      <c r="A73" s="501" t="s">
        <v>111</v>
      </c>
      <c r="B73" s="503">
        <f>SUM(C73:D73)</f>
        <v>0</v>
      </c>
      <c r="C73" s="503">
        <f>'Restating Adj'!D76</f>
        <v>0</v>
      </c>
      <c r="D73" s="505">
        <f>'Restating Adj'!G76+'Pro Forma Adj'!F76</f>
        <v>0</v>
      </c>
    </row>
    <row r="74" spans="1:4">
      <c r="A74" s="501" t="s">
        <v>112</v>
      </c>
      <c r="B74" s="503">
        <f>SUM(C74:D74)</f>
        <v>0</v>
      </c>
      <c r="C74" s="503">
        <f>'Restating Adj'!D77</f>
        <v>0</v>
      </c>
      <c r="D74" s="505">
        <f>'Restating Adj'!G77+'Pro Forma Adj'!F77</f>
        <v>0</v>
      </c>
    </row>
    <row r="75" spans="1:4">
      <c r="A75" s="501" t="s">
        <v>113</v>
      </c>
      <c r="B75" s="503">
        <f>SUM(C75:D75)</f>
        <v>-1935628</v>
      </c>
      <c r="C75" s="503">
        <f>'Restating Adj'!D78</f>
        <v>-1935628</v>
      </c>
      <c r="D75" s="505">
        <f>'Restating Adj'!G78+'Pro Forma Adj'!F78</f>
        <v>0</v>
      </c>
    </row>
    <row r="76" spans="1:4">
      <c r="A76" s="501" t="s">
        <v>114</v>
      </c>
      <c r="B76" s="502">
        <f>SUM(C76:D76)</f>
        <v>0</v>
      </c>
      <c r="C76" s="503">
        <f>'Restating Adj'!D79</f>
        <v>0</v>
      </c>
      <c r="D76" s="505">
        <f>'Restating Adj'!G79+'Pro Forma Adj'!F79</f>
        <v>0</v>
      </c>
    </row>
    <row r="77" spans="1:4">
      <c r="A77" s="517" t="s">
        <v>115</v>
      </c>
      <c r="B77" s="545">
        <f>SUM(C77:D77)</f>
        <v>2593164.6702707149</v>
      </c>
      <c r="C77" s="545">
        <f t="shared" ref="C77:D77" si="10">C71-C73-C74+C75-C76</f>
        <v>11252422.318194391</v>
      </c>
      <c r="D77" s="547">
        <f t="shared" si="10"/>
        <v>-8659257.6479236763</v>
      </c>
    </row>
    <row r="78" spans="1:4">
      <c r="A78" s="501"/>
      <c r="B78" s="502"/>
      <c r="C78" s="502"/>
      <c r="D78" s="497"/>
    </row>
    <row r="79" spans="1:4">
      <c r="A79" s="501" t="s">
        <v>116</v>
      </c>
      <c r="B79" s="482"/>
      <c r="C79" s="502"/>
      <c r="D79" s="497"/>
    </row>
    <row r="80" spans="1:4">
      <c r="A80" s="501" t="s">
        <v>117</v>
      </c>
      <c r="B80" s="482">
        <f>SUM(C80:D80)</f>
        <v>2593164.6702707149</v>
      </c>
      <c r="C80" s="502">
        <f t="shared" ref="C80:D80" si="11">C77-C79</f>
        <v>11252422.318194391</v>
      </c>
      <c r="D80" s="497">
        <f t="shared" si="11"/>
        <v>-8659257.6479236763</v>
      </c>
    </row>
    <row r="81" spans="1:4">
      <c r="A81" s="501"/>
      <c r="B81" s="482"/>
      <c r="C81" s="502"/>
      <c r="D81" s="497"/>
    </row>
    <row r="82" spans="1:4">
      <c r="A82" s="501" t="s">
        <v>166</v>
      </c>
      <c r="B82" s="482">
        <f>SUM(C82:D82)</f>
        <v>907607.63459475012</v>
      </c>
      <c r="C82" s="502">
        <f t="shared" ref="C82:D82" si="12">C80*0.35</f>
        <v>3938347.8113680365</v>
      </c>
      <c r="D82" s="497">
        <f t="shared" si="12"/>
        <v>-3030740.1767732864</v>
      </c>
    </row>
    <row r="83" spans="1:4">
      <c r="A83" s="501" t="s">
        <v>167</v>
      </c>
      <c r="B83" s="482">
        <f>SUM(C83:D83)</f>
        <v>0</v>
      </c>
      <c r="C83" s="503">
        <f>'Restating Adj'!D86</f>
        <v>0</v>
      </c>
      <c r="D83" s="505">
        <f>'Restating Adj'!G86+'Pro Forma Adj'!F86</f>
        <v>0</v>
      </c>
    </row>
    <row r="84" spans="1:4" s="468" customFormat="1" ht="16.5" thickBot="1">
      <c r="A84" s="549" t="s">
        <v>168</v>
      </c>
      <c r="B84" s="550">
        <f>SUM(C84:D84)</f>
        <v>907607.63459475012</v>
      </c>
      <c r="C84" s="875">
        <f t="shared" ref="C84:D84" si="13">C82+C83</f>
        <v>3938347.8113680365</v>
      </c>
      <c r="D84" s="552">
        <f t="shared" si="13"/>
        <v>-3030740.1767732864</v>
      </c>
    </row>
    <row r="85" spans="1:4" s="468" customFormat="1">
      <c r="A85" s="554"/>
      <c r="B85" s="555"/>
      <c r="C85" s="555"/>
      <c r="D85" s="555"/>
    </row>
    <row r="86" spans="1:4" s="468" customFormat="1">
      <c r="A86" s="554"/>
      <c r="B86" s="554"/>
      <c r="C86" s="554"/>
      <c r="D86" s="554"/>
    </row>
    <row r="87" spans="1:4" s="468" customFormat="1">
      <c r="A87" s="423"/>
      <c r="B87" s="496"/>
      <c r="C87" s="496"/>
      <c r="D87" s="496"/>
    </row>
    <row r="88" spans="1:4" s="468" customFormat="1">
      <c r="A88" s="554"/>
      <c r="B88" s="496"/>
      <c r="C88" s="496"/>
      <c r="D88" s="496"/>
    </row>
    <row r="89" spans="1:4" s="468" customFormat="1">
      <c r="A89" s="554"/>
    </row>
    <row r="90" spans="1:4" s="468" customFormat="1">
      <c r="A90" s="556"/>
    </row>
  </sheetData>
  <printOptions horizontalCentered="1"/>
  <pageMargins left="0.7" right="0.7" top="0.6" bottom="0.26" header="0.3" footer="0.18"/>
  <pageSetup scale="54" orientation="portrait" r:id="rId1"/>
</worksheet>
</file>

<file path=xl/worksheets/sheet5.xml><?xml version="1.0" encoding="utf-8"?>
<worksheet xmlns="http://schemas.openxmlformats.org/spreadsheetml/2006/main" xmlns:r="http://schemas.openxmlformats.org/officeDocument/2006/relationships">
  <sheetPr>
    <tabColor rgb="FFFFFF00"/>
    <pageSetUpPr fitToPage="1"/>
  </sheetPr>
  <dimension ref="A1:K93"/>
  <sheetViews>
    <sheetView workbookViewId="0"/>
  </sheetViews>
  <sheetFormatPr defaultRowHeight="15.75"/>
  <cols>
    <col min="1" max="1" width="36" style="468" customWidth="1"/>
    <col min="2" max="2" width="13.7109375" style="462" customWidth="1"/>
    <col min="3" max="3" width="14.28515625" style="462" customWidth="1"/>
    <col min="4" max="4" width="13.7109375" style="468" customWidth="1"/>
    <col min="5" max="5" width="13.7109375" style="462" customWidth="1"/>
    <col min="6" max="6" width="15.85546875" style="462" customWidth="1"/>
    <col min="7" max="7" width="13.7109375" style="462" customWidth="1"/>
    <col min="8" max="8" width="13.7109375" style="468" customWidth="1"/>
    <col min="9" max="11" width="13.7109375" style="462" customWidth="1"/>
    <col min="12" max="16384" width="9.140625" style="462"/>
  </cols>
  <sheetData>
    <row r="1" spans="1:11">
      <c r="A1" s="464" t="s">
        <v>52</v>
      </c>
      <c r="B1" s="465"/>
      <c r="C1" s="465"/>
      <c r="D1" s="466"/>
      <c r="E1" s="465"/>
      <c r="F1" s="465"/>
      <c r="G1" s="465"/>
      <c r="H1" s="466"/>
      <c r="I1" s="465"/>
      <c r="J1" s="465"/>
      <c r="K1" s="465"/>
    </row>
    <row r="2" spans="1:11" s="468" customFormat="1">
      <c r="A2" s="467" t="s">
        <v>225</v>
      </c>
      <c r="B2" s="466"/>
      <c r="C2" s="466"/>
      <c r="D2" s="466"/>
      <c r="E2" s="466"/>
      <c r="F2" s="466"/>
      <c r="G2" s="466"/>
      <c r="H2" s="466"/>
      <c r="I2" s="466"/>
      <c r="J2" s="466"/>
      <c r="K2" s="466"/>
    </row>
    <row r="3" spans="1:11" s="468" customFormat="1">
      <c r="A3" s="464" t="s">
        <v>404</v>
      </c>
      <c r="B3" s="466"/>
      <c r="C3" s="466"/>
      <c r="D3" s="466"/>
      <c r="E3" s="466"/>
      <c r="F3" s="466"/>
      <c r="G3" s="466"/>
      <c r="H3" s="466"/>
      <c r="I3" s="466"/>
      <c r="J3" s="466"/>
      <c r="K3" s="466"/>
    </row>
    <row r="4" spans="1:11" s="468" customFormat="1">
      <c r="A4" s="469"/>
    </row>
    <row r="5" spans="1:11" s="468" customFormat="1">
      <c r="A5" s="470"/>
    </row>
    <row r="6" spans="1:11" s="471" customFormat="1" ht="16.5" thickBot="1">
      <c r="A6" s="469"/>
      <c r="I6" s="472"/>
      <c r="J6" s="472"/>
      <c r="K6" s="472"/>
    </row>
    <row r="7" spans="1:11" s="481" customFormat="1" ht="16.5" thickBot="1">
      <c r="A7" s="473"/>
      <c r="B7" s="474"/>
      <c r="C7" s="475" t="s">
        <v>298</v>
      </c>
      <c r="D7" s="475"/>
      <c r="E7" s="476"/>
      <c r="F7" s="477" t="s">
        <v>402</v>
      </c>
      <c r="G7" s="478"/>
      <c r="H7" s="478"/>
      <c r="I7" s="478"/>
      <c r="J7" s="479" t="s">
        <v>403</v>
      </c>
      <c r="K7" s="480"/>
    </row>
    <row r="8" spans="1:11">
      <c r="A8" s="482"/>
      <c r="B8" s="483"/>
      <c r="C8" s="484" t="s">
        <v>2</v>
      </c>
      <c r="D8" s="484" t="s">
        <v>6</v>
      </c>
      <c r="E8" s="485" t="s">
        <v>228</v>
      </c>
      <c r="F8" s="486" t="s">
        <v>1</v>
      </c>
      <c r="G8" s="487" t="s">
        <v>8</v>
      </c>
      <c r="H8" s="487" t="s">
        <v>252</v>
      </c>
      <c r="I8" s="487" t="s">
        <v>255</v>
      </c>
      <c r="J8" s="488" t="s">
        <v>30</v>
      </c>
      <c r="K8" s="485" t="s">
        <v>51</v>
      </c>
    </row>
    <row r="9" spans="1:11" s="494" customFormat="1" ht="90" customHeight="1">
      <c r="A9" s="489" t="s">
        <v>400</v>
      </c>
      <c r="B9" s="490" t="s">
        <v>401</v>
      </c>
      <c r="C9" s="491" t="s">
        <v>616</v>
      </c>
      <c r="D9" s="491" t="s">
        <v>617</v>
      </c>
      <c r="E9" s="492" t="s">
        <v>618</v>
      </c>
      <c r="F9" s="493" t="s">
        <v>619</v>
      </c>
      <c r="G9" s="491" t="s">
        <v>620</v>
      </c>
      <c r="H9" s="491" t="s">
        <v>621</v>
      </c>
      <c r="I9" s="491" t="s">
        <v>622</v>
      </c>
      <c r="J9" s="493" t="s">
        <v>623</v>
      </c>
      <c r="K9" s="492" t="s">
        <v>624</v>
      </c>
    </row>
    <row r="10" spans="1:11">
      <c r="A10" s="482"/>
      <c r="B10" s="495"/>
      <c r="C10" s="496"/>
      <c r="D10" s="496"/>
      <c r="E10" s="497"/>
      <c r="F10" s="498"/>
      <c r="G10" s="499"/>
      <c r="H10" s="499"/>
      <c r="I10" s="499"/>
      <c r="J10" s="498"/>
      <c r="K10" s="500"/>
    </row>
    <row r="11" spans="1:11">
      <c r="A11" s="501" t="s">
        <v>56</v>
      </c>
      <c r="B11" s="502"/>
      <c r="C11" s="496"/>
      <c r="D11" s="496"/>
      <c r="E11" s="497"/>
      <c r="F11" s="498"/>
      <c r="G11" s="496"/>
      <c r="H11" s="496"/>
      <c r="I11" s="496"/>
      <c r="J11" s="498"/>
      <c r="K11" s="497"/>
    </row>
    <row r="12" spans="1:11">
      <c r="A12" s="501" t="s">
        <v>57</v>
      </c>
      <c r="B12" s="503">
        <f>SUM(C12:K12)</f>
        <v>13055703.999999991</v>
      </c>
      <c r="C12" s="504">
        <f>'Restating Adj'!D12</f>
        <v>13055703.999999991</v>
      </c>
      <c r="D12" s="504">
        <f>'Restating Adj'!G12+'Pro Forma Adj'!F12</f>
        <v>0</v>
      </c>
      <c r="E12" s="505">
        <f>'Pro Forma Adj'!G12</f>
        <v>0</v>
      </c>
      <c r="F12" s="506">
        <f>'Restating Adj'!H12</f>
        <v>0</v>
      </c>
      <c r="G12" s="507">
        <f>'Pro Forma Adj'!H12</f>
        <v>0</v>
      </c>
      <c r="H12" s="504">
        <f>'Pro Forma Adj'!L12</f>
        <v>0</v>
      </c>
      <c r="I12" s="507">
        <f>'Pro Forma Adj'!M12</f>
        <v>0</v>
      </c>
      <c r="J12" s="506">
        <f>'Pro Forma Adj'!V12</f>
        <v>0</v>
      </c>
      <c r="K12" s="505">
        <f>'Pro Forma Adj'!W12</f>
        <v>0</v>
      </c>
    </row>
    <row r="13" spans="1:11">
      <c r="A13" s="501" t="s">
        <v>58</v>
      </c>
      <c r="B13" s="503">
        <f>SUM(C13:K13)</f>
        <v>0</v>
      </c>
      <c r="C13" s="504">
        <f>'Restating Adj'!D13</f>
        <v>0</v>
      </c>
      <c r="D13" s="504">
        <f>'Restating Adj'!G13+'Pro Forma Adj'!F13</f>
        <v>0</v>
      </c>
      <c r="E13" s="505">
        <f>'Pro Forma Adj'!G13</f>
        <v>0</v>
      </c>
      <c r="F13" s="506">
        <f>'Restating Adj'!H13</f>
        <v>0</v>
      </c>
      <c r="G13" s="507">
        <f>'Pro Forma Adj'!H13</f>
        <v>0</v>
      </c>
      <c r="H13" s="504">
        <f>'Pro Forma Adj'!L13</f>
        <v>0</v>
      </c>
      <c r="I13" s="507">
        <f>'Pro Forma Adj'!M13</f>
        <v>0</v>
      </c>
      <c r="J13" s="506">
        <f>'Pro Forma Adj'!V13</f>
        <v>0</v>
      </c>
      <c r="K13" s="505">
        <f>'Pro Forma Adj'!W13</f>
        <v>0</v>
      </c>
    </row>
    <row r="14" spans="1:11">
      <c r="A14" s="501" t="s">
        <v>59</v>
      </c>
      <c r="B14" s="503">
        <f>SUM(C14:K14)</f>
        <v>-33733520.419695824</v>
      </c>
      <c r="C14" s="504">
        <f>'Restating Adj'!D14</f>
        <v>0</v>
      </c>
      <c r="D14" s="504">
        <f>'Restating Adj'!G14+'Pro Forma Adj'!F14</f>
        <v>0</v>
      </c>
      <c r="E14" s="505">
        <f>'Pro Forma Adj'!G14</f>
        <v>0</v>
      </c>
      <c r="F14" s="506">
        <f>'Restating Adj'!H14</f>
        <v>0</v>
      </c>
      <c r="G14" s="507">
        <f>'Pro Forma Adj'!H14</f>
        <v>0</v>
      </c>
      <c r="H14" s="504">
        <f>'Pro Forma Adj'!L14</f>
        <v>0</v>
      </c>
      <c r="I14" s="507">
        <f>'Pro Forma Adj'!M14</f>
        <v>-32991267.499196757</v>
      </c>
      <c r="J14" s="506">
        <f>'Pro Forma Adj'!V14</f>
        <v>0</v>
      </c>
      <c r="K14" s="505">
        <f>'Pro Forma Adj'!W14</f>
        <v>-742252.92049907148</v>
      </c>
    </row>
    <row r="15" spans="1:11">
      <c r="A15" s="501" t="s">
        <v>60</v>
      </c>
      <c r="B15" s="503">
        <f>SUM(C15:K15)</f>
        <v>1849878.7610199391</v>
      </c>
      <c r="C15" s="504">
        <f>'Restating Adj'!D15</f>
        <v>0</v>
      </c>
      <c r="D15" s="504">
        <f>'Restating Adj'!G15+'Pro Forma Adj'!F15</f>
        <v>861542.57050639275</v>
      </c>
      <c r="E15" s="505">
        <f>'Pro Forma Adj'!G15</f>
        <v>1007573.5681837318</v>
      </c>
      <c r="F15" s="506">
        <f>'Restating Adj'!H15</f>
        <v>0</v>
      </c>
      <c r="G15" s="507">
        <f>'Pro Forma Adj'!H15</f>
        <v>0</v>
      </c>
      <c r="H15" s="504">
        <f>'Pro Forma Adj'!L15</f>
        <v>0</v>
      </c>
      <c r="I15" s="507">
        <f>'Pro Forma Adj'!M15</f>
        <v>0</v>
      </c>
      <c r="J15" s="506">
        <f>'Pro Forma Adj'!V15</f>
        <v>0</v>
      </c>
      <c r="K15" s="505">
        <f>'Pro Forma Adj'!W15</f>
        <v>-19237.377670185408</v>
      </c>
    </row>
    <row r="16" spans="1:11">
      <c r="A16" s="508" t="s">
        <v>61</v>
      </c>
      <c r="B16" s="509">
        <f>SUM(C16:K16)</f>
        <v>-18827937.658675898</v>
      </c>
      <c r="C16" s="510">
        <f t="shared" ref="C16:J16" si="0">SUM(C12:C15)</f>
        <v>13055703.999999991</v>
      </c>
      <c r="D16" s="510">
        <f t="shared" si="0"/>
        <v>861542.57050639275</v>
      </c>
      <c r="E16" s="511">
        <f t="shared" si="0"/>
        <v>1007573.5681837318</v>
      </c>
      <c r="F16" s="512">
        <f t="shared" si="0"/>
        <v>0</v>
      </c>
      <c r="G16" s="510">
        <f t="shared" si="0"/>
        <v>0</v>
      </c>
      <c r="H16" s="510">
        <f t="shared" si="0"/>
        <v>0</v>
      </c>
      <c r="I16" s="510">
        <f t="shared" si="0"/>
        <v>-32991267.499196757</v>
      </c>
      <c r="J16" s="512">
        <f t="shared" si="0"/>
        <v>0</v>
      </c>
      <c r="K16" s="511">
        <f>SUM(K12:K15)</f>
        <v>-761490.29816925689</v>
      </c>
    </row>
    <row r="17" spans="1:11">
      <c r="A17" s="501"/>
      <c r="B17" s="502"/>
      <c r="C17" s="496"/>
      <c r="D17" s="496"/>
      <c r="E17" s="497"/>
      <c r="F17" s="498"/>
      <c r="G17" s="496"/>
      <c r="H17" s="496"/>
      <c r="I17" s="496"/>
      <c r="J17" s="498"/>
      <c r="K17" s="497"/>
    </row>
    <row r="18" spans="1:11">
      <c r="A18" s="501" t="s">
        <v>62</v>
      </c>
      <c r="B18" s="502"/>
      <c r="C18" s="496"/>
      <c r="D18" s="496"/>
      <c r="E18" s="497"/>
      <c r="F18" s="498"/>
      <c r="G18" s="496"/>
      <c r="H18" s="496"/>
      <c r="I18" s="496"/>
      <c r="J18" s="498"/>
      <c r="K18" s="497"/>
    </row>
    <row r="19" spans="1:11">
      <c r="A19" s="501" t="s">
        <v>63</v>
      </c>
      <c r="B19" s="503">
        <f t="shared" ref="B19:B40" si="1">SUM(C19:K19)</f>
        <v>1407801.9860914284</v>
      </c>
      <c r="C19" s="507">
        <f>'Restating Adj'!D19</f>
        <v>0</v>
      </c>
      <c r="D19" s="504">
        <f>'Restating Adj'!G19+'Pro Forma Adj'!F19</f>
        <v>0</v>
      </c>
      <c r="E19" s="505">
        <f>'Pro Forma Adj'!G19</f>
        <v>0</v>
      </c>
      <c r="F19" s="506">
        <f>'Restating Adj'!H19</f>
        <v>0</v>
      </c>
      <c r="G19" s="507">
        <f>'Pro Forma Adj'!H19</f>
        <v>0</v>
      </c>
      <c r="H19" s="504">
        <f>'Pro Forma Adj'!L19</f>
        <v>0</v>
      </c>
      <c r="I19" s="507">
        <f>'Pro Forma Adj'!M19</f>
        <v>2371723.0291982596</v>
      </c>
      <c r="J19" s="506">
        <f>'Pro Forma Adj'!V19</f>
        <v>-230396.0460892538</v>
      </c>
      <c r="K19" s="505">
        <f>'Pro Forma Adj'!W19</f>
        <v>-733524.99701757729</v>
      </c>
    </row>
    <row r="20" spans="1:11">
      <c r="A20" s="501" t="s">
        <v>64</v>
      </c>
      <c r="B20" s="503">
        <f t="shared" si="1"/>
        <v>0</v>
      </c>
      <c r="C20" s="507">
        <f>'Restating Adj'!D20</f>
        <v>0</v>
      </c>
      <c r="D20" s="504">
        <f>'Restating Adj'!G20+'Pro Forma Adj'!F20</f>
        <v>0</v>
      </c>
      <c r="E20" s="505">
        <f>'Pro Forma Adj'!G20</f>
        <v>0</v>
      </c>
      <c r="F20" s="506">
        <f>'Restating Adj'!H20</f>
        <v>0</v>
      </c>
      <c r="G20" s="507">
        <f>'Pro Forma Adj'!H20</f>
        <v>0</v>
      </c>
      <c r="H20" s="504">
        <f>'Pro Forma Adj'!L20</f>
        <v>0</v>
      </c>
      <c r="I20" s="507">
        <f>'Pro Forma Adj'!M20</f>
        <v>0</v>
      </c>
      <c r="J20" s="506">
        <f>'Pro Forma Adj'!V20</f>
        <v>0</v>
      </c>
      <c r="K20" s="505">
        <f>'Pro Forma Adj'!W20</f>
        <v>0</v>
      </c>
    </row>
    <row r="21" spans="1:11">
      <c r="A21" s="501" t="s">
        <v>65</v>
      </c>
      <c r="B21" s="503">
        <f t="shared" si="1"/>
        <v>-121903.35511594545</v>
      </c>
      <c r="C21" s="507">
        <f>'Restating Adj'!D21</f>
        <v>0</v>
      </c>
      <c r="D21" s="504">
        <f>'Restating Adj'!G21+'Pro Forma Adj'!F21</f>
        <v>0</v>
      </c>
      <c r="E21" s="505">
        <f>'Pro Forma Adj'!G21</f>
        <v>0</v>
      </c>
      <c r="F21" s="506">
        <f>'Restating Adj'!H21</f>
        <v>0</v>
      </c>
      <c r="G21" s="507">
        <f>'Pro Forma Adj'!H21</f>
        <v>0</v>
      </c>
      <c r="H21" s="504">
        <f>'Pro Forma Adj'!L21</f>
        <v>0</v>
      </c>
      <c r="I21" s="507">
        <f>'Pro Forma Adj'!M21</f>
        <v>0</v>
      </c>
      <c r="J21" s="506">
        <f>'Pro Forma Adj'!V21</f>
        <v>-121903.35511594545</v>
      </c>
      <c r="K21" s="505">
        <f>'Pro Forma Adj'!W21</f>
        <v>0</v>
      </c>
    </row>
    <row r="22" spans="1:11">
      <c r="A22" s="501" t="s">
        <v>66</v>
      </c>
      <c r="B22" s="503">
        <f t="shared" si="1"/>
        <v>-19995413.363707144</v>
      </c>
      <c r="C22" s="507">
        <f>'Restating Adj'!D22</f>
        <v>0</v>
      </c>
      <c r="D22" s="504">
        <f>'Restating Adj'!G22+'Pro Forma Adj'!F22</f>
        <v>0</v>
      </c>
      <c r="E22" s="505">
        <f>'Pro Forma Adj'!G22</f>
        <v>0</v>
      </c>
      <c r="F22" s="506">
        <f>'Restating Adj'!H22</f>
        <v>0</v>
      </c>
      <c r="G22" s="507">
        <f>'Pro Forma Adj'!H22</f>
        <v>0</v>
      </c>
      <c r="H22" s="504">
        <f>'Pro Forma Adj'!L22</f>
        <v>82851.118234178648</v>
      </c>
      <c r="I22" s="507">
        <f>'Pro Forma Adj'!M22</f>
        <v>-18150818.786363181</v>
      </c>
      <c r="J22" s="506">
        <f>'Pro Forma Adj'!V22</f>
        <v>-153789.95343334693</v>
      </c>
      <c r="K22" s="505">
        <f>'Pro Forma Adj'!W22</f>
        <v>-1773655.7421447977</v>
      </c>
    </row>
    <row r="23" spans="1:11">
      <c r="A23" s="501" t="s">
        <v>67</v>
      </c>
      <c r="B23" s="503">
        <f t="shared" si="1"/>
        <v>-3829777.6635958026</v>
      </c>
      <c r="C23" s="507">
        <f>'Restating Adj'!D23</f>
        <v>0</v>
      </c>
      <c r="D23" s="504">
        <f>'Restating Adj'!G23+'Pro Forma Adj'!F23</f>
        <v>-65153.370885581295</v>
      </c>
      <c r="E23" s="505">
        <f>'Pro Forma Adj'!G23</f>
        <v>0</v>
      </c>
      <c r="F23" s="506">
        <f>'Restating Adj'!H23</f>
        <v>-15.025190816493238</v>
      </c>
      <c r="G23" s="507">
        <f>'Pro Forma Adj'!H23</f>
        <v>0</v>
      </c>
      <c r="H23" s="504">
        <f>'Pro Forma Adj'!L23</f>
        <v>160518.37103772757</v>
      </c>
      <c r="I23" s="507">
        <f>'Pro Forma Adj'!M23</f>
        <v>-3568926.1977596208</v>
      </c>
      <c r="J23" s="506">
        <f>'Pro Forma Adj'!V23</f>
        <v>0</v>
      </c>
      <c r="K23" s="505">
        <f>'Pro Forma Adj'!W23</f>
        <v>-356201.44079751149</v>
      </c>
    </row>
    <row r="24" spans="1:11">
      <c r="A24" s="501" t="s">
        <v>68</v>
      </c>
      <c r="B24" s="503">
        <f t="shared" si="1"/>
        <v>365573.11663005734</v>
      </c>
      <c r="C24" s="507">
        <f>'Restating Adj'!D24</f>
        <v>0</v>
      </c>
      <c r="D24" s="504">
        <f>'Restating Adj'!G24+'Pro Forma Adj'!F24</f>
        <v>0</v>
      </c>
      <c r="E24" s="505">
        <f>'Pro Forma Adj'!G24</f>
        <v>0</v>
      </c>
      <c r="F24" s="506">
        <f>'Restating Adj'!H24</f>
        <v>-47.568757706145263</v>
      </c>
      <c r="G24" s="507">
        <f>'Pro Forma Adj'!H24</f>
        <v>0</v>
      </c>
      <c r="H24" s="504">
        <f>'Pro Forma Adj'!L24</f>
        <v>365620.68538776349</v>
      </c>
      <c r="I24" s="507">
        <f>'Pro Forma Adj'!M24</f>
        <v>0</v>
      </c>
      <c r="J24" s="506">
        <f>'Pro Forma Adj'!V24</f>
        <v>0</v>
      </c>
      <c r="K24" s="505">
        <f>'Pro Forma Adj'!W24</f>
        <v>0</v>
      </c>
    </row>
    <row r="25" spans="1:11">
      <c r="A25" s="501" t="s">
        <v>69</v>
      </c>
      <c r="B25" s="503">
        <f t="shared" si="1"/>
        <v>-1001.831242912659</v>
      </c>
      <c r="C25" s="507">
        <f>'Restating Adj'!D25</f>
        <v>0</v>
      </c>
      <c r="D25" s="504">
        <f>'Restating Adj'!G25+'Pro Forma Adj'!F25</f>
        <v>0</v>
      </c>
      <c r="E25" s="505">
        <f>'Pro Forma Adj'!G25</f>
        <v>0</v>
      </c>
      <c r="F25" s="506">
        <f>'Restating Adj'!H25</f>
        <v>-1001.831242912659</v>
      </c>
      <c r="G25" s="507">
        <f>'Pro Forma Adj'!H25</f>
        <v>0</v>
      </c>
      <c r="H25" s="504">
        <f>'Pro Forma Adj'!L25</f>
        <v>0</v>
      </c>
      <c r="I25" s="507">
        <f>'Pro Forma Adj'!M25</f>
        <v>0</v>
      </c>
      <c r="J25" s="506">
        <f>'Pro Forma Adj'!V25</f>
        <v>0</v>
      </c>
      <c r="K25" s="505">
        <f>'Pro Forma Adj'!W25</f>
        <v>0</v>
      </c>
    </row>
    <row r="26" spans="1:11">
      <c r="A26" s="501" t="s">
        <v>70</v>
      </c>
      <c r="B26" s="503">
        <f t="shared" si="1"/>
        <v>247.08719192707974</v>
      </c>
      <c r="C26" s="507">
        <f>'Restating Adj'!D26</f>
        <v>0</v>
      </c>
      <c r="D26" s="504">
        <f>'Restating Adj'!G26+'Pro Forma Adj'!F26</f>
        <v>0</v>
      </c>
      <c r="E26" s="505">
        <f>'Pro Forma Adj'!G26</f>
        <v>0</v>
      </c>
      <c r="F26" s="506">
        <f>'Restating Adj'!H26</f>
        <v>247.08719192707974</v>
      </c>
      <c r="G26" s="507">
        <f>'Pro Forma Adj'!H26</f>
        <v>0</v>
      </c>
      <c r="H26" s="504">
        <f>'Pro Forma Adj'!L26</f>
        <v>0</v>
      </c>
      <c r="I26" s="507">
        <f>'Pro Forma Adj'!M26</f>
        <v>0</v>
      </c>
      <c r="J26" s="506">
        <f>'Pro Forma Adj'!V26</f>
        <v>0</v>
      </c>
      <c r="K26" s="505">
        <f>'Pro Forma Adj'!W26</f>
        <v>0</v>
      </c>
    </row>
    <row r="27" spans="1:11">
      <c r="A27" s="501" t="s">
        <v>71</v>
      </c>
      <c r="B27" s="503">
        <f t="shared" si="1"/>
        <v>0</v>
      </c>
      <c r="C27" s="507">
        <f>'Restating Adj'!D27</f>
        <v>0</v>
      </c>
      <c r="D27" s="504">
        <f>'Restating Adj'!G27+'Pro Forma Adj'!F27</f>
        <v>0</v>
      </c>
      <c r="E27" s="505">
        <f>'Pro Forma Adj'!G27</f>
        <v>0</v>
      </c>
      <c r="F27" s="506">
        <f>'Restating Adj'!H27</f>
        <v>0</v>
      </c>
      <c r="G27" s="507">
        <f>'Pro Forma Adj'!H27</f>
        <v>0</v>
      </c>
      <c r="H27" s="504">
        <f>'Pro Forma Adj'!L27</f>
        <v>0</v>
      </c>
      <c r="I27" s="507">
        <f>'Pro Forma Adj'!M27</f>
        <v>0</v>
      </c>
      <c r="J27" s="506">
        <f>'Pro Forma Adj'!V27</f>
        <v>0</v>
      </c>
      <c r="K27" s="505">
        <f>'Pro Forma Adj'!W27</f>
        <v>0</v>
      </c>
    </row>
    <row r="28" spans="1:11">
      <c r="A28" s="501" t="s">
        <v>72</v>
      </c>
      <c r="B28" s="503">
        <f t="shared" si="1"/>
        <v>-898647.80889006297</v>
      </c>
      <c r="C28" s="507">
        <f>'Restating Adj'!D28</f>
        <v>0</v>
      </c>
      <c r="D28" s="504">
        <f>'Restating Adj'!G28+'Pro Forma Adj'!F28</f>
        <v>0</v>
      </c>
      <c r="E28" s="505">
        <f>'Pro Forma Adj'!G28</f>
        <v>0</v>
      </c>
      <c r="F28" s="506">
        <f>'Restating Adj'!H28</f>
        <v>-131528.98019489166</v>
      </c>
      <c r="G28" s="507">
        <f>'Pro Forma Adj'!H28</f>
        <v>0</v>
      </c>
      <c r="H28" s="504">
        <f>'Pro Forma Adj'!L28</f>
        <v>-767118.82869517128</v>
      </c>
      <c r="I28" s="507">
        <f>'Pro Forma Adj'!M28</f>
        <v>0</v>
      </c>
      <c r="J28" s="506">
        <f>'Pro Forma Adj'!V28</f>
        <v>0</v>
      </c>
      <c r="K28" s="505">
        <f>'Pro Forma Adj'!W28</f>
        <v>0</v>
      </c>
    </row>
    <row r="29" spans="1:11">
      <c r="A29" s="501" t="s">
        <v>73</v>
      </c>
      <c r="B29" s="513">
        <f t="shared" si="1"/>
        <v>-23073121.832638457</v>
      </c>
      <c r="C29" s="514">
        <f t="shared" ref="C29:K29" si="2">SUM(C19:C28)</f>
        <v>0</v>
      </c>
      <c r="D29" s="514">
        <f t="shared" si="2"/>
        <v>-65153.370885581295</v>
      </c>
      <c r="E29" s="515">
        <f t="shared" si="2"/>
        <v>0</v>
      </c>
      <c r="F29" s="516">
        <f>SUM(F19:F28)</f>
        <v>-132346.31819439988</v>
      </c>
      <c r="G29" s="514">
        <f t="shared" si="2"/>
        <v>0</v>
      </c>
      <c r="H29" s="514">
        <f t="shared" si="2"/>
        <v>-158128.65403550165</v>
      </c>
      <c r="I29" s="514">
        <f t="shared" si="2"/>
        <v>-19348021.954924542</v>
      </c>
      <c r="J29" s="516">
        <f t="shared" si="2"/>
        <v>-506089.35463854618</v>
      </c>
      <c r="K29" s="515">
        <f t="shared" si="2"/>
        <v>-2863382.1799598867</v>
      </c>
    </row>
    <row r="30" spans="1:11">
      <c r="A30" s="501" t="s">
        <v>74</v>
      </c>
      <c r="B30" s="503">
        <f t="shared" si="1"/>
        <v>-299560.07775915402</v>
      </c>
      <c r="C30" s="507">
        <f>'Restating Adj'!D30</f>
        <v>0</v>
      </c>
      <c r="D30" s="504">
        <f>'Restating Adj'!G30+'Pro Forma Adj'!F30</f>
        <v>0</v>
      </c>
      <c r="E30" s="505">
        <f>'Pro Forma Adj'!G30</f>
        <v>0</v>
      </c>
      <c r="F30" s="506">
        <f>'Restating Adj'!H30</f>
        <v>0</v>
      </c>
      <c r="G30" s="507">
        <f>'Pro Forma Adj'!H30</f>
        <v>0</v>
      </c>
      <c r="H30" s="504">
        <f>'Pro Forma Adj'!L30</f>
        <v>0</v>
      </c>
      <c r="I30" s="507">
        <f>'Pro Forma Adj'!M30</f>
        <v>0</v>
      </c>
      <c r="J30" s="506">
        <f>'Pro Forma Adj'!V30</f>
        <v>-299560.07775915402</v>
      </c>
      <c r="K30" s="505">
        <f>'Pro Forma Adj'!W30</f>
        <v>0</v>
      </c>
    </row>
    <row r="31" spans="1:11">
      <c r="A31" s="501" t="s">
        <v>75</v>
      </c>
      <c r="B31" s="503">
        <f t="shared" si="1"/>
        <v>0</v>
      </c>
      <c r="C31" s="507">
        <f>'Restating Adj'!D31</f>
        <v>0</v>
      </c>
      <c r="D31" s="504">
        <f>'Restating Adj'!G31+'Pro Forma Adj'!F31</f>
        <v>0</v>
      </c>
      <c r="E31" s="505">
        <f>'Pro Forma Adj'!G31</f>
        <v>0</v>
      </c>
      <c r="F31" s="506">
        <f>'Restating Adj'!H31</f>
        <v>0</v>
      </c>
      <c r="G31" s="507">
        <f>'Pro Forma Adj'!H31</f>
        <v>0</v>
      </c>
      <c r="H31" s="504">
        <f>'Pro Forma Adj'!L31</f>
        <v>0</v>
      </c>
      <c r="I31" s="507">
        <f>'Pro Forma Adj'!M31</f>
        <v>0</v>
      </c>
      <c r="J31" s="506">
        <f>'Pro Forma Adj'!V31</f>
        <v>0</v>
      </c>
      <c r="K31" s="505">
        <f>'Pro Forma Adj'!W31</f>
        <v>0</v>
      </c>
    </row>
    <row r="32" spans="1:11">
      <c r="A32" s="501" t="s">
        <v>76</v>
      </c>
      <c r="B32" s="503">
        <f t="shared" si="1"/>
        <v>0</v>
      </c>
      <c r="C32" s="507">
        <f>'Restating Adj'!D32</f>
        <v>0</v>
      </c>
      <c r="D32" s="504">
        <f>'Restating Adj'!G32+'Pro Forma Adj'!F32</f>
        <v>0</v>
      </c>
      <c r="E32" s="505">
        <f>'Pro Forma Adj'!G32</f>
        <v>0</v>
      </c>
      <c r="F32" s="506">
        <f>'Restating Adj'!H32</f>
        <v>0</v>
      </c>
      <c r="G32" s="507">
        <f>'Pro Forma Adj'!H32</f>
        <v>0</v>
      </c>
      <c r="H32" s="504">
        <f>'Pro Forma Adj'!L32</f>
        <v>0</v>
      </c>
      <c r="I32" s="507">
        <f>'Pro Forma Adj'!M32</f>
        <v>0</v>
      </c>
      <c r="J32" s="506">
        <f>'Pro Forma Adj'!V32</f>
        <v>0</v>
      </c>
      <c r="K32" s="505">
        <f>'Pro Forma Adj'!W32</f>
        <v>0</v>
      </c>
    </row>
    <row r="33" spans="1:11">
      <c r="A33" s="501" t="s">
        <v>77</v>
      </c>
      <c r="B33" s="503">
        <f t="shared" si="1"/>
        <v>1276961.8346188241</v>
      </c>
      <c r="C33" s="507">
        <f>'Restating Adj'!D33</f>
        <v>3892026.5999999964</v>
      </c>
      <c r="D33" s="504">
        <f>'Restating Adj'!G33+'Pro Forma Adj'!F33</f>
        <v>324343.57948719093</v>
      </c>
      <c r="E33" s="505">
        <f>'Pro Forma Adj'!G33</f>
        <v>352650.74886430608</v>
      </c>
      <c r="F33" s="506">
        <f>'Restating Adj'!H33</f>
        <v>46321.211368039956</v>
      </c>
      <c r="G33" s="507">
        <f>'Pro Forma Adj'!H33</f>
        <v>0</v>
      </c>
      <c r="H33" s="504">
        <f>'Pro Forma Adj'!L33</f>
        <v>324423.69237473473</v>
      </c>
      <c r="I33" s="507">
        <f>'Pro Forma Adj'!M33</f>
        <v>-4775135.940495275</v>
      </c>
      <c r="J33" s="506">
        <f>'Pro Forma Adj'!V33</f>
        <v>281977.30133919505</v>
      </c>
      <c r="K33" s="505">
        <f>'Pro Forma Adj'!W33</f>
        <v>830354.64168063516</v>
      </c>
    </row>
    <row r="34" spans="1:11">
      <c r="A34" s="501" t="s">
        <v>78</v>
      </c>
      <c r="B34" s="503">
        <f t="shared" si="1"/>
        <v>0</v>
      </c>
      <c r="C34" s="507">
        <f>'Restating Adj'!D34</f>
        <v>0</v>
      </c>
      <c r="D34" s="504">
        <f>'Restating Adj'!G34+'Pro Forma Adj'!F34</f>
        <v>0</v>
      </c>
      <c r="E34" s="505">
        <f>'Pro Forma Adj'!G34</f>
        <v>0</v>
      </c>
      <c r="F34" s="506">
        <f>'Restating Adj'!H34</f>
        <v>0</v>
      </c>
      <c r="G34" s="507">
        <f>'Pro Forma Adj'!H34</f>
        <v>0</v>
      </c>
      <c r="H34" s="504">
        <f>'Pro Forma Adj'!L34</f>
        <v>0</v>
      </c>
      <c r="I34" s="507">
        <f>'Pro Forma Adj'!M34</f>
        <v>0</v>
      </c>
      <c r="J34" s="506">
        <f>'Pro Forma Adj'!V34</f>
        <v>0</v>
      </c>
      <c r="K34" s="505">
        <f>'Pro Forma Adj'!W34</f>
        <v>0</v>
      </c>
    </row>
    <row r="35" spans="1:11">
      <c r="A35" s="501" t="s">
        <v>79</v>
      </c>
      <c r="B35" s="503">
        <f t="shared" si="1"/>
        <v>0</v>
      </c>
      <c r="C35" s="507">
        <f>'Restating Adj'!D35</f>
        <v>0</v>
      </c>
      <c r="D35" s="504">
        <f>'Restating Adj'!G35+'Pro Forma Adj'!F35</f>
        <v>0</v>
      </c>
      <c r="E35" s="505">
        <f>'Pro Forma Adj'!G35</f>
        <v>0</v>
      </c>
      <c r="F35" s="506">
        <f>'Restating Adj'!H35</f>
        <v>0</v>
      </c>
      <c r="G35" s="507">
        <f>'Pro Forma Adj'!H35</f>
        <v>0</v>
      </c>
      <c r="H35" s="504">
        <f>'Pro Forma Adj'!L35</f>
        <v>0</v>
      </c>
      <c r="I35" s="507">
        <f>'Pro Forma Adj'!M35</f>
        <v>0</v>
      </c>
      <c r="J35" s="506">
        <f>'Pro Forma Adj'!V35</f>
        <v>0</v>
      </c>
      <c r="K35" s="505">
        <f>'Pro Forma Adj'!W35</f>
        <v>0</v>
      </c>
    </row>
    <row r="36" spans="1:11" ht="11.25" customHeight="1">
      <c r="A36" s="501" t="s">
        <v>80</v>
      </c>
      <c r="B36" s="503">
        <f t="shared" si="1"/>
        <v>0</v>
      </c>
      <c r="C36" s="507">
        <f>'Restating Adj'!D36</f>
        <v>0</v>
      </c>
      <c r="D36" s="504">
        <f>'Restating Adj'!G36+'Pro Forma Adj'!F36</f>
        <v>0</v>
      </c>
      <c r="E36" s="505">
        <f>'Pro Forma Adj'!G36</f>
        <v>0</v>
      </c>
      <c r="F36" s="506">
        <f>'Restating Adj'!H36</f>
        <v>0</v>
      </c>
      <c r="G36" s="507">
        <f>'Pro Forma Adj'!H36</f>
        <v>0</v>
      </c>
      <c r="H36" s="504">
        <f>'Pro Forma Adj'!L36</f>
        <v>0</v>
      </c>
      <c r="I36" s="507">
        <f>'Pro Forma Adj'!M36</f>
        <v>0</v>
      </c>
      <c r="J36" s="506">
        <f>'Pro Forma Adj'!V36</f>
        <v>0</v>
      </c>
      <c r="K36" s="505">
        <f>'Pro Forma Adj'!W36</f>
        <v>0</v>
      </c>
    </row>
    <row r="37" spans="1:11">
      <c r="A37" s="501" t="s">
        <v>81</v>
      </c>
      <c r="B37" s="503">
        <f t="shared" si="1"/>
        <v>15951.581451000529</v>
      </c>
      <c r="C37" s="507">
        <f>'Restating Adj'!D37</f>
        <v>0</v>
      </c>
      <c r="D37" s="504">
        <f>'Restating Adj'!G37+'Pro Forma Adj'!F37</f>
        <v>0</v>
      </c>
      <c r="E37" s="505">
        <f>'Pro Forma Adj'!G37</f>
        <v>0</v>
      </c>
      <c r="F37" s="506">
        <f>'Restating Adj'!H37</f>
        <v>0</v>
      </c>
      <c r="G37" s="507">
        <f>'Pro Forma Adj'!H37</f>
        <v>0</v>
      </c>
      <c r="H37" s="504">
        <f>'Pro Forma Adj'!L37</f>
        <v>0</v>
      </c>
      <c r="I37" s="507">
        <f>'Pro Forma Adj'!M37</f>
        <v>0</v>
      </c>
      <c r="J37" s="506">
        <f>'Pro Forma Adj'!V37</f>
        <v>0</v>
      </c>
      <c r="K37" s="505">
        <f>'Pro Forma Adj'!W37</f>
        <v>15951.581451000529</v>
      </c>
    </row>
    <row r="38" spans="1:11">
      <c r="A38" s="501" t="s">
        <v>82</v>
      </c>
      <c r="B38" s="509">
        <f t="shared" si="1"/>
        <v>-22079768.494327791</v>
      </c>
      <c r="C38" s="510">
        <f t="shared" ref="C38:K38" si="3">SUM(C29:C37)</f>
        <v>3892026.5999999964</v>
      </c>
      <c r="D38" s="510">
        <f t="shared" si="3"/>
        <v>259190.20860160963</v>
      </c>
      <c r="E38" s="511">
        <f t="shared" si="3"/>
        <v>352650.74886430608</v>
      </c>
      <c r="F38" s="512">
        <f t="shared" si="3"/>
        <v>-86025.10682635993</v>
      </c>
      <c r="G38" s="510">
        <f t="shared" si="3"/>
        <v>0</v>
      </c>
      <c r="H38" s="510">
        <f t="shared" si="3"/>
        <v>166295.03833923308</v>
      </c>
      <c r="I38" s="510">
        <f t="shared" si="3"/>
        <v>-24123157.895419817</v>
      </c>
      <c r="J38" s="512">
        <f t="shared" si="3"/>
        <v>-523672.1310585051</v>
      </c>
      <c r="K38" s="511">
        <f t="shared" si="3"/>
        <v>-2017075.956828251</v>
      </c>
    </row>
    <row r="39" spans="1:11">
      <c r="A39" s="517"/>
      <c r="B39" s="502">
        <f t="shared" si="1"/>
        <v>0</v>
      </c>
      <c r="C39" s="496"/>
      <c r="D39" s="496"/>
      <c r="E39" s="497"/>
      <c r="F39" s="498"/>
      <c r="G39" s="496"/>
      <c r="H39" s="496"/>
      <c r="I39" s="496"/>
      <c r="J39" s="498"/>
      <c r="K39" s="497"/>
    </row>
    <row r="40" spans="1:11" ht="16.5" thickBot="1">
      <c r="A40" s="518" t="s">
        <v>83</v>
      </c>
      <c r="B40" s="519">
        <f t="shared" si="1"/>
        <v>3251830.8356518894</v>
      </c>
      <c r="C40" s="520">
        <f t="shared" ref="C40:K40" si="4">C16-C38</f>
        <v>9163677.3999999948</v>
      </c>
      <c r="D40" s="520">
        <f t="shared" si="4"/>
        <v>602352.36190478317</v>
      </c>
      <c r="E40" s="521">
        <f t="shared" si="4"/>
        <v>654922.81931942562</v>
      </c>
      <c r="F40" s="522">
        <f t="shared" si="4"/>
        <v>86025.10682635993</v>
      </c>
      <c r="G40" s="520">
        <f t="shared" si="4"/>
        <v>0</v>
      </c>
      <c r="H40" s="520">
        <f t="shared" si="4"/>
        <v>-166295.03833923308</v>
      </c>
      <c r="I40" s="520">
        <f t="shared" si="4"/>
        <v>-8868109.6037769392</v>
      </c>
      <c r="J40" s="522">
        <f t="shared" si="4"/>
        <v>523672.1310585051</v>
      </c>
      <c r="K40" s="521">
        <f t="shared" si="4"/>
        <v>1255585.6586589941</v>
      </c>
    </row>
    <row r="41" spans="1:11" ht="16.5" thickTop="1">
      <c r="A41" s="501"/>
      <c r="B41" s="502"/>
      <c r="C41" s="496"/>
      <c r="D41" s="496"/>
      <c r="E41" s="497"/>
      <c r="F41" s="498"/>
      <c r="G41" s="496"/>
      <c r="H41" s="496"/>
      <c r="I41" s="496"/>
      <c r="J41" s="498"/>
      <c r="K41" s="497"/>
    </row>
    <row r="42" spans="1:11">
      <c r="A42" s="501" t="s">
        <v>84</v>
      </c>
      <c r="B42" s="502"/>
      <c r="C42" s="496"/>
      <c r="D42" s="496"/>
      <c r="E42" s="497"/>
      <c r="F42" s="498"/>
      <c r="G42" s="496"/>
      <c r="H42" s="496"/>
      <c r="I42" s="496"/>
      <c r="J42" s="498"/>
      <c r="K42" s="497"/>
    </row>
    <row r="43" spans="1:11">
      <c r="A43" s="501" t="s">
        <v>85</v>
      </c>
      <c r="B43" s="503">
        <f t="shared" ref="B43:B54" si="5">SUM(C43:K43)</f>
        <v>-12145577.937201677</v>
      </c>
      <c r="C43" s="507">
        <f>'Restating Adj'!D43</f>
        <v>0</v>
      </c>
      <c r="D43" s="504">
        <f>'Restating Adj'!G43+'Pro Forma Adj'!F43</f>
        <v>0</v>
      </c>
      <c r="E43" s="505">
        <f>'Pro Forma Adj'!G43</f>
        <v>0</v>
      </c>
      <c r="F43" s="506">
        <f>'Restating Adj'!H43</f>
        <v>0</v>
      </c>
      <c r="G43" s="507">
        <f>'Pro Forma Adj'!H43</f>
        <v>0</v>
      </c>
      <c r="H43" s="504">
        <f>'Pro Forma Adj'!L43</f>
        <v>0</v>
      </c>
      <c r="I43" s="507">
        <f>'Pro Forma Adj'!M43</f>
        <v>0</v>
      </c>
      <c r="J43" s="506">
        <f>'Pro Forma Adj'!V43</f>
        <v>-11114449.246748975</v>
      </c>
      <c r="K43" s="505">
        <f>'Pro Forma Adj'!W43</f>
        <v>-1031128.6904527023</v>
      </c>
    </row>
    <row r="44" spans="1:11">
      <c r="A44" s="501" t="s">
        <v>86</v>
      </c>
      <c r="B44" s="503">
        <f t="shared" si="5"/>
        <v>0</v>
      </c>
      <c r="C44" s="507">
        <f>'Restating Adj'!D44</f>
        <v>0</v>
      </c>
      <c r="D44" s="504">
        <f>'Restating Adj'!G44+'Pro Forma Adj'!F44</f>
        <v>0</v>
      </c>
      <c r="E44" s="505">
        <f>'Pro Forma Adj'!G44</f>
        <v>0</v>
      </c>
      <c r="F44" s="506">
        <f>'Restating Adj'!H44</f>
        <v>0</v>
      </c>
      <c r="G44" s="507">
        <f>'Pro Forma Adj'!H44</f>
        <v>0</v>
      </c>
      <c r="H44" s="504">
        <f>'Pro Forma Adj'!L44</f>
        <v>0</v>
      </c>
      <c r="I44" s="507">
        <f>'Pro Forma Adj'!M44</f>
        <v>0</v>
      </c>
      <c r="J44" s="506">
        <f>'Pro Forma Adj'!V44</f>
        <v>0</v>
      </c>
      <c r="K44" s="505">
        <f>'Pro Forma Adj'!W44</f>
        <v>0</v>
      </c>
    </row>
    <row r="45" spans="1:11">
      <c r="A45" s="501" t="s">
        <v>87</v>
      </c>
      <c r="B45" s="503">
        <f t="shared" si="5"/>
        <v>-6730.423763757688</v>
      </c>
      <c r="C45" s="507">
        <f>'Restating Adj'!D45</f>
        <v>0</v>
      </c>
      <c r="D45" s="504">
        <f>'Restating Adj'!G45+'Pro Forma Adj'!F45</f>
        <v>0</v>
      </c>
      <c r="E45" s="505">
        <f>'Pro Forma Adj'!G45</f>
        <v>0</v>
      </c>
      <c r="F45" s="506">
        <f>'Restating Adj'!H45</f>
        <v>0</v>
      </c>
      <c r="G45" s="507">
        <f>'Pro Forma Adj'!H45</f>
        <v>0</v>
      </c>
      <c r="H45" s="504">
        <f>'Pro Forma Adj'!L45</f>
        <v>0</v>
      </c>
      <c r="I45" s="507">
        <f>'Pro Forma Adj'!M45</f>
        <v>0</v>
      </c>
      <c r="J45" s="506">
        <f>'Pro Forma Adj'!V45</f>
        <v>0</v>
      </c>
      <c r="K45" s="505">
        <f>'Pro Forma Adj'!W45</f>
        <v>-6730.423763757688</v>
      </c>
    </row>
    <row r="46" spans="1:11">
      <c r="A46" s="501" t="s">
        <v>88</v>
      </c>
      <c r="B46" s="503">
        <f t="shared" si="5"/>
        <v>0</v>
      </c>
      <c r="C46" s="507">
        <f>'Restating Adj'!D46</f>
        <v>0</v>
      </c>
      <c r="D46" s="504">
        <f>'Restating Adj'!G46+'Pro Forma Adj'!F46</f>
        <v>0</v>
      </c>
      <c r="E46" s="505">
        <f>'Pro Forma Adj'!G46</f>
        <v>0</v>
      </c>
      <c r="F46" s="506">
        <f>'Restating Adj'!H46</f>
        <v>0</v>
      </c>
      <c r="G46" s="507">
        <f>'Pro Forma Adj'!H46</f>
        <v>0</v>
      </c>
      <c r="H46" s="504">
        <f>'Pro Forma Adj'!L46</f>
        <v>0</v>
      </c>
      <c r="I46" s="507">
        <f>'Pro Forma Adj'!M46</f>
        <v>0</v>
      </c>
      <c r="J46" s="506">
        <f>'Pro Forma Adj'!V46</f>
        <v>0</v>
      </c>
      <c r="K46" s="505">
        <f>'Pro Forma Adj'!W46</f>
        <v>0</v>
      </c>
    </row>
    <row r="47" spans="1:11">
      <c r="A47" s="501" t="s">
        <v>89</v>
      </c>
      <c r="B47" s="503">
        <f t="shared" si="5"/>
        <v>0</v>
      </c>
      <c r="C47" s="507">
        <f>'Restating Adj'!D47</f>
        <v>0</v>
      </c>
      <c r="D47" s="504">
        <f>'Restating Adj'!G47+'Pro Forma Adj'!F47</f>
        <v>0</v>
      </c>
      <c r="E47" s="505">
        <f>'Pro Forma Adj'!G47</f>
        <v>0</v>
      </c>
      <c r="F47" s="506">
        <f>'Restating Adj'!H47</f>
        <v>0</v>
      </c>
      <c r="G47" s="507">
        <f>'Pro Forma Adj'!H47</f>
        <v>0</v>
      </c>
      <c r="H47" s="504">
        <f>'Pro Forma Adj'!L47</f>
        <v>0</v>
      </c>
      <c r="I47" s="507">
        <f>'Pro Forma Adj'!M47</f>
        <v>0</v>
      </c>
      <c r="J47" s="506">
        <f>'Pro Forma Adj'!V47</f>
        <v>0</v>
      </c>
      <c r="K47" s="505">
        <f>'Pro Forma Adj'!W47</f>
        <v>0</v>
      </c>
    </row>
    <row r="48" spans="1:11">
      <c r="A48" s="501" t="s">
        <v>90</v>
      </c>
      <c r="B48" s="503">
        <f t="shared" si="5"/>
        <v>0</v>
      </c>
      <c r="C48" s="507">
        <f>'Restating Adj'!D48</f>
        <v>0</v>
      </c>
      <c r="D48" s="504">
        <f>'Restating Adj'!G48+'Pro Forma Adj'!F48</f>
        <v>0</v>
      </c>
      <c r="E48" s="505">
        <f>'Pro Forma Adj'!G48</f>
        <v>0</v>
      </c>
      <c r="F48" s="506">
        <f>'Restating Adj'!H48</f>
        <v>0</v>
      </c>
      <c r="G48" s="507">
        <f>'Pro Forma Adj'!H48</f>
        <v>0</v>
      </c>
      <c r="H48" s="504">
        <f>'Pro Forma Adj'!L48</f>
        <v>0</v>
      </c>
      <c r="I48" s="507">
        <f>'Pro Forma Adj'!M48</f>
        <v>0</v>
      </c>
      <c r="J48" s="506">
        <f>'Pro Forma Adj'!V48</f>
        <v>0</v>
      </c>
      <c r="K48" s="505">
        <f>'Pro Forma Adj'!W48</f>
        <v>0</v>
      </c>
    </row>
    <row r="49" spans="1:11">
      <c r="A49" s="501" t="s">
        <v>91</v>
      </c>
      <c r="B49" s="503">
        <f t="shared" si="5"/>
        <v>0</v>
      </c>
      <c r="C49" s="507">
        <f>'Restating Adj'!D49</f>
        <v>0</v>
      </c>
      <c r="D49" s="504">
        <f>'Restating Adj'!G49+'Pro Forma Adj'!F49</f>
        <v>0</v>
      </c>
      <c r="E49" s="505">
        <f>'Pro Forma Adj'!G49</f>
        <v>0</v>
      </c>
      <c r="F49" s="506">
        <f>'Restating Adj'!H49</f>
        <v>0</v>
      </c>
      <c r="G49" s="507">
        <f>'Pro Forma Adj'!H49</f>
        <v>0</v>
      </c>
      <c r="H49" s="504">
        <f>'Pro Forma Adj'!L49</f>
        <v>0</v>
      </c>
      <c r="I49" s="507">
        <f>'Pro Forma Adj'!M49</f>
        <v>0</v>
      </c>
      <c r="J49" s="506">
        <f>'Pro Forma Adj'!V49</f>
        <v>0</v>
      </c>
      <c r="K49" s="505">
        <f>'Pro Forma Adj'!W49</f>
        <v>0</v>
      </c>
    </row>
    <row r="50" spans="1:11">
      <c r="A50" s="501" t="s">
        <v>92</v>
      </c>
      <c r="B50" s="503">
        <f t="shared" si="5"/>
        <v>0</v>
      </c>
      <c r="C50" s="507">
        <f>'Restating Adj'!D50</f>
        <v>0</v>
      </c>
      <c r="D50" s="504">
        <f>'Restating Adj'!G50+'Pro Forma Adj'!F50</f>
        <v>0</v>
      </c>
      <c r="E50" s="505">
        <f>'Pro Forma Adj'!G50</f>
        <v>0</v>
      </c>
      <c r="F50" s="506">
        <f>'Restating Adj'!H50</f>
        <v>0</v>
      </c>
      <c r="G50" s="507">
        <f>'Pro Forma Adj'!H50</f>
        <v>0</v>
      </c>
      <c r="H50" s="504">
        <f>'Pro Forma Adj'!L50</f>
        <v>0</v>
      </c>
      <c r="I50" s="507">
        <f>'Pro Forma Adj'!M50</f>
        <v>0</v>
      </c>
      <c r="J50" s="506">
        <f>'Pro Forma Adj'!V50</f>
        <v>0</v>
      </c>
      <c r="K50" s="505">
        <f>'Pro Forma Adj'!W50</f>
        <v>0</v>
      </c>
    </row>
    <row r="51" spans="1:11">
      <c r="A51" s="501" t="s">
        <v>93</v>
      </c>
      <c r="B51" s="503">
        <f t="shared" si="5"/>
        <v>0</v>
      </c>
      <c r="C51" s="507">
        <f>'Restating Adj'!D51</f>
        <v>0</v>
      </c>
      <c r="D51" s="504">
        <f>'Restating Adj'!G51+'Pro Forma Adj'!F51</f>
        <v>0</v>
      </c>
      <c r="E51" s="505">
        <f>'Pro Forma Adj'!G51</f>
        <v>0</v>
      </c>
      <c r="F51" s="506">
        <f>'Restating Adj'!H51</f>
        <v>0</v>
      </c>
      <c r="G51" s="507">
        <f>'Pro Forma Adj'!H51</f>
        <v>0</v>
      </c>
      <c r="H51" s="504">
        <f>'Pro Forma Adj'!L51</f>
        <v>0</v>
      </c>
      <c r="I51" s="507">
        <f>'Pro Forma Adj'!M51</f>
        <v>0</v>
      </c>
      <c r="J51" s="506">
        <f>'Pro Forma Adj'!V51</f>
        <v>0</v>
      </c>
      <c r="K51" s="505">
        <f>'Pro Forma Adj'!W51</f>
        <v>0</v>
      </c>
    </row>
    <row r="52" spans="1:11">
      <c r="A52" s="501" t="s">
        <v>94</v>
      </c>
      <c r="B52" s="503">
        <f t="shared" si="5"/>
        <v>0</v>
      </c>
      <c r="C52" s="507">
        <f>'Restating Adj'!D52</f>
        <v>0</v>
      </c>
      <c r="D52" s="504">
        <f>'Restating Adj'!G52+'Pro Forma Adj'!F52</f>
        <v>0</v>
      </c>
      <c r="E52" s="505">
        <f>'Pro Forma Adj'!G52</f>
        <v>0</v>
      </c>
      <c r="F52" s="506">
        <f>'Restating Adj'!H52</f>
        <v>0</v>
      </c>
      <c r="G52" s="507">
        <f>'Pro Forma Adj'!H52</f>
        <v>0</v>
      </c>
      <c r="H52" s="504">
        <f>'Pro Forma Adj'!L52</f>
        <v>0</v>
      </c>
      <c r="I52" s="507">
        <f>'Pro Forma Adj'!M52</f>
        <v>0</v>
      </c>
      <c r="J52" s="506">
        <f>'Pro Forma Adj'!V52</f>
        <v>0</v>
      </c>
      <c r="K52" s="505">
        <f>'Pro Forma Adj'!W52</f>
        <v>0</v>
      </c>
    </row>
    <row r="53" spans="1:11">
      <c r="A53" s="501" t="s">
        <v>95</v>
      </c>
      <c r="B53" s="503">
        <f t="shared" si="5"/>
        <v>0</v>
      </c>
      <c r="C53" s="507">
        <f>'Restating Adj'!D53</f>
        <v>0</v>
      </c>
      <c r="D53" s="504">
        <f>'Restating Adj'!G53+'Pro Forma Adj'!F53</f>
        <v>0</v>
      </c>
      <c r="E53" s="505">
        <f>'Pro Forma Adj'!G53</f>
        <v>0</v>
      </c>
      <c r="F53" s="506">
        <f>'Restating Adj'!H53</f>
        <v>0</v>
      </c>
      <c r="G53" s="507">
        <f>'Pro Forma Adj'!H53</f>
        <v>0</v>
      </c>
      <c r="H53" s="504">
        <f>'Pro Forma Adj'!L53</f>
        <v>0</v>
      </c>
      <c r="I53" s="507">
        <f>'Pro Forma Adj'!M53</f>
        <v>0</v>
      </c>
      <c r="J53" s="506">
        <f>'Pro Forma Adj'!V53</f>
        <v>0</v>
      </c>
      <c r="K53" s="505">
        <f>'Pro Forma Adj'!W53</f>
        <v>0</v>
      </c>
    </row>
    <row r="54" spans="1:11">
      <c r="A54" s="508" t="s">
        <v>96</v>
      </c>
      <c r="B54" s="523">
        <f t="shared" si="5"/>
        <v>-12152308.360965434</v>
      </c>
      <c r="C54" s="524">
        <f t="shared" ref="C54:I54" si="6">SUM(C43:C53)</f>
        <v>0</v>
      </c>
      <c r="D54" s="524">
        <f t="shared" si="6"/>
        <v>0</v>
      </c>
      <c r="E54" s="525">
        <f t="shared" si="6"/>
        <v>0</v>
      </c>
      <c r="F54" s="526">
        <f t="shared" si="6"/>
        <v>0</v>
      </c>
      <c r="G54" s="524">
        <f t="shared" si="6"/>
        <v>0</v>
      </c>
      <c r="H54" s="524">
        <f t="shared" si="6"/>
        <v>0</v>
      </c>
      <c r="I54" s="524">
        <f t="shared" si="6"/>
        <v>0</v>
      </c>
      <c r="J54" s="526">
        <f>SUM(J43:J53)</f>
        <v>-11114449.246748975</v>
      </c>
      <c r="K54" s="525">
        <f>SUM(K43:K53)</f>
        <v>-1037859.11421646</v>
      </c>
    </row>
    <row r="55" spans="1:11">
      <c r="A55" s="501"/>
      <c r="B55" s="502"/>
      <c r="C55" s="496"/>
      <c r="D55" s="496"/>
      <c r="E55" s="497"/>
      <c r="F55" s="498"/>
      <c r="G55" s="496"/>
      <c r="H55" s="496"/>
      <c r="I55" s="496"/>
      <c r="J55" s="498"/>
      <c r="K55" s="497"/>
    </row>
    <row r="56" spans="1:11">
      <c r="A56" s="501" t="s">
        <v>97</v>
      </c>
      <c r="B56" s="502"/>
      <c r="C56" s="496"/>
      <c r="D56" s="496"/>
      <c r="E56" s="497"/>
      <c r="F56" s="498"/>
      <c r="G56" s="496"/>
      <c r="H56" s="496"/>
      <c r="I56" s="496"/>
      <c r="J56" s="498"/>
      <c r="K56" s="497"/>
    </row>
    <row r="57" spans="1:11">
      <c r="A57" s="501" t="s">
        <v>98</v>
      </c>
      <c r="B57" s="503">
        <f t="shared" ref="B57:B65" si="7">SUM(C57:K57)</f>
        <v>4071550.5187301748</v>
      </c>
      <c r="C57" s="507">
        <f>'Restating Adj'!D57</f>
        <v>0</v>
      </c>
      <c r="D57" s="504">
        <f>'Restating Adj'!G57+'Pro Forma Adj'!F57</f>
        <v>0</v>
      </c>
      <c r="E57" s="505">
        <f>'Pro Forma Adj'!G57</f>
        <v>0</v>
      </c>
      <c r="F57" s="506">
        <f>'Restating Adj'!H57</f>
        <v>0</v>
      </c>
      <c r="G57" s="507">
        <f>'Pro Forma Adj'!H57</f>
        <v>0</v>
      </c>
      <c r="H57" s="504">
        <f>'Pro Forma Adj'!L57</f>
        <v>0</v>
      </c>
      <c r="I57" s="507">
        <f>'Pro Forma Adj'!M57</f>
        <v>0</v>
      </c>
      <c r="J57" s="506">
        <f>'Pro Forma Adj'!V57</f>
        <v>3603236.6969485842</v>
      </c>
      <c r="K57" s="505">
        <f>'Pro Forma Adj'!W57</f>
        <v>468313.82178159058</v>
      </c>
    </row>
    <row r="58" spans="1:11">
      <c r="A58" s="501" t="s">
        <v>99</v>
      </c>
      <c r="B58" s="503">
        <f t="shared" si="7"/>
        <v>0</v>
      </c>
      <c r="C58" s="507">
        <f>'Restating Adj'!D58</f>
        <v>0</v>
      </c>
      <c r="D58" s="504">
        <f>'Restating Adj'!G58+'Pro Forma Adj'!F58</f>
        <v>0</v>
      </c>
      <c r="E58" s="505">
        <f>'Pro Forma Adj'!G58</f>
        <v>0</v>
      </c>
      <c r="F58" s="506">
        <f>'Restating Adj'!H58</f>
        <v>0</v>
      </c>
      <c r="G58" s="507">
        <f>'Pro Forma Adj'!H58</f>
        <v>0</v>
      </c>
      <c r="H58" s="504">
        <f>'Pro Forma Adj'!L58</f>
        <v>0</v>
      </c>
      <c r="I58" s="507">
        <f>'Pro Forma Adj'!M58</f>
        <v>0</v>
      </c>
      <c r="J58" s="506">
        <f>'Pro Forma Adj'!V58</f>
        <v>0</v>
      </c>
      <c r="K58" s="505">
        <f>'Pro Forma Adj'!W58</f>
        <v>0</v>
      </c>
    </row>
    <row r="59" spans="1:11">
      <c r="A59" s="501" t="s">
        <v>100</v>
      </c>
      <c r="B59" s="503">
        <f t="shared" si="7"/>
        <v>0</v>
      </c>
      <c r="C59" s="507">
        <f>'Restating Adj'!D59</f>
        <v>0</v>
      </c>
      <c r="D59" s="504">
        <f>'Restating Adj'!G59+'Pro Forma Adj'!F59</f>
        <v>0</v>
      </c>
      <c r="E59" s="505">
        <f>'Pro Forma Adj'!G59</f>
        <v>0</v>
      </c>
      <c r="F59" s="506">
        <f>'Restating Adj'!H59</f>
        <v>0</v>
      </c>
      <c r="G59" s="507">
        <f>'Pro Forma Adj'!H59</f>
        <v>0</v>
      </c>
      <c r="H59" s="504">
        <f>'Pro Forma Adj'!L59</f>
        <v>0</v>
      </c>
      <c r="I59" s="507">
        <f>'Pro Forma Adj'!M59</f>
        <v>0</v>
      </c>
      <c r="J59" s="506">
        <f>'Pro Forma Adj'!V59</f>
        <v>0</v>
      </c>
      <c r="K59" s="505">
        <f>'Pro Forma Adj'!W59</f>
        <v>0</v>
      </c>
    </row>
    <row r="60" spans="1:11">
      <c r="A60" s="501" t="s">
        <v>101</v>
      </c>
      <c r="B60" s="503">
        <f t="shared" si="7"/>
        <v>0</v>
      </c>
      <c r="C60" s="507">
        <f>'Restating Adj'!D60</f>
        <v>0</v>
      </c>
      <c r="D60" s="504">
        <f>'Restating Adj'!G60+'Pro Forma Adj'!F60</f>
        <v>0</v>
      </c>
      <c r="E60" s="505">
        <f>'Pro Forma Adj'!G60</f>
        <v>0</v>
      </c>
      <c r="F60" s="506">
        <f>'Restating Adj'!H60</f>
        <v>0</v>
      </c>
      <c r="G60" s="507">
        <f>'Pro Forma Adj'!H60</f>
        <v>0</v>
      </c>
      <c r="H60" s="504">
        <f>'Pro Forma Adj'!L60</f>
        <v>0</v>
      </c>
      <c r="I60" s="507">
        <f>'Pro Forma Adj'!M60</f>
        <v>0</v>
      </c>
      <c r="J60" s="506">
        <f>'Pro Forma Adj'!V60</f>
        <v>0</v>
      </c>
      <c r="K60" s="505">
        <f>'Pro Forma Adj'!W60</f>
        <v>0</v>
      </c>
    </row>
    <row r="61" spans="1:11">
      <c r="A61" s="501" t="s">
        <v>102</v>
      </c>
      <c r="B61" s="503">
        <f t="shared" si="7"/>
        <v>0</v>
      </c>
      <c r="C61" s="507">
        <f>'Restating Adj'!D61</f>
        <v>0</v>
      </c>
      <c r="D61" s="504">
        <f>'Restating Adj'!G61+'Pro Forma Adj'!F61</f>
        <v>0</v>
      </c>
      <c r="E61" s="505">
        <f>'Pro Forma Adj'!G61</f>
        <v>0</v>
      </c>
      <c r="F61" s="506">
        <f>'Restating Adj'!H61</f>
        <v>0</v>
      </c>
      <c r="G61" s="507">
        <f>'Pro Forma Adj'!H61</f>
        <v>0</v>
      </c>
      <c r="H61" s="504">
        <f>'Pro Forma Adj'!L61</f>
        <v>0</v>
      </c>
      <c r="I61" s="507">
        <f>'Pro Forma Adj'!M61</f>
        <v>0</v>
      </c>
      <c r="J61" s="506">
        <f>'Pro Forma Adj'!V61</f>
        <v>0</v>
      </c>
      <c r="K61" s="505">
        <f>'Pro Forma Adj'!W61</f>
        <v>0</v>
      </c>
    </row>
    <row r="62" spans="1:11">
      <c r="A62" s="501" t="s">
        <v>103</v>
      </c>
      <c r="B62" s="503">
        <f t="shared" si="7"/>
        <v>0</v>
      </c>
      <c r="C62" s="507">
        <f>'Restating Adj'!D62</f>
        <v>0</v>
      </c>
      <c r="D62" s="504">
        <f>'Restating Adj'!G62+'Pro Forma Adj'!F62</f>
        <v>0</v>
      </c>
      <c r="E62" s="505">
        <f>'Pro Forma Adj'!G62</f>
        <v>0</v>
      </c>
      <c r="F62" s="506">
        <f>'Restating Adj'!H62</f>
        <v>0</v>
      </c>
      <c r="G62" s="507">
        <f>'Pro Forma Adj'!H62</f>
        <v>0</v>
      </c>
      <c r="H62" s="504">
        <f>'Pro Forma Adj'!L62</f>
        <v>0</v>
      </c>
      <c r="I62" s="507">
        <f>'Pro Forma Adj'!M62</f>
        <v>0</v>
      </c>
      <c r="J62" s="506">
        <f>'Pro Forma Adj'!V62</f>
        <v>0</v>
      </c>
      <c r="K62" s="505">
        <f>'Pro Forma Adj'!W62</f>
        <v>0</v>
      </c>
    </row>
    <row r="63" spans="1:11">
      <c r="A63" s="501" t="s">
        <v>104</v>
      </c>
      <c r="B63" s="503">
        <f t="shared" si="7"/>
        <v>56207.192047362681</v>
      </c>
      <c r="C63" s="507">
        <f>'Restating Adj'!D63</f>
        <v>0</v>
      </c>
      <c r="D63" s="504">
        <f>'Restating Adj'!G63+'Pro Forma Adj'!F63</f>
        <v>0</v>
      </c>
      <c r="E63" s="505">
        <f>'Pro Forma Adj'!G63</f>
        <v>0</v>
      </c>
      <c r="F63" s="506">
        <f>'Restating Adj'!H63</f>
        <v>0</v>
      </c>
      <c r="G63" s="507">
        <f>'Pro Forma Adj'!H63</f>
        <v>0</v>
      </c>
      <c r="H63" s="504">
        <f>'Pro Forma Adj'!L63</f>
        <v>0</v>
      </c>
      <c r="I63" s="507">
        <f>'Pro Forma Adj'!M63</f>
        <v>0</v>
      </c>
      <c r="J63" s="506">
        <f>'Pro Forma Adj'!V63</f>
        <v>0</v>
      </c>
      <c r="K63" s="505">
        <f>'Pro Forma Adj'!W63</f>
        <v>56207.192047362681</v>
      </c>
    </row>
    <row r="64" spans="1:11">
      <c r="A64" s="501"/>
      <c r="B64" s="502">
        <f t="shared" si="7"/>
        <v>0</v>
      </c>
      <c r="C64" s="507">
        <f>'Restating Adj'!D64</f>
        <v>0</v>
      </c>
      <c r="D64" s="504">
        <f>'Restating Adj'!G64+'Pro Forma Adj'!F64</f>
        <v>0</v>
      </c>
      <c r="E64" s="505">
        <f>'Pro Forma Adj'!G64</f>
        <v>0</v>
      </c>
      <c r="F64" s="506">
        <f>'Restating Adj'!H64</f>
        <v>0</v>
      </c>
      <c r="G64" s="507">
        <f>'Pro Forma Adj'!H64</f>
        <v>0</v>
      </c>
      <c r="H64" s="504">
        <f>'Pro Forma Adj'!L64</f>
        <v>0</v>
      </c>
      <c r="I64" s="507">
        <f>'Pro Forma Adj'!M64</f>
        <v>0</v>
      </c>
      <c r="J64" s="506">
        <f>'Pro Forma Adj'!V64</f>
        <v>0</v>
      </c>
      <c r="K64" s="505">
        <f>'Pro Forma Adj'!W64</f>
        <v>0</v>
      </c>
    </row>
    <row r="65" spans="1:11">
      <c r="A65" s="508" t="s">
        <v>105</v>
      </c>
      <c r="B65" s="509">
        <f t="shared" si="7"/>
        <v>4127757.7107775374</v>
      </c>
      <c r="C65" s="510">
        <f t="shared" ref="C65:F65" si="8">SUM(C57:C64)</f>
        <v>0</v>
      </c>
      <c r="D65" s="510">
        <f t="shared" si="8"/>
        <v>0</v>
      </c>
      <c r="E65" s="511">
        <f t="shared" si="8"/>
        <v>0</v>
      </c>
      <c r="F65" s="512">
        <f t="shared" si="8"/>
        <v>0</v>
      </c>
      <c r="G65" s="510">
        <f t="shared" ref="G65" si="9">SUM(G57:G64)</f>
        <v>0</v>
      </c>
      <c r="H65" s="510">
        <f t="shared" ref="H65:I65" si="10">SUM(H57:H64)</f>
        <v>0</v>
      </c>
      <c r="I65" s="510">
        <f t="shared" si="10"/>
        <v>0</v>
      </c>
      <c r="J65" s="512">
        <f t="shared" ref="J65:K65" si="11">SUM(J57:J64)</f>
        <v>3603236.6969485842</v>
      </c>
      <c r="K65" s="511">
        <f t="shared" si="11"/>
        <v>524521.01382895326</v>
      </c>
    </row>
    <row r="66" spans="1:11">
      <c r="A66" s="501"/>
      <c r="B66" s="502"/>
      <c r="C66" s="496"/>
      <c r="D66" s="496"/>
      <c r="E66" s="497"/>
      <c r="F66" s="498"/>
      <c r="G66" s="496"/>
      <c r="H66" s="496"/>
      <c r="I66" s="496"/>
      <c r="J66" s="498"/>
      <c r="K66" s="497"/>
    </row>
    <row r="67" spans="1:11" ht="16.5" thickBot="1">
      <c r="A67" s="518" t="s">
        <v>106</v>
      </c>
      <c r="B67" s="527">
        <f>SUM(C67:K67)</f>
        <v>-8024550.6501878975</v>
      </c>
      <c r="C67" s="528">
        <f t="shared" ref="C67:K67" si="12">C54+C65</f>
        <v>0</v>
      </c>
      <c r="D67" s="528">
        <f t="shared" si="12"/>
        <v>0</v>
      </c>
      <c r="E67" s="529">
        <f t="shared" si="12"/>
        <v>0</v>
      </c>
      <c r="F67" s="530">
        <f t="shared" si="12"/>
        <v>0</v>
      </c>
      <c r="G67" s="531">
        <f t="shared" si="12"/>
        <v>0</v>
      </c>
      <c r="H67" s="531">
        <f t="shared" si="12"/>
        <v>0</v>
      </c>
      <c r="I67" s="531">
        <f t="shared" si="12"/>
        <v>0</v>
      </c>
      <c r="J67" s="532">
        <f t="shared" si="12"/>
        <v>-7511212.5498003904</v>
      </c>
      <c r="K67" s="533">
        <f t="shared" si="12"/>
        <v>-513338.10038750677</v>
      </c>
    </row>
    <row r="68" spans="1:11" ht="16.5" thickTop="1">
      <c r="A68" s="501"/>
      <c r="B68" s="502"/>
      <c r="C68" s="496"/>
      <c r="D68" s="496"/>
      <c r="E68" s="497"/>
      <c r="F68" s="498"/>
      <c r="G68" s="496"/>
      <c r="H68" s="496"/>
      <c r="I68" s="496"/>
      <c r="J68" s="498"/>
      <c r="K68" s="497"/>
    </row>
    <row r="69" spans="1:11">
      <c r="A69" s="501"/>
      <c r="B69" s="502"/>
      <c r="C69" s="496"/>
      <c r="D69" s="496"/>
      <c r="E69" s="497"/>
      <c r="F69" s="498"/>
      <c r="G69" s="496"/>
      <c r="H69" s="496"/>
      <c r="I69" s="496"/>
      <c r="J69" s="498"/>
      <c r="K69" s="497"/>
    </row>
    <row r="70" spans="1:11">
      <c r="A70" s="501" t="s">
        <v>186</v>
      </c>
      <c r="B70" s="534">
        <f t="shared" ref="B70:K70" si="13">(((B40+Unadj_Op_revenue)/(B67+Unadj_rate_base))-Weighted_cost_debt-Weighted_cost_pref)/Percent_common-Unadj_ROE</f>
        <v>9.9694864084923368E-3</v>
      </c>
      <c r="C70" s="535">
        <f t="shared" si="13"/>
        <v>2.4637661498840252E-2</v>
      </c>
      <c r="D70" s="535">
        <f t="shared" si="13"/>
        <v>1.619497604273705E-3</v>
      </c>
      <c r="E70" s="536">
        <f t="shared" si="13"/>
        <v>1.7608396745021002E-3</v>
      </c>
      <c r="F70" s="537">
        <f t="shared" si="13"/>
        <v>2.3128896510361818E-4</v>
      </c>
      <c r="G70" s="535">
        <f t="shared" ref="G70" si="14">(((G40+Restated_Op_revenue)/(G67+Restated_rate_base))-Weighted_cost_debt-Weighted_cost_pref)/Percent_common-Restated_ROE</f>
        <v>0</v>
      </c>
      <c r="H70" s="535">
        <f t="shared" si="13"/>
        <v>-4.4710444122997295E-4</v>
      </c>
      <c r="I70" s="535">
        <f t="shared" si="13"/>
        <v>-2.384299152133736E-2</v>
      </c>
      <c r="J70" s="537">
        <f t="shared" si="13"/>
        <v>2.4817913091900665E-3</v>
      </c>
      <c r="K70" s="536">
        <f t="shared" si="13"/>
        <v>3.4498398146250511E-3</v>
      </c>
    </row>
    <row r="71" spans="1:11">
      <c r="A71" s="501" t="s">
        <v>53</v>
      </c>
      <c r="B71" s="538">
        <f>SUM(C71:K71)</f>
        <v>-6244346.5423736926</v>
      </c>
      <c r="C71" s="434">
        <f t="shared" ref="C71:K71" si="15">-(C40-(C67*Overall_ROR))/gross_up_factor</f>
        <v>-14774643.922415871</v>
      </c>
      <c r="D71" s="434">
        <f t="shared" si="15"/>
        <v>-971175.79269752069</v>
      </c>
      <c r="E71" s="539">
        <f t="shared" si="15"/>
        <v>-1055935.4099598951</v>
      </c>
      <c r="F71" s="540">
        <f>-(F40-(F67*Overall_ROR))/gross_up_factor</f>
        <v>-138698.71954977981</v>
      </c>
      <c r="G71" s="496">
        <f t="shared" si="15"/>
        <v>0</v>
      </c>
      <c r="H71" s="434">
        <f t="shared" si="15"/>
        <v>268118.34051760333</v>
      </c>
      <c r="I71" s="434">
        <f t="shared" si="15"/>
        <v>14298098.453439755</v>
      </c>
      <c r="J71" s="540">
        <f t="shared" si="15"/>
        <v>-1781661.6132935451</v>
      </c>
      <c r="K71" s="539">
        <f t="shared" si="15"/>
        <v>-2088447.8784144386</v>
      </c>
    </row>
    <row r="72" spans="1:11">
      <c r="A72" s="501"/>
      <c r="B72" s="541"/>
      <c r="C72" s="542"/>
      <c r="D72" s="542"/>
      <c r="E72" s="543"/>
      <c r="F72" s="544"/>
      <c r="G72" s="542"/>
      <c r="H72" s="542"/>
      <c r="I72" s="542"/>
      <c r="J72" s="544"/>
      <c r="K72" s="543"/>
    </row>
    <row r="73" spans="1:11">
      <c r="A73" s="501" t="s">
        <v>108</v>
      </c>
      <c r="B73" s="502"/>
      <c r="C73" s="496"/>
      <c r="D73" s="496"/>
      <c r="E73" s="497"/>
      <c r="F73" s="498"/>
      <c r="G73" s="496"/>
      <c r="H73" s="496"/>
      <c r="I73" s="496"/>
      <c r="J73" s="498"/>
      <c r="K73" s="497"/>
    </row>
    <row r="74" spans="1:11">
      <c r="A74" s="501" t="s">
        <v>109</v>
      </c>
      <c r="B74" s="538">
        <f t="shared" ref="B74:B80" si="16">SUM(C74:K74)</f>
        <v>4528792.670270713</v>
      </c>
      <c r="C74" s="434">
        <f t="shared" ref="C74:K74" si="17">C16-C29-C30-C31-C32-C37</f>
        <v>13055703.999999991</v>
      </c>
      <c r="D74" s="434">
        <f t="shared" si="17"/>
        <v>926695.94139197399</v>
      </c>
      <c r="E74" s="539">
        <f t="shared" si="17"/>
        <v>1007573.5681837318</v>
      </c>
      <c r="F74" s="540">
        <f>F16-F29-F30-F31-F32-F37</f>
        <v>132346.31819439988</v>
      </c>
      <c r="G74" s="496">
        <f t="shared" si="17"/>
        <v>0</v>
      </c>
      <c r="H74" s="496">
        <f t="shared" ref="H74" si="18">H16-H29-H30-H31-H32-H37</f>
        <v>158128.65403550165</v>
      </c>
      <c r="I74" s="496">
        <f t="shared" si="17"/>
        <v>-13643245.544272214</v>
      </c>
      <c r="J74" s="498">
        <f t="shared" si="17"/>
        <v>805649.43239770015</v>
      </c>
      <c r="K74" s="497">
        <f t="shared" si="17"/>
        <v>2085940.3003396289</v>
      </c>
    </row>
    <row r="75" spans="1:11">
      <c r="A75" s="501" t="s">
        <v>110</v>
      </c>
      <c r="B75" s="502">
        <f t="shared" si="16"/>
        <v>0</v>
      </c>
      <c r="C75" s="496"/>
      <c r="D75" s="496"/>
      <c r="E75" s="497"/>
      <c r="F75" s="498"/>
      <c r="G75" s="496"/>
      <c r="H75" s="496"/>
      <c r="I75" s="496"/>
      <c r="J75" s="498"/>
      <c r="K75" s="497"/>
    </row>
    <row r="76" spans="1:11">
      <c r="A76" s="501" t="s">
        <v>111</v>
      </c>
      <c r="B76" s="503">
        <f t="shared" si="16"/>
        <v>0</v>
      </c>
      <c r="C76" s="504">
        <f>'Restating Adj'!D76</f>
        <v>0</v>
      </c>
      <c r="D76" s="504">
        <f>'Restating Adj'!G76+'Pro Forma Adj'!F76</f>
        <v>0</v>
      </c>
      <c r="E76" s="505">
        <f>'Pro Forma Adj'!G76</f>
        <v>0</v>
      </c>
      <c r="F76" s="506">
        <f>'Restating Adj'!H76</f>
        <v>0</v>
      </c>
      <c r="G76" s="507">
        <f>'Pro Forma Adj'!H76</f>
        <v>0</v>
      </c>
      <c r="H76" s="504">
        <f>'Pro Forma Adj'!L76</f>
        <v>0</v>
      </c>
      <c r="I76" s="507">
        <f>'Pro Forma Adj'!M76</f>
        <v>0</v>
      </c>
      <c r="J76" s="506">
        <f>'Pro Forma Adj'!V76</f>
        <v>0</v>
      </c>
      <c r="K76" s="505">
        <f>'Pro Forma Adj'!W76</f>
        <v>0</v>
      </c>
    </row>
    <row r="77" spans="1:11">
      <c r="A77" s="501" t="s">
        <v>112</v>
      </c>
      <c r="B77" s="503">
        <f t="shared" si="16"/>
        <v>0</v>
      </c>
      <c r="C77" s="504">
        <f>'Restating Adj'!D77</f>
        <v>0</v>
      </c>
      <c r="D77" s="504">
        <f>'Restating Adj'!G77+'Pro Forma Adj'!F77</f>
        <v>0</v>
      </c>
      <c r="E77" s="505">
        <f>'Pro Forma Adj'!G77</f>
        <v>0</v>
      </c>
      <c r="F77" s="506">
        <f>'Restating Adj'!H77</f>
        <v>0</v>
      </c>
      <c r="G77" s="507">
        <f>'Pro Forma Adj'!H77</f>
        <v>0</v>
      </c>
      <c r="H77" s="504">
        <f>'Pro Forma Adj'!L77</f>
        <v>0</v>
      </c>
      <c r="I77" s="507">
        <f>'Pro Forma Adj'!M77</f>
        <v>0</v>
      </c>
      <c r="J77" s="506">
        <f>'Pro Forma Adj'!V77</f>
        <v>0</v>
      </c>
      <c r="K77" s="505">
        <f>'Pro Forma Adj'!W77</f>
        <v>0</v>
      </c>
    </row>
    <row r="78" spans="1:11">
      <c r="A78" s="501" t="s">
        <v>113</v>
      </c>
      <c r="B78" s="503">
        <f t="shared" si="16"/>
        <v>-2349898.3023326043</v>
      </c>
      <c r="C78" s="504">
        <f>'Restating Adj'!D78</f>
        <v>-1935628</v>
      </c>
      <c r="D78" s="504">
        <f>'Restating Adj'!G78+'Pro Forma Adj'!F78</f>
        <v>0</v>
      </c>
      <c r="E78" s="505">
        <f>'Pro Forma Adj'!G78</f>
        <v>0</v>
      </c>
      <c r="F78" s="506">
        <f>'Restating Adj'!H78</f>
        <v>0</v>
      </c>
      <c r="G78" s="507">
        <f>'Pro Forma Adj'!H78</f>
        <v>0</v>
      </c>
      <c r="H78" s="504">
        <f>'Pro Forma Adj'!L78</f>
        <v>-414270.30233260454</v>
      </c>
      <c r="I78" s="507">
        <f>'Pro Forma Adj'!M78</f>
        <v>0</v>
      </c>
      <c r="J78" s="506">
        <f>'Pro Forma Adj'!V78</f>
        <v>0</v>
      </c>
      <c r="K78" s="505">
        <f>'Pro Forma Adj'!W78</f>
        <v>0</v>
      </c>
    </row>
    <row r="79" spans="1:11">
      <c r="A79" s="501" t="s">
        <v>114</v>
      </c>
      <c r="B79" s="502">
        <f t="shared" si="16"/>
        <v>-1183066.4836534879</v>
      </c>
      <c r="C79" s="504">
        <f>'Restating Adj'!D79</f>
        <v>0</v>
      </c>
      <c r="D79" s="504">
        <f>'Restating Adj'!G79+'Pro Forma Adj'!F79</f>
        <v>0</v>
      </c>
      <c r="E79" s="505">
        <f>'Pro Forma Adj'!G79</f>
        <v>0</v>
      </c>
      <c r="F79" s="506">
        <f>'Restating Adj'!H79</f>
        <v>0</v>
      </c>
      <c r="G79" s="507">
        <f>'Pro Forma Adj'!H79</f>
        <v>0</v>
      </c>
      <c r="H79" s="504">
        <f>'Pro Forma Adj'!L79</f>
        <v>-1183066.4836534879</v>
      </c>
      <c r="I79" s="507">
        <f>'Pro Forma Adj'!M79</f>
        <v>0</v>
      </c>
      <c r="J79" s="506">
        <f>'Pro Forma Adj'!V79</f>
        <v>0</v>
      </c>
      <c r="K79" s="505">
        <f>'Pro Forma Adj'!W79</f>
        <v>0</v>
      </c>
    </row>
    <row r="80" spans="1:11">
      <c r="A80" s="517" t="s">
        <v>115</v>
      </c>
      <c r="B80" s="545">
        <f t="shared" si="16"/>
        <v>3361960.8515915964</v>
      </c>
      <c r="C80" s="546">
        <f t="shared" ref="C80:K80" si="19">C74-C76-C77+C78-C79</f>
        <v>11120075.999999991</v>
      </c>
      <c r="D80" s="546">
        <f t="shared" si="19"/>
        <v>926695.94139197399</v>
      </c>
      <c r="E80" s="547">
        <f t="shared" si="19"/>
        <v>1007573.5681837318</v>
      </c>
      <c r="F80" s="548">
        <f t="shared" si="19"/>
        <v>132346.31819439988</v>
      </c>
      <c r="G80" s="514">
        <f t="shared" si="19"/>
        <v>0</v>
      </c>
      <c r="H80" s="514">
        <f t="shared" si="19"/>
        <v>926924.83535638498</v>
      </c>
      <c r="I80" s="514">
        <f t="shared" si="19"/>
        <v>-13643245.544272214</v>
      </c>
      <c r="J80" s="516">
        <f t="shared" si="19"/>
        <v>805649.43239770015</v>
      </c>
      <c r="K80" s="515">
        <f t="shared" si="19"/>
        <v>2085940.3003396289</v>
      </c>
    </row>
    <row r="81" spans="1:11">
      <c r="A81" s="501"/>
      <c r="B81" s="502"/>
      <c r="C81" s="496"/>
      <c r="D81" s="496"/>
      <c r="E81" s="497"/>
      <c r="F81" s="498"/>
      <c r="G81" s="496"/>
      <c r="H81" s="496"/>
      <c r="I81" s="496"/>
      <c r="J81" s="498"/>
      <c r="K81" s="497"/>
    </row>
    <row r="82" spans="1:11">
      <c r="A82" s="501" t="s">
        <v>116</v>
      </c>
      <c r="B82" s="482"/>
      <c r="C82" s="496"/>
      <c r="D82" s="496"/>
      <c r="E82" s="497"/>
      <c r="F82" s="498"/>
      <c r="G82" s="496">
        <v>0</v>
      </c>
      <c r="H82" s="496"/>
      <c r="I82" s="496">
        <v>0</v>
      </c>
      <c r="J82" s="498">
        <v>0</v>
      </c>
      <c r="K82" s="497">
        <v>0</v>
      </c>
    </row>
    <row r="83" spans="1:11">
      <c r="A83" s="501" t="s">
        <v>117</v>
      </c>
      <c r="B83" s="482">
        <f>SUM(C83:K83)</f>
        <v>3361960.8515915964</v>
      </c>
      <c r="C83" s="496">
        <f t="shared" ref="C83:K83" si="20">C80-C82</f>
        <v>11120075.999999991</v>
      </c>
      <c r="D83" s="496">
        <f t="shared" si="20"/>
        <v>926695.94139197399</v>
      </c>
      <c r="E83" s="497">
        <f t="shared" si="20"/>
        <v>1007573.5681837318</v>
      </c>
      <c r="F83" s="498">
        <f t="shared" si="20"/>
        <v>132346.31819439988</v>
      </c>
      <c r="G83" s="496">
        <f t="shared" si="20"/>
        <v>0</v>
      </c>
      <c r="H83" s="496">
        <f t="shared" si="20"/>
        <v>926924.83535638498</v>
      </c>
      <c r="I83" s="496">
        <f t="shared" si="20"/>
        <v>-13643245.544272214</v>
      </c>
      <c r="J83" s="498">
        <f t="shared" si="20"/>
        <v>805649.43239770015</v>
      </c>
      <c r="K83" s="497">
        <f t="shared" si="20"/>
        <v>2085940.3003396289</v>
      </c>
    </row>
    <row r="84" spans="1:11">
      <c r="A84" s="501"/>
      <c r="B84" s="482"/>
      <c r="C84" s="496"/>
      <c r="D84" s="496"/>
      <c r="E84" s="497"/>
      <c r="F84" s="498"/>
      <c r="G84" s="496"/>
      <c r="H84" s="496"/>
      <c r="I84" s="496"/>
      <c r="J84" s="498"/>
      <c r="K84" s="497"/>
    </row>
    <row r="85" spans="1:11">
      <c r="A85" s="501" t="s">
        <v>166</v>
      </c>
      <c r="B85" s="482">
        <f>SUM(C85:K85)</f>
        <v>1176686.2980570591</v>
      </c>
      <c r="C85" s="496">
        <f t="shared" ref="C85:K85" si="21">C83*0.35</f>
        <v>3892026.5999999964</v>
      </c>
      <c r="D85" s="496">
        <f t="shared" si="21"/>
        <v>324343.57948719087</v>
      </c>
      <c r="E85" s="497">
        <f t="shared" si="21"/>
        <v>352650.74886430608</v>
      </c>
      <c r="F85" s="498">
        <f t="shared" si="21"/>
        <v>46321.211368039956</v>
      </c>
      <c r="G85" s="496">
        <f t="shared" si="21"/>
        <v>0</v>
      </c>
      <c r="H85" s="496">
        <f t="shared" si="21"/>
        <v>324423.69237473473</v>
      </c>
      <c r="I85" s="496">
        <f t="shared" si="21"/>
        <v>-4775135.940495275</v>
      </c>
      <c r="J85" s="498">
        <f t="shared" si="21"/>
        <v>281977.30133919505</v>
      </c>
      <c r="K85" s="497">
        <f t="shared" si="21"/>
        <v>730079.10511887004</v>
      </c>
    </row>
    <row r="86" spans="1:11">
      <c r="A86" s="501" t="s">
        <v>167</v>
      </c>
      <c r="B86" s="482">
        <f>SUM(C86:K86)</f>
        <v>100275.5365617651</v>
      </c>
      <c r="C86" s="504">
        <f>'Restating Adj'!D86</f>
        <v>0</v>
      </c>
      <c r="D86" s="504">
        <f>'Restating Adj'!G86+'Pro Forma Adj'!F86</f>
        <v>0</v>
      </c>
      <c r="E86" s="505">
        <f>'Pro Forma Adj'!G86</f>
        <v>0</v>
      </c>
      <c r="F86" s="506">
        <f>'Restating Adj'!H86</f>
        <v>0</v>
      </c>
      <c r="G86" s="507">
        <f>'Pro Forma Adj'!H86</f>
        <v>0</v>
      </c>
      <c r="H86" s="504">
        <f>'Pro Forma Adj'!L86</f>
        <v>0</v>
      </c>
      <c r="I86" s="507">
        <f>'Pro Forma Adj'!M86</f>
        <v>0</v>
      </c>
      <c r="J86" s="506">
        <f>'Pro Forma Adj'!V86</f>
        <v>0</v>
      </c>
      <c r="K86" s="505">
        <f>'Pro Forma Adj'!W86</f>
        <v>100275.5365617651</v>
      </c>
    </row>
    <row r="87" spans="1:11" s="468" customFormat="1" ht="16.5" thickBot="1">
      <c r="A87" s="549" t="s">
        <v>168</v>
      </c>
      <c r="B87" s="550">
        <f>SUM(C87:K87)</f>
        <v>1276961.8346188241</v>
      </c>
      <c r="C87" s="551">
        <f t="shared" ref="C87:K87" si="22">C85+C86</f>
        <v>3892026.5999999964</v>
      </c>
      <c r="D87" s="551">
        <f t="shared" si="22"/>
        <v>324343.57948719087</v>
      </c>
      <c r="E87" s="552">
        <f t="shared" si="22"/>
        <v>352650.74886430608</v>
      </c>
      <c r="F87" s="553">
        <f t="shared" si="22"/>
        <v>46321.211368039956</v>
      </c>
      <c r="G87" s="551">
        <f t="shared" si="22"/>
        <v>0</v>
      </c>
      <c r="H87" s="551">
        <f t="shared" si="22"/>
        <v>324423.69237473473</v>
      </c>
      <c r="I87" s="551">
        <f t="shared" si="22"/>
        <v>-4775135.940495275</v>
      </c>
      <c r="J87" s="553">
        <f t="shared" si="22"/>
        <v>281977.30133919505</v>
      </c>
      <c r="K87" s="552">
        <f t="shared" si="22"/>
        <v>830354.64168063516</v>
      </c>
    </row>
    <row r="88" spans="1:11" s="468" customFormat="1">
      <c r="A88" s="554"/>
      <c r="B88" s="555"/>
      <c r="C88" s="555"/>
      <c r="D88" s="555"/>
      <c r="E88" s="555"/>
      <c r="F88" s="555"/>
      <c r="G88" s="555"/>
      <c r="H88" s="555"/>
      <c r="I88" s="555"/>
      <c r="J88" s="555"/>
      <c r="K88" s="555"/>
    </row>
    <row r="89" spans="1:11" s="468" customFormat="1">
      <c r="A89" s="554"/>
      <c r="B89" s="554"/>
      <c r="C89" s="554"/>
      <c r="D89" s="554"/>
      <c r="E89" s="554"/>
      <c r="F89" s="554"/>
      <c r="G89" s="554"/>
      <c r="H89" s="554"/>
      <c r="I89" s="554"/>
      <c r="J89" s="554"/>
      <c r="K89" s="554"/>
    </row>
    <row r="90" spans="1:11" s="468" customFormat="1">
      <c r="A90" s="423"/>
      <c r="B90" s="496"/>
      <c r="C90" s="496"/>
      <c r="D90" s="496"/>
      <c r="E90" s="496"/>
      <c r="F90" s="496"/>
      <c r="G90" s="496"/>
      <c r="H90" s="496"/>
      <c r="I90" s="496"/>
      <c r="J90" s="496"/>
      <c r="K90" s="496"/>
    </row>
    <row r="91" spans="1:11" s="468" customFormat="1">
      <c r="A91" s="554"/>
      <c r="B91" s="496"/>
      <c r="C91" s="496"/>
      <c r="D91" s="496"/>
      <c r="E91" s="496"/>
      <c r="F91" s="496"/>
      <c r="G91" s="496"/>
      <c r="H91" s="496"/>
      <c r="I91" s="496"/>
      <c r="J91" s="496"/>
      <c r="K91" s="496"/>
    </row>
    <row r="92" spans="1:11" s="468" customFormat="1">
      <c r="A92" s="554"/>
    </row>
    <row r="93" spans="1:11" s="468" customFormat="1">
      <c r="A93" s="556"/>
    </row>
  </sheetData>
  <printOptions horizontalCentered="1"/>
  <pageMargins left="0.33" right="0.19" top="0.75" bottom="0.42" header="0.3" footer="0.3"/>
  <pageSetup scale="49" orientation="portrait" r:id="rId1"/>
</worksheet>
</file>

<file path=xl/worksheets/sheet6.xml><?xml version="1.0" encoding="utf-8"?>
<worksheet xmlns="http://schemas.openxmlformats.org/spreadsheetml/2006/main" xmlns:r="http://schemas.openxmlformats.org/officeDocument/2006/relationships">
  <sheetPr>
    <tabColor rgb="FFFFFF00"/>
    <pageSetUpPr fitToPage="1"/>
  </sheetPr>
  <dimension ref="A1:J390"/>
  <sheetViews>
    <sheetView workbookViewId="0">
      <selection activeCell="J1" sqref="J1:J1048576"/>
    </sheetView>
  </sheetViews>
  <sheetFormatPr defaultColWidth="10" defaultRowHeight="12.75"/>
  <cols>
    <col min="1" max="1" width="2.5703125" style="386" customWidth="1"/>
    <col min="2" max="2" width="7.140625" style="386" customWidth="1"/>
    <col min="3" max="3" width="37.42578125" style="386" customWidth="1"/>
    <col min="4" max="4" width="9.7109375" style="386" customWidth="1"/>
    <col min="5" max="5" width="4.7109375" style="386" customWidth="1"/>
    <col min="6" max="6" width="14.42578125" style="386" customWidth="1"/>
    <col min="7" max="7" width="11.140625" style="386" customWidth="1"/>
    <col min="8" max="8" width="10.28515625" style="386" customWidth="1"/>
    <col min="9" max="9" width="13" style="386" customWidth="1"/>
    <col min="10" max="10" width="8.28515625" style="386" customWidth="1"/>
    <col min="11" max="256" width="10" style="386"/>
    <col min="257" max="257" width="2.5703125" style="386" customWidth="1"/>
    <col min="258" max="258" width="7.140625" style="386" customWidth="1"/>
    <col min="259" max="259" width="41.85546875" style="386" customWidth="1"/>
    <col min="260" max="260" width="9.7109375" style="386" customWidth="1"/>
    <col min="261" max="261" width="4.7109375" style="386" customWidth="1"/>
    <col min="262" max="262" width="14.42578125" style="386" customWidth="1"/>
    <col min="263" max="263" width="11.140625" style="386" customWidth="1"/>
    <col min="264" max="264" width="10.28515625" style="386" customWidth="1"/>
    <col min="265" max="265" width="13" style="386" customWidth="1"/>
    <col min="266" max="266" width="8.28515625" style="386" customWidth="1"/>
    <col min="267" max="512" width="10" style="386"/>
    <col min="513" max="513" width="2.5703125" style="386" customWidth="1"/>
    <col min="514" max="514" width="7.140625" style="386" customWidth="1"/>
    <col min="515" max="515" width="41.85546875" style="386" customWidth="1"/>
    <col min="516" max="516" width="9.7109375" style="386" customWidth="1"/>
    <col min="517" max="517" width="4.7109375" style="386" customWidth="1"/>
    <col min="518" max="518" width="14.42578125" style="386" customWidth="1"/>
    <col min="519" max="519" width="11.140625" style="386" customWidth="1"/>
    <col min="520" max="520" width="10.28515625" style="386" customWidth="1"/>
    <col min="521" max="521" width="13" style="386" customWidth="1"/>
    <col min="522" max="522" width="8.28515625" style="386" customWidth="1"/>
    <col min="523" max="768" width="10" style="386"/>
    <col min="769" max="769" width="2.5703125" style="386" customWidth="1"/>
    <col min="770" max="770" width="7.140625" style="386" customWidth="1"/>
    <col min="771" max="771" width="41.85546875" style="386" customWidth="1"/>
    <col min="772" max="772" width="9.7109375" style="386" customWidth="1"/>
    <col min="773" max="773" width="4.7109375" style="386" customWidth="1"/>
    <col min="774" max="774" width="14.42578125" style="386" customWidth="1"/>
    <col min="775" max="775" width="11.140625" style="386" customWidth="1"/>
    <col min="776" max="776" width="10.28515625" style="386" customWidth="1"/>
    <col min="777" max="777" width="13" style="386" customWidth="1"/>
    <col min="778" max="778" width="8.28515625" style="386" customWidth="1"/>
    <col min="779" max="1024" width="10" style="386"/>
    <col min="1025" max="1025" width="2.5703125" style="386" customWidth="1"/>
    <col min="1026" max="1026" width="7.140625" style="386" customWidth="1"/>
    <col min="1027" max="1027" width="41.85546875" style="386" customWidth="1"/>
    <col min="1028" max="1028" width="9.7109375" style="386" customWidth="1"/>
    <col min="1029" max="1029" width="4.7109375" style="386" customWidth="1"/>
    <col min="1030" max="1030" width="14.42578125" style="386" customWidth="1"/>
    <col min="1031" max="1031" width="11.140625" style="386" customWidth="1"/>
    <col min="1032" max="1032" width="10.28515625" style="386" customWidth="1"/>
    <col min="1033" max="1033" width="13" style="386" customWidth="1"/>
    <col min="1034" max="1034" width="8.28515625" style="386" customWidth="1"/>
    <col min="1035" max="1280" width="10" style="386"/>
    <col min="1281" max="1281" width="2.5703125" style="386" customWidth="1"/>
    <col min="1282" max="1282" width="7.140625" style="386" customWidth="1"/>
    <col min="1283" max="1283" width="41.85546875" style="386" customWidth="1"/>
    <col min="1284" max="1284" width="9.7109375" style="386" customWidth="1"/>
    <col min="1285" max="1285" width="4.7109375" style="386" customWidth="1"/>
    <col min="1286" max="1286" width="14.42578125" style="386" customWidth="1"/>
    <col min="1287" max="1287" width="11.140625" style="386" customWidth="1"/>
    <col min="1288" max="1288" width="10.28515625" style="386" customWidth="1"/>
    <col min="1289" max="1289" width="13" style="386" customWidth="1"/>
    <col min="1290" max="1290" width="8.28515625" style="386" customWidth="1"/>
    <col min="1291" max="1536" width="10" style="386"/>
    <col min="1537" max="1537" width="2.5703125" style="386" customWidth="1"/>
    <col min="1538" max="1538" width="7.140625" style="386" customWidth="1"/>
    <col min="1539" max="1539" width="41.85546875" style="386" customWidth="1"/>
    <col min="1540" max="1540" width="9.7109375" style="386" customWidth="1"/>
    <col min="1541" max="1541" width="4.7109375" style="386" customWidth="1"/>
    <col min="1542" max="1542" width="14.42578125" style="386" customWidth="1"/>
    <col min="1543" max="1543" width="11.140625" style="386" customWidth="1"/>
    <col min="1544" max="1544" width="10.28515625" style="386" customWidth="1"/>
    <col min="1545" max="1545" width="13" style="386" customWidth="1"/>
    <col min="1546" max="1546" width="8.28515625" style="386" customWidth="1"/>
    <col min="1547" max="1792" width="10" style="386"/>
    <col min="1793" max="1793" width="2.5703125" style="386" customWidth="1"/>
    <col min="1794" max="1794" width="7.140625" style="386" customWidth="1"/>
    <col min="1795" max="1795" width="41.85546875" style="386" customWidth="1"/>
    <col min="1796" max="1796" width="9.7109375" style="386" customWidth="1"/>
    <col min="1797" max="1797" width="4.7109375" style="386" customWidth="1"/>
    <col min="1798" max="1798" width="14.42578125" style="386" customWidth="1"/>
    <col min="1799" max="1799" width="11.140625" style="386" customWidth="1"/>
    <col min="1800" max="1800" width="10.28515625" style="386" customWidth="1"/>
    <col min="1801" max="1801" width="13" style="386" customWidth="1"/>
    <col min="1802" max="1802" width="8.28515625" style="386" customWidth="1"/>
    <col min="1803" max="2048" width="10" style="386"/>
    <col min="2049" max="2049" width="2.5703125" style="386" customWidth="1"/>
    <col min="2050" max="2050" width="7.140625" style="386" customWidth="1"/>
    <col min="2051" max="2051" width="41.85546875" style="386" customWidth="1"/>
    <col min="2052" max="2052" width="9.7109375" style="386" customWidth="1"/>
    <col min="2053" max="2053" width="4.7109375" style="386" customWidth="1"/>
    <col min="2054" max="2054" width="14.42578125" style="386" customWidth="1"/>
    <col min="2055" max="2055" width="11.140625" style="386" customWidth="1"/>
    <col min="2056" max="2056" width="10.28515625" style="386" customWidth="1"/>
    <col min="2057" max="2057" width="13" style="386" customWidth="1"/>
    <col min="2058" max="2058" width="8.28515625" style="386" customWidth="1"/>
    <col min="2059" max="2304" width="10" style="386"/>
    <col min="2305" max="2305" width="2.5703125" style="386" customWidth="1"/>
    <col min="2306" max="2306" width="7.140625" style="386" customWidth="1"/>
    <col min="2307" max="2307" width="41.85546875" style="386" customWidth="1"/>
    <col min="2308" max="2308" width="9.7109375" style="386" customWidth="1"/>
    <col min="2309" max="2309" width="4.7109375" style="386" customWidth="1"/>
    <col min="2310" max="2310" width="14.42578125" style="386" customWidth="1"/>
    <col min="2311" max="2311" width="11.140625" style="386" customWidth="1"/>
    <col min="2312" max="2312" width="10.28515625" style="386" customWidth="1"/>
    <col min="2313" max="2313" width="13" style="386" customWidth="1"/>
    <col min="2314" max="2314" width="8.28515625" style="386" customWidth="1"/>
    <col min="2315" max="2560" width="10" style="386"/>
    <col min="2561" max="2561" width="2.5703125" style="386" customWidth="1"/>
    <col min="2562" max="2562" width="7.140625" style="386" customWidth="1"/>
    <col min="2563" max="2563" width="41.85546875" style="386" customWidth="1"/>
    <col min="2564" max="2564" width="9.7109375" style="386" customWidth="1"/>
    <col min="2565" max="2565" width="4.7109375" style="386" customWidth="1"/>
    <col min="2566" max="2566" width="14.42578125" style="386" customWidth="1"/>
    <col min="2567" max="2567" width="11.140625" style="386" customWidth="1"/>
    <col min="2568" max="2568" width="10.28515625" style="386" customWidth="1"/>
    <col min="2569" max="2569" width="13" style="386" customWidth="1"/>
    <col min="2570" max="2570" width="8.28515625" style="386" customWidth="1"/>
    <col min="2571" max="2816" width="10" style="386"/>
    <col min="2817" max="2817" width="2.5703125" style="386" customWidth="1"/>
    <col min="2818" max="2818" width="7.140625" style="386" customWidth="1"/>
    <col min="2819" max="2819" width="41.85546875" style="386" customWidth="1"/>
    <col min="2820" max="2820" width="9.7109375" style="386" customWidth="1"/>
    <col min="2821" max="2821" width="4.7109375" style="386" customWidth="1"/>
    <col min="2822" max="2822" width="14.42578125" style="386" customWidth="1"/>
    <col min="2823" max="2823" width="11.140625" style="386" customWidth="1"/>
    <col min="2824" max="2824" width="10.28515625" style="386" customWidth="1"/>
    <col min="2825" max="2825" width="13" style="386" customWidth="1"/>
    <col min="2826" max="2826" width="8.28515625" style="386" customWidth="1"/>
    <col min="2827" max="3072" width="10" style="386"/>
    <col min="3073" max="3073" width="2.5703125" style="386" customWidth="1"/>
    <col min="3074" max="3074" width="7.140625" style="386" customWidth="1"/>
    <col min="3075" max="3075" width="41.85546875" style="386" customWidth="1"/>
    <col min="3076" max="3076" width="9.7109375" style="386" customWidth="1"/>
    <col min="3077" max="3077" width="4.7109375" style="386" customWidth="1"/>
    <col min="3078" max="3078" width="14.42578125" style="386" customWidth="1"/>
    <col min="3079" max="3079" width="11.140625" style="386" customWidth="1"/>
    <col min="3080" max="3080" width="10.28515625" style="386" customWidth="1"/>
    <col min="3081" max="3081" width="13" style="386" customWidth="1"/>
    <col min="3082" max="3082" width="8.28515625" style="386" customWidth="1"/>
    <col min="3083" max="3328" width="10" style="386"/>
    <col min="3329" max="3329" width="2.5703125" style="386" customWidth="1"/>
    <col min="3330" max="3330" width="7.140625" style="386" customWidth="1"/>
    <col min="3331" max="3331" width="41.85546875" style="386" customWidth="1"/>
    <col min="3332" max="3332" width="9.7109375" style="386" customWidth="1"/>
    <col min="3333" max="3333" width="4.7109375" style="386" customWidth="1"/>
    <col min="3334" max="3334" width="14.42578125" style="386" customWidth="1"/>
    <col min="3335" max="3335" width="11.140625" style="386" customWidth="1"/>
    <col min="3336" max="3336" width="10.28515625" style="386" customWidth="1"/>
    <col min="3337" max="3337" width="13" style="386" customWidth="1"/>
    <col min="3338" max="3338" width="8.28515625" style="386" customWidth="1"/>
    <col min="3339" max="3584" width="10" style="386"/>
    <col min="3585" max="3585" width="2.5703125" style="386" customWidth="1"/>
    <col min="3586" max="3586" width="7.140625" style="386" customWidth="1"/>
    <col min="3587" max="3587" width="41.85546875" style="386" customWidth="1"/>
    <col min="3588" max="3588" width="9.7109375" style="386" customWidth="1"/>
    <col min="3589" max="3589" width="4.7109375" style="386" customWidth="1"/>
    <col min="3590" max="3590" width="14.42578125" style="386" customWidth="1"/>
    <col min="3591" max="3591" width="11.140625" style="386" customWidth="1"/>
    <col min="3592" max="3592" width="10.28515625" style="386" customWidth="1"/>
    <col min="3593" max="3593" width="13" style="386" customWidth="1"/>
    <col min="3594" max="3594" width="8.28515625" style="386" customWidth="1"/>
    <col min="3595" max="3840" width="10" style="386"/>
    <col min="3841" max="3841" width="2.5703125" style="386" customWidth="1"/>
    <col min="3842" max="3842" width="7.140625" style="386" customWidth="1"/>
    <col min="3843" max="3843" width="41.85546875" style="386" customWidth="1"/>
    <col min="3844" max="3844" width="9.7109375" style="386" customWidth="1"/>
    <col min="3845" max="3845" width="4.7109375" style="386" customWidth="1"/>
    <col min="3846" max="3846" width="14.42578125" style="386" customWidth="1"/>
    <col min="3847" max="3847" width="11.140625" style="386" customWidth="1"/>
    <col min="3848" max="3848" width="10.28515625" style="386" customWidth="1"/>
    <col min="3849" max="3849" width="13" style="386" customWidth="1"/>
    <col min="3850" max="3850" width="8.28515625" style="386" customWidth="1"/>
    <col min="3851" max="4096" width="10" style="386"/>
    <col min="4097" max="4097" width="2.5703125" style="386" customWidth="1"/>
    <col min="4098" max="4098" width="7.140625" style="386" customWidth="1"/>
    <col min="4099" max="4099" width="41.85546875" style="386" customWidth="1"/>
    <col min="4100" max="4100" width="9.7109375" style="386" customWidth="1"/>
    <col min="4101" max="4101" width="4.7109375" style="386" customWidth="1"/>
    <col min="4102" max="4102" width="14.42578125" style="386" customWidth="1"/>
    <col min="4103" max="4103" width="11.140625" style="386" customWidth="1"/>
    <col min="4104" max="4104" width="10.28515625" style="386" customWidth="1"/>
    <col min="4105" max="4105" width="13" style="386" customWidth="1"/>
    <col min="4106" max="4106" width="8.28515625" style="386" customWidth="1"/>
    <col min="4107" max="4352" width="10" style="386"/>
    <col min="4353" max="4353" width="2.5703125" style="386" customWidth="1"/>
    <col min="4354" max="4354" width="7.140625" style="386" customWidth="1"/>
    <col min="4355" max="4355" width="41.85546875" style="386" customWidth="1"/>
    <col min="4356" max="4356" width="9.7109375" style="386" customWidth="1"/>
    <col min="4357" max="4357" width="4.7109375" style="386" customWidth="1"/>
    <col min="4358" max="4358" width="14.42578125" style="386" customWidth="1"/>
    <col min="4359" max="4359" width="11.140625" style="386" customWidth="1"/>
    <col min="4360" max="4360" width="10.28515625" style="386" customWidth="1"/>
    <col min="4361" max="4361" width="13" style="386" customWidth="1"/>
    <col min="4362" max="4362" width="8.28515625" style="386" customWidth="1"/>
    <col min="4363" max="4608" width="10" style="386"/>
    <col min="4609" max="4609" width="2.5703125" style="386" customWidth="1"/>
    <col min="4610" max="4610" width="7.140625" style="386" customWidth="1"/>
    <col min="4611" max="4611" width="41.85546875" style="386" customWidth="1"/>
    <col min="4612" max="4612" width="9.7109375" style="386" customWidth="1"/>
    <col min="4613" max="4613" width="4.7109375" style="386" customWidth="1"/>
    <col min="4614" max="4614" width="14.42578125" style="386" customWidth="1"/>
    <col min="4615" max="4615" width="11.140625" style="386" customWidth="1"/>
    <col min="4616" max="4616" width="10.28515625" style="386" customWidth="1"/>
    <col min="4617" max="4617" width="13" style="386" customWidth="1"/>
    <col min="4618" max="4618" width="8.28515625" style="386" customWidth="1"/>
    <col min="4619" max="4864" width="10" style="386"/>
    <col min="4865" max="4865" width="2.5703125" style="386" customWidth="1"/>
    <col min="4866" max="4866" width="7.140625" style="386" customWidth="1"/>
    <col min="4867" max="4867" width="41.85546875" style="386" customWidth="1"/>
    <col min="4868" max="4868" width="9.7109375" style="386" customWidth="1"/>
    <col min="4869" max="4869" width="4.7109375" style="386" customWidth="1"/>
    <col min="4870" max="4870" width="14.42578125" style="386" customWidth="1"/>
    <col min="4871" max="4871" width="11.140625" style="386" customWidth="1"/>
    <col min="4872" max="4872" width="10.28515625" style="386" customWidth="1"/>
    <col min="4873" max="4873" width="13" style="386" customWidth="1"/>
    <col min="4874" max="4874" width="8.28515625" style="386" customWidth="1"/>
    <col min="4875" max="5120" width="10" style="386"/>
    <col min="5121" max="5121" width="2.5703125" style="386" customWidth="1"/>
    <col min="5122" max="5122" width="7.140625" style="386" customWidth="1"/>
    <col min="5123" max="5123" width="41.85546875" style="386" customWidth="1"/>
    <col min="5124" max="5124" width="9.7109375" style="386" customWidth="1"/>
    <col min="5125" max="5125" width="4.7109375" style="386" customWidth="1"/>
    <col min="5126" max="5126" width="14.42578125" style="386" customWidth="1"/>
    <col min="5127" max="5127" width="11.140625" style="386" customWidth="1"/>
    <col min="5128" max="5128" width="10.28515625" style="386" customWidth="1"/>
    <col min="5129" max="5129" width="13" style="386" customWidth="1"/>
    <col min="5130" max="5130" width="8.28515625" style="386" customWidth="1"/>
    <col min="5131" max="5376" width="10" style="386"/>
    <col min="5377" max="5377" width="2.5703125" style="386" customWidth="1"/>
    <col min="5378" max="5378" width="7.140625" style="386" customWidth="1"/>
    <col min="5379" max="5379" width="41.85546875" style="386" customWidth="1"/>
    <col min="5380" max="5380" width="9.7109375" style="386" customWidth="1"/>
    <col min="5381" max="5381" width="4.7109375" style="386" customWidth="1"/>
    <col min="5382" max="5382" width="14.42578125" style="386" customWidth="1"/>
    <col min="5383" max="5383" width="11.140625" style="386" customWidth="1"/>
    <col min="5384" max="5384" width="10.28515625" style="386" customWidth="1"/>
    <col min="5385" max="5385" width="13" style="386" customWidth="1"/>
    <col min="5386" max="5386" width="8.28515625" style="386" customWidth="1"/>
    <col min="5387" max="5632" width="10" style="386"/>
    <col min="5633" max="5633" width="2.5703125" style="386" customWidth="1"/>
    <col min="5634" max="5634" width="7.140625" style="386" customWidth="1"/>
    <col min="5635" max="5635" width="41.85546875" style="386" customWidth="1"/>
    <col min="5636" max="5636" width="9.7109375" style="386" customWidth="1"/>
    <col min="5637" max="5637" width="4.7109375" style="386" customWidth="1"/>
    <col min="5638" max="5638" width="14.42578125" style="386" customWidth="1"/>
    <col min="5639" max="5639" width="11.140625" style="386" customWidth="1"/>
    <col min="5640" max="5640" width="10.28515625" style="386" customWidth="1"/>
    <col min="5641" max="5641" width="13" style="386" customWidth="1"/>
    <col min="5642" max="5642" width="8.28515625" style="386" customWidth="1"/>
    <col min="5643" max="5888" width="10" style="386"/>
    <col min="5889" max="5889" width="2.5703125" style="386" customWidth="1"/>
    <col min="5890" max="5890" width="7.140625" style="386" customWidth="1"/>
    <col min="5891" max="5891" width="41.85546875" style="386" customWidth="1"/>
    <col min="5892" max="5892" width="9.7109375" style="386" customWidth="1"/>
    <col min="5893" max="5893" width="4.7109375" style="386" customWidth="1"/>
    <col min="5894" max="5894" width="14.42578125" style="386" customWidth="1"/>
    <col min="5895" max="5895" width="11.140625" style="386" customWidth="1"/>
    <col min="5896" max="5896" width="10.28515625" style="386" customWidth="1"/>
    <col min="5897" max="5897" width="13" style="386" customWidth="1"/>
    <col min="5898" max="5898" width="8.28515625" style="386" customWidth="1"/>
    <col min="5899" max="6144" width="10" style="386"/>
    <col min="6145" max="6145" width="2.5703125" style="386" customWidth="1"/>
    <col min="6146" max="6146" width="7.140625" style="386" customWidth="1"/>
    <col min="6147" max="6147" width="41.85546875" style="386" customWidth="1"/>
    <col min="6148" max="6148" width="9.7109375" style="386" customWidth="1"/>
    <col min="6149" max="6149" width="4.7109375" style="386" customWidth="1"/>
    <col min="6150" max="6150" width="14.42578125" style="386" customWidth="1"/>
    <col min="6151" max="6151" width="11.140625" style="386" customWidth="1"/>
    <col min="6152" max="6152" width="10.28515625" style="386" customWidth="1"/>
    <col min="6153" max="6153" width="13" style="386" customWidth="1"/>
    <col min="6154" max="6154" width="8.28515625" style="386" customWidth="1"/>
    <col min="6155" max="6400" width="10" style="386"/>
    <col min="6401" max="6401" width="2.5703125" style="386" customWidth="1"/>
    <col min="6402" max="6402" width="7.140625" style="386" customWidth="1"/>
    <col min="6403" max="6403" width="41.85546875" style="386" customWidth="1"/>
    <col min="6404" max="6404" width="9.7109375" style="386" customWidth="1"/>
    <col min="6405" max="6405" width="4.7109375" style="386" customWidth="1"/>
    <col min="6406" max="6406" width="14.42578125" style="386" customWidth="1"/>
    <col min="6407" max="6407" width="11.140625" style="386" customWidth="1"/>
    <col min="6408" max="6408" width="10.28515625" style="386" customWidth="1"/>
    <col min="6409" max="6409" width="13" style="386" customWidth="1"/>
    <col min="6410" max="6410" width="8.28515625" style="386" customWidth="1"/>
    <col min="6411" max="6656" width="10" style="386"/>
    <col min="6657" max="6657" width="2.5703125" style="386" customWidth="1"/>
    <col min="6658" max="6658" width="7.140625" style="386" customWidth="1"/>
    <col min="6659" max="6659" width="41.85546875" style="386" customWidth="1"/>
    <col min="6660" max="6660" width="9.7109375" style="386" customWidth="1"/>
    <col min="6661" max="6661" width="4.7109375" style="386" customWidth="1"/>
    <col min="6662" max="6662" width="14.42578125" style="386" customWidth="1"/>
    <col min="6663" max="6663" width="11.140625" style="386" customWidth="1"/>
    <col min="6664" max="6664" width="10.28515625" style="386" customWidth="1"/>
    <col min="6665" max="6665" width="13" style="386" customWidth="1"/>
    <col min="6666" max="6666" width="8.28515625" style="386" customWidth="1"/>
    <col min="6667" max="6912" width="10" style="386"/>
    <col min="6913" max="6913" width="2.5703125" style="386" customWidth="1"/>
    <col min="6914" max="6914" width="7.140625" style="386" customWidth="1"/>
    <col min="6915" max="6915" width="41.85546875" style="386" customWidth="1"/>
    <col min="6916" max="6916" width="9.7109375" style="386" customWidth="1"/>
    <col min="6917" max="6917" width="4.7109375" style="386" customWidth="1"/>
    <col min="6918" max="6918" width="14.42578125" style="386" customWidth="1"/>
    <col min="6919" max="6919" width="11.140625" style="386" customWidth="1"/>
    <col min="6920" max="6920" width="10.28515625" style="386" customWidth="1"/>
    <col min="6921" max="6921" width="13" style="386" customWidth="1"/>
    <col min="6922" max="6922" width="8.28515625" style="386" customWidth="1"/>
    <col min="6923" max="7168" width="10" style="386"/>
    <col min="7169" max="7169" width="2.5703125" style="386" customWidth="1"/>
    <col min="7170" max="7170" width="7.140625" style="386" customWidth="1"/>
    <col min="7171" max="7171" width="41.85546875" style="386" customWidth="1"/>
    <col min="7172" max="7172" width="9.7109375" style="386" customWidth="1"/>
    <col min="7173" max="7173" width="4.7109375" style="386" customWidth="1"/>
    <col min="7174" max="7174" width="14.42578125" style="386" customWidth="1"/>
    <col min="7175" max="7175" width="11.140625" style="386" customWidth="1"/>
    <col min="7176" max="7176" width="10.28515625" style="386" customWidth="1"/>
    <col min="7177" max="7177" width="13" style="386" customWidth="1"/>
    <col min="7178" max="7178" width="8.28515625" style="386" customWidth="1"/>
    <col min="7179" max="7424" width="10" style="386"/>
    <col min="7425" max="7425" width="2.5703125" style="386" customWidth="1"/>
    <col min="7426" max="7426" width="7.140625" style="386" customWidth="1"/>
    <col min="7427" max="7427" width="41.85546875" style="386" customWidth="1"/>
    <col min="7428" max="7428" width="9.7109375" style="386" customWidth="1"/>
    <col min="7429" max="7429" width="4.7109375" style="386" customWidth="1"/>
    <col min="7430" max="7430" width="14.42578125" style="386" customWidth="1"/>
    <col min="7431" max="7431" width="11.140625" style="386" customWidth="1"/>
    <col min="7432" max="7432" width="10.28515625" style="386" customWidth="1"/>
    <col min="7433" max="7433" width="13" style="386" customWidth="1"/>
    <col min="7434" max="7434" width="8.28515625" style="386" customWidth="1"/>
    <col min="7435" max="7680" width="10" style="386"/>
    <col min="7681" max="7681" width="2.5703125" style="386" customWidth="1"/>
    <col min="7682" max="7682" width="7.140625" style="386" customWidth="1"/>
    <col min="7683" max="7683" width="41.85546875" style="386" customWidth="1"/>
    <col min="7684" max="7684" width="9.7109375" style="386" customWidth="1"/>
    <col min="7685" max="7685" width="4.7109375" style="386" customWidth="1"/>
    <col min="7686" max="7686" width="14.42578125" style="386" customWidth="1"/>
    <col min="7687" max="7687" width="11.140625" style="386" customWidth="1"/>
    <col min="7688" max="7688" width="10.28515625" style="386" customWidth="1"/>
    <col min="7689" max="7689" width="13" style="386" customWidth="1"/>
    <col min="7690" max="7690" width="8.28515625" style="386" customWidth="1"/>
    <col min="7691" max="7936" width="10" style="386"/>
    <col min="7937" max="7937" width="2.5703125" style="386" customWidth="1"/>
    <col min="7938" max="7938" width="7.140625" style="386" customWidth="1"/>
    <col min="7939" max="7939" width="41.85546875" style="386" customWidth="1"/>
    <col min="7940" max="7940" width="9.7109375" style="386" customWidth="1"/>
    <col min="7941" max="7941" width="4.7109375" style="386" customWidth="1"/>
    <col min="7942" max="7942" width="14.42578125" style="386" customWidth="1"/>
    <col min="7943" max="7943" width="11.140625" style="386" customWidth="1"/>
    <col min="7944" max="7944" width="10.28515625" style="386" customWidth="1"/>
    <col min="7945" max="7945" width="13" style="386" customWidth="1"/>
    <col min="7946" max="7946" width="8.28515625" style="386" customWidth="1"/>
    <col min="7947" max="8192" width="10" style="386"/>
    <col min="8193" max="8193" width="2.5703125" style="386" customWidth="1"/>
    <col min="8194" max="8194" width="7.140625" style="386" customWidth="1"/>
    <col min="8195" max="8195" width="41.85546875" style="386" customWidth="1"/>
    <col min="8196" max="8196" width="9.7109375" style="386" customWidth="1"/>
    <col min="8197" max="8197" width="4.7109375" style="386" customWidth="1"/>
    <col min="8198" max="8198" width="14.42578125" style="386" customWidth="1"/>
    <col min="8199" max="8199" width="11.140625" style="386" customWidth="1"/>
    <col min="8200" max="8200" width="10.28515625" style="386" customWidth="1"/>
    <col min="8201" max="8201" width="13" style="386" customWidth="1"/>
    <col min="8202" max="8202" width="8.28515625" style="386" customWidth="1"/>
    <col min="8203" max="8448" width="10" style="386"/>
    <col min="8449" max="8449" width="2.5703125" style="386" customWidth="1"/>
    <col min="8450" max="8450" width="7.140625" style="386" customWidth="1"/>
    <col min="8451" max="8451" width="41.85546875" style="386" customWidth="1"/>
    <col min="8452" max="8452" width="9.7109375" style="386" customWidth="1"/>
    <col min="8453" max="8453" width="4.7109375" style="386" customWidth="1"/>
    <col min="8454" max="8454" width="14.42578125" style="386" customWidth="1"/>
    <col min="8455" max="8455" width="11.140625" style="386" customWidth="1"/>
    <col min="8456" max="8456" width="10.28515625" style="386" customWidth="1"/>
    <col min="8457" max="8457" width="13" style="386" customWidth="1"/>
    <col min="8458" max="8458" width="8.28515625" style="386" customWidth="1"/>
    <col min="8459" max="8704" width="10" style="386"/>
    <col min="8705" max="8705" width="2.5703125" style="386" customWidth="1"/>
    <col min="8706" max="8706" width="7.140625" style="386" customWidth="1"/>
    <col min="8707" max="8707" width="41.85546875" style="386" customWidth="1"/>
    <col min="8708" max="8708" width="9.7109375" style="386" customWidth="1"/>
    <col min="8709" max="8709" width="4.7109375" style="386" customWidth="1"/>
    <col min="8710" max="8710" width="14.42578125" style="386" customWidth="1"/>
    <col min="8711" max="8711" width="11.140625" style="386" customWidth="1"/>
    <col min="8712" max="8712" width="10.28515625" style="386" customWidth="1"/>
    <col min="8713" max="8713" width="13" style="386" customWidth="1"/>
    <col min="8714" max="8714" width="8.28515625" style="386" customWidth="1"/>
    <col min="8715" max="8960" width="10" style="386"/>
    <col min="8961" max="8961" width="2.5703125" style="386" customWidth="1"/>
    <col min="8962" max="8962" width="7.140625" style="386" customWidth="1"/>
    <col min="8963" max="8963" width="41.85546875" style="386" customWidth="1"/>
    <col min="8964" max="8964" width="9.7109375" style="386" customWidth="1"/>
    <col min="8965" max="8965" width="4.7109375" style="386" customWidth="1"/>
    <col min="8966" max="8966" width="14.42578125" style="386" customWidth="1"/>
    <col min="8967" max="8967" width="11.140625" style="386" customWidth="1"/>
    <col min="8968" max="8968" width="10.28515625" style="386" customWidth="1"/>
    <col min="8969" max="8969" width="13" style="386" customWidth="1"/>
    <col min="8970" max="8970" width="8.28515625" style="386" customWidth="1"/>
    <col min="8971" max="9216" width="10" style="386"/>
    <col min="9217" max="9217" width="2.5703125" style="386" customWidth="1"/>
    <col min="9218" max="9218" width="7.140625" style="386" customWidth="1"/>
    <col min="9219" max="9219" width="41.85546875" style="386" customWidth="1"/>
    <col min="9220" max="9220" width="9.7109375" style="386" customWidth="1"/>
    <col min="9221" max="9221" width="4.7109375" style="386" customWidth="1"/>
    <col min="9222" max="9222" width="14.42578125" style="386" customWidth="1"/>
    <col min="9223" max="9223" width="11.140625" style="386" customWidth="1"/>
    <col min="9224" max="9224" width="10.28515625" style="386" customWidth="1"/>
    <col min="9225" max="9225" width="13" style="386" customWidth="1"/>
    <col min="9226" max="9226" width="8.28515625" style="386" customWidth="1"/>
    <col min="9227" max="9472" width="10" style="386"/>
    <col min="9473" max="9473" width="2.5703125" style="386" customWidth="1"/>
    <col min="9474" max="9474" width="7.140625" style="386" customWidth="1"/>
    <col min="9475" max="9475" width="41.85546875" style="386" customWidth="1"/>
    <col min="9476" max="9476" width="9.7109375" style="386" customWidth="1"/>
    <col min="9477" max="9477" width="4.7109375" style="386" customWidth="1"/>
    <col min="9478" max="9478" width="14.42578125" style="386" customWidth="1"/>
    <col min="9479" max="9479" width="11.140625" style="386" customWidth="1"/>
    <col min="9480" max="9480" width="10.28515625" style="386" customWidth="1"/>
    <col min="9481" max="9481" width="13" style="386" customWidth="1"/>
    <col min="9482" max="9482" width="8.28515625" style="386" customWidth="1"/>
    <col min="9483" max="9728" width="10" style="386"/>
    <col min="9729" max="9729" width="2.5703125" style="386" customWidth="1"/>
    <col min="9730" max="9730" width="7.140625" style="386" customWidth="1"/>
    <col min="9731" max="9731" width="41.85546875" style="386" customWidth="1"/>
    <col min="9732" max="9732" width="9.7109375" style="386" customWidth="1"/>
    <col min="9733" max="9733" width="4.7109375" style="386" customWidth="1"/>
    <col min="9734" max="9734" width="14.42578125" style="386" customWidth="1"/>
    <col min="9735" max="9735" width="11.140625" style="386" customWidth="1"/>
    <col min="9736" max="9736" width="10.28515625" style="386" customWidth="1"/>
    <col min="9737" max="9737" width="13" style="386" customWidth="1"/>
    <col min="9738" max="9738" width="8.28515625" style="386" customWidth="1"/>
    <col min="9739" max="9984" width="10" style="386"/>
    <col min="9985" max="9985" width="2.5703125" style="386" customWidth="1"/>
    <col min="9986" max="9986" width="7.140625" style="386" customWidth="1"/>
    <col min="9987" max="9987" width="41.85546875" style="386" customWidth="1"/>
    <col min="9988" max="9988" width="9.7109375" style="386" customWidth="1"/>
    <col min="9989" max="9989" width="4.7109375" style="386" customWidth="1"/>
    <col min="9990" max="9990" width="14.42578125" style="386" customWidth="1"/>
    <col min="9991" max="9991" width="11.140625" style="386" customWidth="1"/>
    <col min="9992" max="9992" width="10.28515625" style="386" customWidth="1"/>
    <col min="9993" max="9993" width="13" style="386" customWidth="1"/>
    <col min="9994" max="9994" width="8.28515625" style="386" customWidth="1"/>
    <col min="9995" max="10240" width="10" style="386"/>
    <col min="10241" max="10241" width="2.5703125" style="386" customWidth="1"/>
    <col min="10242" max="10242" width="7.140625" style="386" customWidth="1"/>
    <col min="10243" max="10243" width="41.85546875" style="386" customWidth="1"/>
    <col min="10244" max="10244" width="9.7109375" style="386" customWidth="1"/>
    <col min="10245" max="10245" width="4.7109375" style="386" customWidth="1"/>
    <col min="10246" max="10246" width="14.42578125" style="386" customWidth="1"/>
    <col min="10247" max="10247" width="11.140625" style="386" customWidth="1"/>
    <col min="10248" max="10248" width="10.28515625" style="386" customWidth="1"/>
    <col min="10249" max="10249" width="13" style="386" customWidth="1"/>
    <col min="10250" max="10250" width="8.28515625" style="386" customWidth="1"/>
    <col min="10251" max="10496" width="10" style="386"/>
    <col min="10497" max="10497" width="2.5703125" style="386" customWidth="1"/>
    <col min="10498" max="10498" width="7.140625" style="386" customWidth="1"/>
    <col min="10499" max="10499" width="41.85546875" style="386" customWidth="1"/>
    <col min="10500" max="10500" width="9.7109375" style="386" customWidth="1"/>
    <col min="10501" max="10501" width="4.7109375" style="386" customWidth="1"/>
    <col min="10502" max="10502" width="14.42578125" style="386" customWidth="1"/>
    <col min="10503" max="10503" width="11.140625" style="386" customWidth="1"/>
    <col min="10504" max="10504" width="10.28515625" style="386" customWidth="1"/>
    <col min="10505" max="10505" width="13" style="386" customWidth="1"/>
    <col min="10506" max="10506" width="8.28515625" style="386" customWidth="1"/>
    <col min="10507" max="10752" width="10" style="386"/>
    <col min="10753" max="10753" width="2.5703125" style="386" customWidth="1"/>
    <col min="10754" max="10754" width="7.140625" style="386" customWidth="1"/>
    <col min="10755" max="10755" width="41.85546875" style="386" customWidth="1"/>
    <col min="10756" max="10756" width="9.7109375" style="386" customWidth="1"/>
    <col min="10757" max="10757" width="4.7109375" style="386" customWidth="1"/>
    <col min="10758" max="10758" width="14.42578125" style="386" customWidth="1"/>
    <col min="10759" max="10759" width="11.140625" style="386" customWidth="1"/>
    <col min="10760" max="10760" width="10.28515625" style="386" customWidth="1"/>
    <col min="10761" max="10761" width="13" style="386" customWidth="1"/>
    <col min="10762" max="10762" width="8.28515625" style="386" customWidth="1"/>
    <col min="10763" max="11008" width="10" style="386"/>
    <col min="11009" max="11009" width="2.5703125" style="386" customWidth="1"/>
    <col min="11010" max="11010" width="7.140625" style="386" customWidth="1"/>
    <col min="11011" max="11011" width="41.85546875" style="386" customWidth="1"/>
    <col min="11012" max="11012" width="9.7109375" style="386" customWidth="1"/>
    <col min="11013" max="11013" width="4.7109375" style="386" customWidth="1"/>
    <col min="11014" max="11014" width="14.42578125" style="386" customWidth="1"/>
    <col min="11015" max="11015" width="11.140625" style="386" customWidth="1"/>
    <col min="11016" max="11016" width="10.28515625" style="386" customWidth="1"/>
    <col min="11017" max="11017" width="13" style="386" customWidth="1"/>
    <col min="11018" max="11018" width="8.28515625" style="386" customWidth="1"/>
    <col min="11019" max="11264" width="10" style="386"/>
    <col min="11265" max="11265" width="2.5703125" style="386" customWidth="1"/>
    <col min="11266" max="11266" width="7.140625" style="386" customWidth="1"/>
    <col min="11267" max="11267" width="41.85546875" style="386" customWidth="1"/>
    <col min="11268" max="11268" width="9.7109375" style="386" customWidth="1"/>
    <col min="11269" max="11269" width="4.7109375" style="386" customWidth="1"/>
    <col min="11270" max="11270" width="14.42578125" style="386" customWidth="1"/>
    <col min="11271" max="11271" width="11.140625" style="386" customWidth="1"/>
    <col min="11272" max="11272" width="10.28515625" style="386" customWidth="1"/>
    <col min="11273" max="11273" width="13" style="386" customWidth="1"/>
    <col min="11274" max="11274" width="8.28515625" style="386" customWidth="1"/>
    <col min="11275" max="11520" width="10" style="386"/>
    <col min="11521" max="11521" width="2.5703125" style="386" customWidth="1"/>
    <col min="11522" max="11522" width="7.140625" style="386" customWidth="1"/>
    <col min="11523" max="11523" width="41.85546875" style="386" customWidth="1"/>
    <col min="11524" max="11524" width="9.7109375" style="386" customWidth="1"/>
    <col min="11525" max="11525" width="4.7109375" style="386" customWidth="1"/>
    <col min="11526" max="11526" width="14.42578125" style="386" customWidth="1"/>
    <col min="11527" max="11527" width="11.140625" style="386" customWidth="1"/>
    <col min="11528" max="11528" width="10.28515625" style="386" customWidth="1"/>
    <col min="11529" max="11529" width="13" style="386" customWidth="1"/>
    <col min="11530" max="11530" width="8.28515625" style="386" customWidth="1"/>
    <col min="11531" max="11776" width="10" style="386"/>
    <col min="11777" max="11777" width="2.5703125" style="386" customWidth="1"/>
    <col min="11778" max="11778" width="7.140625" style="386" customWidth="1"/>
    <col min="11779" max="11779" width="41.85546875" style="386" customWidth="1"/>
    <col min="11780" max="11780" width="9.7109375" style="386" customWidth="1"/>
    <col min="11781" max="11781" width="4.7109375" style="386" customWidth="1"/>
    <col min="11782" max="11782" width="14.42578125" style="386" customWidth="1"/>
    <col min="11783" max="11783" width="11.140625" style="386" customWidth="1"/>
    <col min="11784" max="11784" width="10.28515625" style="386" customWidth="1"/>
    <col min="11785" max="11785" width="13" style="386" customWidth="1"/>
    <col min="11786" max="11786" width="8.28515625" style="386" customWidth="1"/>
    <col min="11787" max="12032" width="10" style="386"/>
    <col min="12033" max="12033" width="2.5703125" style="386" customWidth="1"/>
    <col min="12034" max="12034" width="7.140625" style="386" customWidth="1"/>
    <col min="12035" max="12035" width="41.85546875" style="386" customWidth="1"/>
    <col min="12036" max="12036" width="9.7109375" style="386" customWidth="1"/>
    <col min="12037" max="12037" width="4.7109375" style="386" customWidth="1"/>
    <col min="12038" max="12038" width="14.42578125" style="386" customWidth="1"/>
    <col min="12039" max="12039" width="11.140625" style="386" customWidth="1"/>
    <col min="12040" max="12040" width="10.28515625" style="386" customWidth="1"/>
    <col min="12041" max="12041" width="13" style="386" customWidth="1"/>
    <col min="12042" max="12042" width="8.28515625" style="386" customWidth="1"/>
    <col min="12043" max="12288" width="10" style="386"/>
    <col min="12289" max="12289" width="2.5703125" style="386" customWidth="1"/>
    <col min="12290" max="12290" width="7.140625" style="386" customWidth="1"/>
    <col min="12291" max="12291" width="41.85546875" style="386" customWidth="1"/>
    <col min="12292" max="12292" width="9.7109375" style="386" customWidth="1"/>
    <col min="12293" max="12293" width="4.7109375" style="386" customWidth="1"/>
    <col min="12294" max="12294" width="14.42578125" style="386" customWidth="1"/>
    <col min="12295" max="12295" width="11.140625" style="386" customWidth="1"/>
    <col min="12296" max="12296" width="10.28515625" style="386" customWidth="1"/>
    <col min="12297" max="12297" width="13" style="386" customWidth="1"/>
    <col min="12298" max="12298" width="8.28515625" style="386" customWidth="1"/>
    <col min="12299" max="12544" width="10" style="386"/>
    <col min="12545" max="12545" width="2.5703125" style="386" customWidth="1"/>
    <col min="12546" max="12546" width="7.140625" style="386" customWidth="1"/>
    <col min="12547" max="12547" width="41.85546875" style="386" customWidth="1"/>
    <col min="12548" max="12548" width="9.7109375" style="386" customWidth="1"/>
    <col min="12549" max="12549" width="4.7109375" style="386" customWidth="1"/>
    <col min="12550" max="12550" width="14.42578125" style="386" customWidth="1"/>
    <col min="12551" max="12551" width="11.140625" style="386" customWidth="1"/>
    <col min="12552" max="12552" width="10.28515625" style="386" customWidth="1"/>
    <col min="12553" max="12553" width="13" style="386" customWidth="1"/>
    <col min="12554" max="12554" width="8.28515625" style="386" customWidth="1"/>
    <col min="12555" max="12800" width="10" style="386"/>
    <col min="12801" max="12801" width="2.5703125" style="386" customWidth="1"/>
    <col min="12802" max="12802" width="7.140625" style="386" customWidth="1"/>
    <col min="12803" max="12803" width="41.85546875" style="386" customWidth="1"/>
    <col min="12804" max="12804" width="9.7109375" style="386" customWidth="1"/>
    <col min="12805" max="12805" width="4.7109375" style="386" customWidth="1"/>
    <col min="12806" max="12806" width="14.42578125" style="386" customWidth="1"/>
    <col min="12807" max="12807" width="11.140625" style="386" customWidth="1"/>
    <col min="12808" max="12808" width="10.28515625" style="386" customWidth="1"/>
    <col min="12809" max="12809" width="13" style="386" customWidth="1"/>
    <col min="12810" max="12810" width="8.28515625" style="386" customWidth="1"/>
    <col min="12811" max="13056" width="10" style="386"/>
    <col min="13057" max="13057" width="2.5703125" style="386" customWidth="1"/>
    <col min="13058" max="13058" width="7.140625" style="386" customWidth="1"/>
    <col min="13059" max="13059" width="41.85546875" style="386" customWidth="1"/>
    <col min="13060" max="13060" width="9.7109375" style="386" customWidth="1"/>
    <col min="13061" max="13061" width="4.7109375" style="386" customWidth="1"/>
    <col min="13062" max="13062" width="14.42578125" style="386" customWidth="1"/>
    <col min="13063" max="13063" width="11.140625" style="386" customWidth="1"/>
    <col min="13064" max="13064" width="10.28515625" style="386" customWidth="1"/>
    <col min="13065" max="13065" width="13" style="386" customWidth="1"/>
    <col min="13066" max="13066" width="8.28515625" style="386" customWidth="1"/>
    <col min="13067" max="13312" width="10" style="386"/>
    <col min="13313" max="13313" width="2.5703125" style="386" customWidth="1"/>
    <col min="13314" max="13314" width="7.140625" style="386" customWidth="1"/>
    <col min="13315" max="13315" width="41.85546875" style="386" customWidth="1"/>
    <col min="13316" max="13316" width="9.7109375" style="386" customWidth="1"/>
    <col min="13317" max="13317" width="4.7109375" style="386" customWidth="1"/>
    <col min="13318" max="13318" width="14.42578125" style="386" customWidth="1"/>
    <col min="13319" max="13319" width="11.140625" style="386" customWidth="1"/>
    <col min="13320" max="13320" width="10.28515625" style="386" customWidth="1"/>
    <col min="13321" max="13321" width="13" style="386" customWidth="1"/>
    <col min="13322" max="13322" width="8.28515625" style="386" customWidth="1"/>
    <col min="13323" max="13568" width="10" style="386"/>
    <col min="13569" max="13569" width="2.5703125" style="386" customWidth="1"/>
    <col min="13570" max="13570" width="7.140625" style="386" customWidth="1"/>
    <col min="13571" max="13571" width="41.85546875" style="386" customWidth="1"/>
    <col min="13572" max="13572" width="9.7109375" style="386" customWidth="1"/>
    <col min="13573" max="13573" width="4.7109375" style="386" customWidth="1"/>
    <col min="13574" max="13574" width="14.42578125" style="386" customWidth="1"/>
    <col min="13575" max="13575" width="11.140625" style="386" customWidth="1"/>
    <col min="13576" max="13576" width="10.28515625" style="386" customWidth="1"/>
    <col min="13577" max="13577" width="13" style="386" customWidth="1"/>
    <col min="13578" max="13578" width="8.28515625" style="386" customWidth="1"/>
    <col min="13579" max="13824" width="10" style="386"/>
    <col min="13825" max="13825" width="2.5703125" style="386" customWidth="1"/>
    <col min="13826" max="13826" width="7.140625" style="386" customWidth="1"/>
    <col min="13827" max="13827" width="41.85546875" style="386" customWidth="1"/>
    <col min="13828" max="13828" width="9.7109375" style="386" customWidth="1"/>
    <col min="13829" max="13829" width="4.7109375" style="386" customWidth="1"/>
    <col min="13830" max="13830" width="14.42578125" style="386" customWidth="1"/>
    <col min="13831" max="13831" width="11.140625" style="386" customWidth="1"/>
    <col min="13832" max="13832" width="10.28515625" style="386" customWidth="1"/>
    <col min="13833" max="13833" width="13" style="386" customWidth="1"/>
    <col min="13834" max="13834" width="8.28515625" style="386" customWidth="1"/>
    <col min="13835" max="14080" width="10" style="386"/>
    <col min="14081" max="14081" width="2.5703125" style="386" customWidth="1"/>
    <col min="14082" max="14082" width="7.140625" style="386" customWidth="1"/>
    <col min="14083" max="14083" width="41.85546875" style="386" customWidth="1"/>
    <col min="14084" max="14084" width="9.7109375" style="386" customWidth="1"/>
    <col min="14085" max="14085" width="4.7109375" style="386" customWidth="1"/>
    <col min="14086" max="14086" width="14.42578125" style="386" customWidth="1"/>
    <col min="14087" max="14087" width="11.140625" style="386" customWidth="1"/>
    <col min="14088" max="14088" width="10.28515625" style="386" customWidth="1"/>
    <col min="14089" max="14089" width="13" style="386" customWidth="1"/>
    <col min="14090" max="14090" width="8.28515625" style="386" customWidth="1"/>
    <col min="14091" max="14336" width="10" style="386"/>
    <col min="14337" max="14337" width="2.5703125" style="386" customWidth="1"/>
    <col min="14338" max="14338" width="7.140625" style="386" customWidth="1"/>
    <col min="14339" max="14339" width="41.85546875" style="386" customWidth="1"/>
    <col min="14340" max="14340" width="9.7109375" style="386" customWidth="1"/>
    <col min="14341" max="14341" width="4.7109375" style="386" customWidth="1"/>
    <col min="14342" max="14342" width="14.42578125" style="386" customWidth="1"/>
    <col min="14343" max="14343" width="11.140625" style="386" customWidth="1"/>
    <col min="14344" max="14344" width="10.28515625" style="386" customWidth="1"/>
    <col min="14345" max="14345" width="13" style="386" customWidth="1"/>
    <col min="14346" max="14346" width="8.28515625" style="386" customWidth="1"/>
    <col min="14347" max="14592" width="10" style="386"/>
    <col min="14593" max="14593" width="2.5703125" style="386" customWidth="1"/>
    <col min="14594" max="14594" width="7.140625" style="386" customWidth="1"/>
    <col min="14595" max="14595" width="41.85546875" style="386" customWidth="1"/>
    <col min="14596" max="14596" width="9.7109375" style="386" customWidth="1"/>
    <col min="14597" max="14597" width="4.7109375" style="386" customWidth="1"/>
    <col min="14598" max="14598" width="14.42578125" style="386" customWidth="1"/>
    <col min="14599" max="14599" width="11.140625" style="386" customWidth="1"/>
    <col min="14600" max="14600" width="10.28515625" style="386" customWidth="1"/>
    <col min="14601" max="14601" width="13" style="386" customWidth="1"/>
    <col min="14602" max="14602" width="8.28515625" style="386" customWidth="1"/>
    <col min="14603" max="14848" width="10" style="386"/>
    <col min="14849" max="14849" width="2.5703125" style="386" customWidth="1"/>
    <col min="14850" max="14850" width="7.140625" style="386" customWidth="1"/>
    <col min="14851" max="14851" width="41.85546875" style="386" customWidth="1"/>
    <col min="14852" max="14852" width="9.7109375" style="386" customWidth="1"/>
    <col min="14853" max="14853" width="4.7109375" style="386" customWidth="1"/>
    <col min="14854" max="14854" width="14.42578125" style="386" customWidth="1"/>
    <col min="14855" max="14855" width="11.140625" style="386" customWidth="1"/>
    <col min="14856" max="14856" width="10.28515625" style="386" customWidth="1"/>
    <col min="14857" max="14857" width="13" style="386" customWidth="1"/>
    <col min="14858" max="14858" width="8.28515625" style="386" customWidth="1"/>
    <col min="14859" max="15104" width="10" style="386"/>
    <col min="15105" max="15105" width="2.5703125" style="386" customWidth="1"/>
    <col min="15106" max="15106" width="7.140625" style="386" customWidth="1"/>
    <col min="15107" max="15107" width="41.85546875" style="386" customWidth="1"/>
    <col min="15108" max="15108" width="9.7109375" style="386" customWidth="1"/>
    <col min="15109" max="15109" width="4.7109375" style="386" customWidth="1"/>
    <col min="15110" max="15110" width="14.42578125" style="386" customWidth="1"/>
    <col min="15111" max="15111" width="11.140625" style="386" customWidth="1"/>
    <col min="15112" max="15112" width="10.28515625" style="386" customWidth="1"/>
    <col min="15113" max="15113" width="13" style="386" customWidth="1"/>
    <col min="15114" max="15114" width="8.28515625" style="386" customWidth="1"/>
    <col min="15115" max="15360" width="10" style="386"/>
    <col min="15361" max="15361" width="2.5703125" style="386" customWidth="1"/>
    <col min="15362" max="15362" width="7.140625" style="386" customWidth="1"/>
    <col min="15363" max="15363" width="41.85546875" style="386" customWidth="1"/>
    <col min="15364" max="15364" width="9.7109375" style="386" customWidth="1"/>
    <col min="15365" max="15365" width="4.7109375" style="386" customWidth="1"/>
    <col min="15366" max="15366" width="14.42578125" style="386" customWidth="1"/>
    <col min="15367" max="15367" width="11.140625" style="386" customWidth="1"/>
    <col min="15368" max="15368" width="10.28515625" style="386" customWidth="1"/>
    <col min="15369" max="15369" width="13" style="386" customWidth="1"/>
    <col min="15370" max="15370" width="8.28515625" style="386" customWidth="1"/>
    <col min="15371" max="15616" width="10" style="386"/>
    <col min="15617" max="15617" width="2.5703125" style="386" customWidth="1"/>
    <col min="15618" max="15618" width="7.140625" style="386" customWidth="1"/>
    <col min="15619" max="15619" width="41.85546875" style="386" customWidth="1"/>
    <col min="15620" max="15620" width="9.7109375" style="386" customWidth="1"/>
    <col min="15621" max="15621" width="4.7109375" style="386" customWidth="1"/>
    <col min="15622" max="15622" width="14.42578125" style="386" customWidth="1"/>
    <col min="15623" max="15623" width="11.140625" style="386" customWidth="1"/>
    <col min="15624" max="15624" width="10.28515625" style="386" customWidth="1"/>
    <col min="15625" max="15625" width="13" style="386" customWidth="1"/>
    <col min="15626" max="15626" width="8.28515625" style="386" customWidth="1"/>
    <col min="15627" max="15872" width="10" style="386"/>
    <col min="15873" max="15873" width="2.5703125" style="386" customWidth="1"/>
    <col min="15874" max="15874" width="7.140625" style="386" customWidth="1"/>
    <col min="15875" max="15875" width="41.85546875" style="386" customWidth="1"/>
    <col min="15876" max="15876" width="9.7109375" style="386" customWidth="1"/>
    <col min="15877" max="15877" width="4.7109375" style="386" customWidth="1"/>
    <col min="15878" max="15878" width="14.42578125" style="386" customWidth="1"/>
    <col min="15879" max="15879" width="11.140625" style="386" customWidth="1"/>
    <col min="15880" max="15880" width="10.28515625" style="386" customWidth="1"/>
    <col min="15881" max="15881" width="13" style="386" customWidth="1"/>
    <col min="15882" max="15882" width="8.28515625" style="386" customWidth="1"/>
    <col min="15883" max="16128" width="10" style="386"/>
    <col min="16129" max="16129" width="2.5703125" style="386" customWidth="1"/>
    <col min="16130" max="16130" width="7.140625" style="386" customWidth="1"/>
    <col min="16131" max="16131" width="41.85546875" style="386" customWidth="1"/>
    <col min="16132" max="16132" width="9.7109375" style="386" customWidth="1"/>
    <col min="16133" max="16133" width="4.7109375" style="386" customWidth="1"/>
    <col min="16134" max="16134" width="14.42578125" style="386" customWidth="1"/>
    <col min="16135" max="16135" width="11.140625" style="386" customWidth="1"/>
    <col min="16136" max="16136" width="10.28515625" style="386" customWidth="1"/>
    <col min="16137" max="16137" width="13" style="386" customWidth="1"/>
    <col min="16138" max="16138" width="8.28515625" style="386" customWidth="1"/>
    <col min="16139" max="16384" width="10" style="386"/>
  </cols>
  <sheetData>
    <row r="1" spans="1:10">
      <c r="B1" s="557" t="s">
        <v>52</v>
      </c>
      <c r="D1" s="558"/>
      <c r="E1" s="558"/>
      <c r="F1" s="558"/>
      <c r="G1" s="558"/>
      <c r="H1" s="558"/>
      <c r="I1" s="558"/>
      <c r="J1" s="559"/>
    </row>
    <row r="2" spans="1:10">
      <c r="B2" s="557" t="s">
        <v>225</v>
      </c>
      <c r="D2" s="558"/>
      <c r="E2" s="558"/>
      <c r="F2" s="558"/>
      <c r="G2" s="558"/>
      <c r="H2" s="558"/>
      <c r="I2" s="558"/>
      <c r="J2" s="559"/>
    </row>
    <row r="3" spans="1:10">
      <c r="B3" s="557" t="s">
        <v>600</v>
      </c>
      <c r="D3" s="558"/>
      <c r="E3" s="558"/>
      <c r="F3" s="558"/>
      <c r="G3" s="558"/>
      <c r="H3" s="558"/>
      <c r="I3" s="558"/>
      <c r="J3" s="559"/>
    </row>
    <row r="4" spans="1:10">
      <c r="D4" s="558"/>
      <c r="E4" s="558"/>
      <c r="F4" s="558"/>
      <c r="G4" s="558"/>
      <c r="H4" s="558"/>
      <c r="I4" s="558"/>
      <c r="J4" s="559"/>
    </row>
    <row r="5" spans="1:10">
      <c r="D5" s="558"/>
      <c r="E5" s="558"/>
      <c r="F5" s="558"/>
      <c r="G5" s="558"/>
      <c r="H5" s="558"/>
      <c r="I5" s="558"/>
      <c r="J5" s="559"/>
    </row>
    <row r="6" spans="1:10">
      <c r="D6" s="558"/>
      <c r="E6" s="558"/>
      <c r="F6" s="558" t="s">
        <v>405</v>
      </c>
      <c r="G6" s="558"/>
      <c r="H6" s="558"/>
      <c r="I6" s="558" t="s">
        <v>406</v>
      </c>
      <c r="J6" s="559"/>
    </row>
    <row r="7" spans="1:10">
      <c r="D7" s="560" t="s">
        <v>407</v>
      </c>
      <c r="E7" s="560" t="s">
        <v>408</v>
      </c>
      <c r="F7" s="560" t="s">
        <v>409</v>
      </c>
      <c r="G7" s="560" t="s">
        <v>410</v>
      </c>
      <c r="H7" s="560" t="s">
        <v>411</v>
      </c>
      <c r="I7" s="560" t="s">
        <v>412</v>
      </c>
      <c r="J7" s="561"/>
    </row>
    <row r="8" spans="1:10">
      <c r="A8" s="562"/>
      <c r="B8" s="563" t="s">
        <v>414</v>
      </c>
      <c r="C8" s="562"/>
      <c r="D8" s="564"/>
      <c r="E8" s="564"/>
      <c r="F8" s="564"/>
      <c r="G8" s="564"/>
      <c r="H8" s="564"/>
      <c r="I8" s="565"/>
      <c r="J8" s="559"/>
    </row>
    <row r="9" spans="1:10">
      <c r="A9" s="562"/>
      <c r="B9" s="566" t="s">
        <v>415</v>
      </c>
      <c r="C9" s="562"/>
      <c r="D9" s="564">
        <v>440</v>
      </c>
      <c r="E9" s="564" t="s">
        <v>416</v>
      </c>
      <c r="F9" s="567">
        <f>'[5]Table 1-Revenues'!D16</f>
        <v>8263144.9399999967</v>
      </c>
      <c r="G9" s="564" t="s">
        <v>406</v>
      </c>
      <c r="H9" s="568" t="s">
        <v>417</v>
      </c>
      <c r="I9" s="569">
        <f>F9</f>
        <v>8263144.9399999967</v>
      </c>
      <c r="J9" s="559"/>
    </row>
    <row r="10" spans="1:10">
      <c r="A10" s="562"/>
      <c r="B10" s="566" t="s">
        <v>418</v>
      </c>
      <c r="C10" s="562"/>
      <c r="D10" s="564">
        <v>442</v>
      </c>
      <c r="E10" s="564" t="s">
        <v>416</v>
      </c>
      <c r="F10" s="567">
        <f>'[5]Table 1-Revenues'!D17</f>
        <v>1073317.9799999956</v>
      </c>
      <c r="G10" s="564" t="s">
        <v>406</v>
      </c>
      <c r="H10" s="568" t="s">
        <v>417</v>
      </c>
      <c r="I10" s="569">
        <f>F10</f>
        <v>1073317.9799999956</v>
      </c>
      <c r="J10" s="559"/>
    </row>
    <row r="11" spans="1:10" ht="15.75">
      <c r="A11" s="562"/>
      <c r="B11" s="566" t="s">
        <v>601</v>
      </c>
      <c r="D11" s="564">
        <v>442</v>
      </c>
      <c r="E11" s="564" t="s">
        <v>416</v>
      </c>
      <c r="F11" s="567">
        <f>'[5]Table 1-Revenues'!D18+'[5]Table 1-Revenues'!D19</f>
        <v>812231.69999999786</v>
      </c>
      <c r="G11" s="564" t="s">
        <v>406</v>
      </c>
      <c r="H11" s="568" t="s">
        <v>417</v>
      </c>
      <c r="I11" s="569">
        <f>F11</f>
        <v>812231.69999999786</v>
      </c>
      <c r="J11" s="559"/>
    </row>
    <row r="12" spans="1:10">
      <c r="A12" s="562"/>
      <c r="B12" s="566" t="s">
        <v>419</v>
      </c>
      <c r="C12" s="562"/>
      <c r="D12" s="564">
        <v>444</v>
      </c>
      <c r="E12" s="564" t="s">
        <v>416</v>
      </c>
      <c r="F12" s="567">
        <f>'[5]Table 1-Revenues'!D20</f>
        <v>44129.380000000063</v>
      </c>
      <c r="G12" s="564" t="s">
        <v>406</v>
      </c>
      <c r="H12" s="568" t="s">
        <v>417</v>
      </c>
      <c r="I12" s="569">
        <f>F12</f>
        <v>44129.380000000063</v>
      </c>
      <c r="J12" s="559"/>
    </row>
    <row r="13" spans="1:10">
      <c r="A13" s="562"/>
      <c r="B13" s="570" t="s">
        <v>420</v>
      </c>
      <c r="C13" s="571"/>
      <c r="D13" s="572">
        <v>442</v>
      </c>
      <c r="E13" s="572"/>
      <c r="F13" s="573">
        <v>406531</v>
      </c>
      <c r="G13" s="572"/>
      <c r="H13" s="574"/>
      <c r="I13" s="575">
        <f t="shared" ref="I13:I14" si="0">F13</f>
        <v>406531</v>
      </c>
      <c r="J13" s="559"/>
    </row>
    <row r="14" spans="1:10">
      <c r="A14" s="562"/>
      <c r="B14" s="570" t="s">
        <v>421</v>
      </c>
      <c r="C14" s="571"/>
      <c r="D14" s="572">
        <v>442</v>
      </c>
      <c r="E14" s="572"/>
      <c r="F14" s="573">
        <v>2456349</v>
      </c>
      <c r="G14" s="572"/>
      <c r="H14" s="574"/>
      <c r="I14" s="575">
        <f t="shared" si="0"/>
        <v>2456349</v>
      </c>
      <c r="J14" s="559"/>
    </row>
    <row r="15" spans="1:10">
      <c r="A15" s="562"/>
      <c r="B15" s="562"/>
      <c r="C15" s="562"/>
      <c r="D15" s="564"/>
      <c r="E15" s="564"/>
      <c r="F15" s="576"/>
      <c r="G15" s="564"/>
      <c r="H15" s="568"/>
      <c r="I15" s="569"/>
      <c r="J15" s="559"/>
    </row>
    <row r="16" spans="1:10" ht="13.5" thickBot="1">
      <c r="A16" s="562"/>
      <c r="B16" s="562" t="s">
        <v>422</v>
      </c>
      <c r="C16" s="562"/>
      <c r="D16" s="564"/>
      <c r="E16" s="564"/>
      <c r="F16" s="577">
        <f>SUM(F9:F14)</f>
        <v>13055703.999999991</v>
      </c>
      <c r="G16" s="564"/>
      <c r="H16" s="568"/>
      <c r="I16" s="578">
        <f>SUM(I9:I14)</f>
        <v>13055703.999999991</v>
      </c>
      <c r="J16" s="559"/>
    </row>
    <row r="17" spans="1:10" ht="13.5" thickTop="1">
      <c r="A17" s="562"/>
      <c r="B17" s="562"/>
      <c r="C17" s="562"/>
      <c r="D17" s="564"/>
      <c r="E17" s="564"/>
      <c r="F17" s="579"/>
      <c r="G17" s="564"/>
      <c r="H17" s="568"/>
      <c r="I17" s="569"/>
      <c r="J17" s="559"/>
    </row>
    <row r="18" spans="1:10" ht="15.75">
      <c r="A18" s="562"/>
      <c r="B18" s="580" t="s">
        <v>602</v>
      </c>
      <c r="C18" s="562"/>
      <c r="D18" s="564"/>
      <c r="E18" s="564"/>
      <c r="F18" s="579"/>
      <c r="G18" s="564"/>
      <c r="H18" s="568"/>
      <c r="I18" s="569"/>
      <c r="J18" s="559"/>
    </row>
    <row r="19" spans="1:10">
      <c r="A19" s="562"/>
      <c r="B19" s="581"/>
      <c r="C19" s="562"/>
      <c r="D19" s="564"/>
      <c r="E19" s="564"/>
      <c r="F19" s="582"/>
      <c r="G19" s="564"/>
      <c r="H19" s="568"/>
      <c r="I19" s="569"/>
      <c r="J19" s="559"/>
    </row>
    <row r="20" spans="1:10">
      <c r="A20" s="562"/>
      <c r="B20" s="583" t="s">
        <v>423</v>
      </c>
      <c r="C20" s="463"/>
      <c r="D20" s="584"/>
      <c r="E20" s="584"/>
      <c r="F20" s="585"/>
      <c r="G20" s="584"/>
      <c r="H20" s="568"/>
      <c r="I20" s="569"/>
      <c r="J20" s="559"/>
    </row>
    <row r="21" spans="1:10">
      <c r="A21" s="562"/>
      <c r="B21" s="463" t="s">
        <v>424</v>
      </c>
      <c r="C21" s="463"/>
      <c r="D21" s="584" t="s">
        <v>425</v>
      </c>
      <c r="E21" s="564" t="s">
        <v>416</v>
      </c>
      <c r="F21" s="585">
        <f>ROUND(-'[5]Actual Tax Data'!E9,2)</f>
        <v>-1694391</v>
      </c>
      <c r="G21" s="584" t="s">
        <v>406</v>
      </c>
      <c r="H21" s="568" t="s">
        <v>417</v>
      </c>
      <c r="I21" s="569">
        <f>F21</f>
        <v>-1694391</v>
      </c>
      <c r="J21" s="559"/>
    </row>
    <row r="22" spans="1:10">
      <c r="A22" s="562"/>
      <c r="B22" s="392"/>
      <c r="C22" s="463"/>
      <c r="D22" s="584"/>
      <c r="E22" s="584"/>
      <c r="F22" s="585"/>
      <c r="G22" s="584"/>
      <c r="H22" s="568"/>
      <c r="I22" s="569"/>
      <c r="J22" s="559"/>
    </row>
    <row r="23" spans="1:10">
      <c r="A23" s="562"/>
      <c r="B23" s="586" t="s">
        <v>426</v>
      </c>
      <c r="C23" s="463"/>
      <c r="D23" s="584" t="s">
        <v>425</v>
      </c>
      <c r="E23" s="564" t="s">
        <v>416</v>
      </c>
      <c r="F23" s="585">
        <f>ROUND(-'[5]Actual Tax Data'!E10,2)</f>
        <v>-579420</v>
      </c>
      <c r="G23" s="584" t="s">
        <v>427</v>
      </c>
      <c r="H23" s="568">
        <v>0</v>
      </c>
      <c r="I23" s="569">
        <f>F23*H23</f>
        <v>0</v>
      </c>
      <c r="J23" s="559"/>
    </row>
    <row r="24" spans="1:10">
      <c r="A24" s="562"/>
      <c r="B24" s="586"/>
      <c r="C24" s="463"/>
      <c r="D24" s="584"/>
      <c r="E24" s="584"/>
      <c r="F24" s="585"/>
      <c r="G24" s="584"/>
      <c r="H24" s="568"/>
      <c r="I24" s="569"/>
      <c r="J24" s="559"/>
    </row>
    <row r="25" spans="1:10">
      <c r="A25" s="562"/>
      <c r="B25" s="463" t="s">
        <v>428</v>
      </c>
      <c r="C25" s="463"/>
      <c r="D25" s="584" t="s">
        <v>425</v>
      </c>
      <c r="E25" s="564" t="s">
        <v>416</v>
      </c>
      <c r="F25" s="585">
        <f>ROUND(-'[5]Actual Tax Data'!E11,2)</f>
        <v>-241237</v>
      </c>
      <c r="G25" s="584" t="s">
        <v>406</v>
      </c>
      <c r="H25" s="568" t="s">
        <v>417</v>
      </c>
      <c r="I25" s="569">
        <f>F25</f>
        <v>-241237</v>
      </c>
      <c r="J25" s="559"/>
    </row>
    <row r="26" spans="1:10">
      <c r="A26" s="562"/>
      <c r="B26" s="586"/>
      <c r="C26" s="463"/>
      <c r="D26" s="584"/>
      <c r="E26" s="584"/>
      <c r="F26" s="585"/>
      <c r="G26" s="584"/>
      <c r="H26" s="568"/>
      <c r="I26" s="569"/>
      <c r="J26" s="559"/>
    </row>
    <row r="27" spans="1:10">
      <c r="A27" s="562"/>
      <c r="B27" s="586"/>
      <c r="C27" s="463"/>
      <c r="D27" s="584"/>
      <c r="E27" s="584"/>
      <c r="F27" s="585"/>
      <c r="G27" s="584"/>
      <c r="H27" s="568"/>
      <c r="I27" s="569"/>
      <c r="J27" s="559"/>
    </row>
    <row r="28" spans="1:10">
      <c r="A28" s="562"/>
      <c r="B28" s="586"/>
      <c r="C28" s="463"/>
      <c r="D28" s="584"/>
      <c r="E28" s="584"/>
      <c r="F28" s="585"/>
      <c r="G28" s="584"/>
      <c r="H28" s="568"/>
      <c r="I28" s="569"/>
      <c r="J28" s="559"/>
    </row>
    <row r="29" spans="1:10">
      <c r="A29" s="562"/>
      <c r="B29" s="586"/>
      <c r="C29" s="463"/>
      <c r="D29" s="584"/>
      <c r="E29" s="584"/>
      <c r="F29" s="585"/>
      <c r="G29" s="584"/>
      <c r="H29" s="568"/>
      <c r="I29" s="569"/>
      <c r="J29" s="559"/>
    </row>
    <row r="30" spans="1:10">
      <c r="A30" s="562"/>
      <c r="B30" s="586"/>
      <c r="C30" s="463"/>
      <c r="D30" s="584"/>
      <c r="E30" s="584"/>
      <c r="F30" s="585"/>
      <c r="G30" s="584"/>
      <c r="H30" s="568"/>
      <c r="I30" s="569"/>
      <c r="J30" s="559"/>
    </row>
    <row r="31" spans="1:10">
      <c r="A31" s="562"/>
      <c r="B31" s="463"/>
      <c r="C31" s="463"/>
      <c r="D31" s="584"/>
      <c r="E31" s="584"/>
      <c r="F31" s="585"/>
      <c r="G31" s="584"/>
      <c r="H31" s="568"/>
      <c r="I31" s="569"/>
      <c r="J31" s="559"/>
    </row>
    <row r="32" spans="1:10">
      <c r="A32" s="562"/>
      <c r="B32" s="463"/>
      <c r="C32" s="463"/>
      <c r="D32" s="584"/>
      <c r="E32" s="584"/>
      <c r="F32" s="585"/>
      <c r="G32" s="584"/>
      <c r="H32" s="568"/>
      <c r="I32" s="569"/>
      <c r="J32" s="559"/>
    </row>
    <row r="33" spans="1:10">
      <c r="A33" s="562"/>
      <c r="B33" s="463"/>
      <c r="C33" s="463"/>
      <c r="D33" s="584"/>
      <c r="E33" s="584"/>
      <c r="F33" s="585"/>
      <c r="G33" s="584"/>
      <c r="H33" s="568"/>
      <c r="I33" s="569"/>
      <c r="J33" s="559"/>
    </row>
    <row r="34" spans="1:10">
      <c r="A34" s="562"/>
      <c r="B34" s="463"/>
      <c r="C34" s="463"/>
      <c r="D34" s="584"/>
      <c r="E34" s="584"/>
      <c r="F34" s="585"/>
      <c r="G34" s="584"/>
      <c r="H34" s="568"/>
      <c r="I34" s="569"/>
      <c r="J34" s="559"/>
    </row>
    <row r="35" spans="1:10">
      <c r="A35" s="562"/>
      <c r="B35" s="463"/>
      <c r="C35" s="463"/>
      <c r="D35" s="584"/>
      <c r="E35" s="584"/>
      <c r="F35" s="585"/>
      <c r="G35" s="584"/>
      <c r="H35" s="568"/>
      <c r="I35" s="569"/>
      <c r="J35" s="559"/>
    </row>
    <row r="36" spans="1:10">
      <c r="A36" s="562"/>
      <c r="B36" s="562"/>
      <c r="C36" s="562"/>
      <c r="D36" s="564"/>
      <c r="E36" s="564"/>
      <c r="F36" s="579"/>
      <c r="G36" s="564"/>
      <c r="H36" s="568"/>
      <c r="I36" s="569"/>
      <c r="J36" s="559"/>
    </row>
    <row r="37" spans="1:10">
      <c r="B37" s="562"/>
      <c r="C37" s="562"/>
      <c r="D37" s="564"/>
      <c r="E37" s="564"/>
      <c r="F37" s="579"/>
      <c r="G37" s="564"/>
      <c r="H37" s="568"/>
      <c r="I37" s="569"/>
      <c r="J37" s="559"/>
    </row>
    <row r="38" spans="1:10">
      <c r="B38" s="562"/>
      <c r="C38" s="562"/>
      <c r="D38" s="564"/>
      <c r="E38" s="564"/>
      <c r="F38" s="579"/>
      <c r="G38" s="564"/>
      <c r="H38" s="568"/>
      <c r="I38" s="569"/>
      <c r="J38" s="559"/>
    </row>
    <row r="39" spans="1:10">
      <c r="A39" s="562"/>
      <c r="B39" s="562"/>
      <c r="C39" s="562"/>
      <c r="D39" s="564"/>
      <c r="E39" s="564"/>
      <c r="F39" s="579"/>
      <c r="G39" s="564"/>
      <c r="H39" s="568"/>
      <c r="I39" s="579"/>
      <c r="J39" s="587"/>
    </row>
    <row r="40" spans="1:10">
      <c r="A40" s="562"/>
      <c r="B40" s="562"/>
      <c r="C40" s="562"/>
      <c r="D40" s="564"/>
      <c r="E40" s="564"/>
      <c r="F40" s="579"/>
      <c r="G40" s="564"/>
      <c r="H40" s="568"/>
      <c r="I40" s="579"/>
      <c r="J40" s="587"/>
    </row>
    <row r="41" spans="1:10">
      <c r="A41" s="562"/>
      <c r="B41" s="562"/>
      <c r="C41" s="562"/>
      <c r="D41" s="564"/>
      <c r="E41" s="564"/>
      <c r="F41" s="579"/>
      <c r="G41" s="564"/>
      <c r="H41" s="568"/>
      <c r="I41" s="579"/>
      <c r="J41" s="587"/>
    </row>
    <row r="42" spans="1:10">
      <c r="A42" s="562"/>
      <c r="B42" s="562"/>
      <c r="C42" s="562"/>
      <c r="D42" s="564"/>
      <c r="E42" s="564"/>
      <c r="F42" s="579"/>
      <c r="G42" s="564"/>
      <c r="H42" s="568"/>
      <c r="I42" s="579"/>
      <c r="J42" s="587"/>
    </row>
    <row r="43" spans="1:10">
      <c r="A43" s="562"/>
      <c r="B43" s="588"/>
      <c r="C43" s="562"/>
      <c r="D43" s="564"/>
      <c r="E43" s="564"/>
      <c r="F43" s="564"/>
      <c r="G43" s="564"/>
      <c r="H43" s="564"/>
      <c r="I43" s="564"/>
      <c r="J43" s="559"/>
    </row>
    <row r="44" spans="1:10">
      <c r="A44" s="562"/>
      <c r="B44" s="562"/>
      <c r="C44" s="562"/>
      <c r="D44" s="564"/>
      <c r="E44" s="564"/>
      <c r="F44" s="564"/>
      <c r="G44" s="564"/>
      <c r="H44" s="564"/>
      <c r="I44" s="564"/>
      <c r="J44" s="564"/>
    </row>
    <row r="45" spans="1:10">
      <c r="A45" s="562"/>
      <c r="B45" s="589"/>
      <c r="C45" s="562"/>
      <c r="D45" s="564"/>
      <c r="E45" s="564"/>
      <c r="F45" s="564"/>
      <c r="G45" s="564"/>
      <c r="H45" s="564"/>
      <c r="I45" s="564"/>
      <c r="J45" s="587"/>
    </row>
    <row r="46" spans="1:10">
      <c r="A46" s="562"/>
      <c r="B46" s="589"/>
      <c r="C46" s="562"/>
      <c r="D46" s="564"/>
      <c r="E46" s="564"/>
      <c r="F46" s="564"/>
      <c r="G46" s="564"/>
      <c r="H46" s="564"/>
      <c r="I46" s="564"/>
      <c r="J46" s="587"/>
    </row>
    <row r="47" spans="1:10">
      <c r="A47" s="562"/>
      <c r="B47" s="589"/>
      <c r="C47" s="562"/>
      <c r="D47" s="564"/>
      <c r="E47" s="564"/>
      <c r="F47" s="564"/>
      <c r="G47" s="564"/>
      <c r="H47" s="564"/>
      <c r="I47" s="564"/>
      <c r="J47" s="587"/>
    </row>
    <row r="48" spans="1:10">
      <c r="A48" s="562"/>
      <c r="B48" s="589"/>
      <c r="C48" s="562"/>
      <c r="D48" s="564"/>
      <c r="E48" s="564"/>
      <c r="F48" s="564"/>
      <c r="G48" s="564"/>
      <c r="H48" s="564"/>
      <c r="I48" s="564"/>
      <c r="J48" s="587"/>
    </row>
    <row r="49" spans="1:10">
      <c r="A49" s="562"/>
      <c r="B49" s="589"/>
      <c r="C49" s="562"/>
      <c r="D49" s="564"/>
      <c r="E49" s="564"/>
      <c r="F49" s="590"/>
      <c r="G49" s="564"/>
      <c r="H49" s="564"/>
      <c r="I49" s="564"/>
      <c r="J49" s="587"/>
    </row>
    <row r="50" spans="1:10">
      <c r="A50" s="562"/>
      <c r="B50" s="589"/>
      <c r="C50" s="562"/>
      <c r="D50" s="564"/>
      <c r="E50" s="564"/>
      <c r="F50" s="564"/>
      <c r="G50" s="564"/>
      <c r="H50" s="564"/>
      <c r="I50" s="564"/>
      <c r="J50" s="587"/>
    </row>
    <row r="51" spans="1:10">
      <c r="A51" s="562"/>
      <c r="B51" s="589"/>
      <c r="C51" s="562"/>
      <c r="D51" s="564"/>
      <c r="E51" s="564"/>
      <c r="F51" s="564"/>
      <c r="G51" s="564"/>
      <c r="H51" s="564"/>
      <c r="I51" s="564"/>
      <c r="J51" s="587"/>
    </row>
    <row r="52" spans="1:10">
      <c r="A52" s="562"/>
      <c r="B52" s="562"/>
      <c r="C52" s="562"/>
      <c r="D52" s="564"/>
      <c r="E52" s="564"/>
      <c r="F52" s="564"/>
      <c r="G52" s="564"/>
      <c r="H52" s="564"/>
      <c r="I52" s="564"/>
      <c r="J52" s="564"/>
    </row>
    <row r="55" spans="1:10">
      <c r="D55" s="560"/>
      <c r="G55" s="591"/>
    </row>
    <row r="56" spans="1:10">
      <c r="D56" s="592"/>
    </row>
    <row r="57" spans="1:10">
      <c r="D57" s="592"/>
    </row>
    <row r="58" spans="1:10">
      <c r="D58" s="592"/>
    </row>
    <row r="59" spans="1:10">
      <c r="D59" s="592"/>
    </row>
    <row r="60" spans="1:10">
      <c r="D60" s="592"/>
    </row>
    <row r="61" spans="1:10">
      <c r="D61" s="592"/>
    </row>
    <row r="62" spans="1:10">
      <c r="D62" s="592"/>
    </row>
    <row r="63" spans="1:10">
      <c r="D63" s="592"/>
    </row>
    <row r="64" spans="1:10">
      <c r="D64" s="592"/>
    </row>
    <row r="65" spans="4:4">
      <c r="D65" s="592"/>
    </row>
    <row r="66" spans="4:4">
      <c r="D66" s="592"/>
    </row>
    <row r="67" spans="4:4">
      <c r="D67" s="592"/>
    </row>
    <row r="68" spans="4:4">
      <c r="D68" s="592"/>
    </row>
    <row r="69" spans="4:4">
      <c r="D69" s="592"/>
    </row>
    <row r="70" spans="4:4">
      <c r="D70" s="592"/>
    </row>
    <row r="71" spans="4:4">
      <c r="D71" s="592"/>
    </row>
    <row r="72" spans="4:4">
      <c r="D72" s="592"/>
    </row>
    <row r="73" spans="4:4">
      <c r="D73" s="592"/>
    </row>
    <row r="74" spans="4:4">
      <c r="D74" s="592"/>
    </row>
    <row r="75" spans="4:4">
      <c r="D75" s="592"/>
    </row>
    <row r="76" spans="4:4">
      <c r="D76" s="592"/>
    </row>
    <row r="77" spans="4:4">
      <c r="D77" s="592"/>
    </row>
    <row r="78" spans="4:4">
      <c r="D78" s="592"/>
    </row>
    <row r="79" spans="4:4">
      <c r="D79" s="592"/>
    </row>
    <row r="80" spans="4:4">
      <c r="D80" s="592"/>
    </row>
    <row r="81" spans="4:4">
      <c r="D81" s="592"/>
    </row>
    <row r="82" spans="4:4">
      <c r="D82" s="592"/>
    </row>
    <row r="83" spans="4:4">
      <c r="D83" s="592"/>
    </row>
    <row r="84" spans="4:4">
      <c r="D84" s="592"/>
    </row>
    <row r="85" spans="4:4">
      <c r="D85" s="592"/>
    </row>
    <row r="86" spans="4:4">
      <c r="D86" s="592"/>
    </row>
    <row r="87" spans="4:4">
      <c r="D87" s="592"/>
    </row>
    <row r="88" spans="4:4">
      <c r="D88" s="592"/>
    </row>
    <row r="89" spans="4:4">
      <c r="D89" s="592"/>
    </row>
    <row r="90" spans="4:4">
      <c r="D90" s="592"/>
    </row>
    <row r="91" spans="4:4">
      <c r="D91" s="592"/>
    </row>
    <row r="92" spans="4:4">
      <c r="D92" s="592"/>
    </row>
    <row r="93" spans="4:4">
      <c r="D93" s="592"/>
    </row>
    <row r="94" spans="4:4">
      <c r="D94" s="592"/>
    </row>
    <row r="95" spans="4:4">
      <c r="D95" s="592"/>
    </row>
    <row r="96" spans="4:4">
      <c r="D96" s="592"/>
    </row>
    <row r="97" spans="4:4">
      <c r="D97" s="592"/>
    </row>
    <row r="98" spans="4:4">
      <c r="D98" s="592"/>
    </row>
    <row r="99" spans="4:4">
      <c r="D99" s="592"/>
    </row>
    <row r="100" spans="4:4">
      <c r="D100" s="592"/>
    </row>
    <row r="101" spans="4:4">
      <c r="D101" s="592"/>
    </row>
    <row r="102" spans="4:4">
      <c r="D102" s="592"/>
    </row>
    <row r="103" spans="4:4">
      <c r="D103" s="592"/>
    </row>
    <row r="104" spans="4:4">
      <c r="D104" s="592"/>
    </row>
    <row r="105" spans="4:4">
      <c r="D105" s="592"/>
    </row>
    <row r="106" spans="4:4">
      <c r="D106" s="592"/>
    </row>
    <row r="107" spans="4:4">
      <c r="D107" s="592"/>
    </row>
    <row r="108" spans="4:4">
      <c r="D108" s="592"/>
    </row>
    <row r="109" spans="4:4">
      <c r="D109" s="592"/>
    </row>
    <row r="110" spans="4:4">
      <c r="D110" s="592"/>
    </row>
    <row r="111" spans="4:4">
      <c r="D111" s="592"/>
    </row>
    <row r="112" spans="4:4">
      <c r="D112" s="592"/>
    </row>
    <row r="113" spans="4:4">
      <c r="D113" s="592"/>
    </row>
    <row r="114" spans="4:4">
      <c r="D114" s="592"/>
    </row>
    <row r="115" spans="4:4">
      <c r="D115" s="592"/>
    </row>
    <row r="116" spans="4:4">
      <c r="D116" s="592"/>
    </row>
    <row r="117" spans="4:4">
      <c r="D117" s="592"/>
    </row>
    <row r="118" spans="4:4">
      <c r="D118" s="592"/>
    </row>
    <row r="119" spans="4:4">
      <c r="D119" s="592"/>
    </row>
    <row r="120" spans="4:4">
      <c r="D120" s="592"/>
    </row>
    <row r="121" spans="4:4">
      <c r="D121" s="592"/>
    </row>
    <row r="122" spans="4:4">
      <c r="D122" s="592"/>
    </row>
    <row r="123" spans="4:4">
      <c r="D123" s="592"/>
    </row>
    <row r="124" spans="4:4">
      <c r="D124" s="592"/>
    </row>
    <row r="125" spans="4:4">
      <c r="D125" s="592"/>
    </row>
    <row r="126" spans="4:4">
      <c r="D126" s="592"/>
    </row>
    <row r="127" spans="4:4">
      <c r="D127" s="592"/>
    </row>
    <row r="128" spans="4:4">
      <c r="D128" s="592"/>
    </row>
    <row r="129" spans="4:4">
      <c r="D129" s="592"/>
    </row>
    <row r="130" spans="4:4">
      <c r="D130" s="592"/>
    </row>
    <row r="131" spans="4:4">
      <c r="D131" s="592"/>
    </row>
    <row r="132" spans="4:4">
      <c r="D132" s="592"/>
    </row>
    <row r="133" spans="4:4">
      <c r="D133" s="592"/>
    </row>
    <row r="134" spans="4:4">
      <c r="D134" s="592"/>
    </row>
    <row r="135" spans="4:4">
      <c r="D135" s="592"/>
    </row>
    <row r="136" spans="4:4">
      <c r="D136" s="592"/>
    </row>
    <row r="137" spans="4:4">
      <c r="D137" s="592"/>
    </row>
    <row r="138" spans="4:4">
      <c r="D138" s="592"/>
    </row>
    <row r="139" spans="4:4">
      <c r="D139" s="592"/>
    </row>
    <row r="140" spans="4:4">
      <c r="D140" s="592"/>
    </row>
    <row r="141" spans="4:4">
      <c r="D141" s="592"/>
    </row>
    <row r="142" spans="4:4">
      <c r="D142" s="592"/>
    </row>
    <row r="143" spans="4:4">
      <c r="D143" s="592"/>
    </row>
    <row r="144" spans="4:4">
      <c r="D144" s="592"/>
    </row>
    <row r="145" spans="4:4">
      <c r="D145" s="592"/>
    </row>
    <row r="146" spans="4:4">
      <c r="D146" s="592"/>
    </row>
    <row r="147" spans="4:4">
      <c r="D147" s="592"/>
    </row>
    <row r="148" spans="4:4">
      <c r="D148" s="592"/>
    </row>
    <row r="149" spans="4:4">
      <c r="D149" s="592"/>
    </row>
    <row r="150" spans="4:4">
      <c r="D150" s="592"/>
    </row>
    <row r="151" spans="4:4">
      <c r="D151" s="592"/>
    </row>
    <row r="152" spans="4:4">
      <c r="D152" s="592"/>
    </row>
    <row r="153" spans="4:4">
      <c r="D153" s="592"/>
    </row>
    <row r="154" spans="4:4">
      <c r="D154" s="592"/>
    </row>
    <row r="155" spans="4:4">
      <c r="D155" s="592"/>
    </row>
    <row r="156" spans="4:4">
      <c r="D156" s="592"/>
    </row>
    <row r="157" spans="4:4">
      <c r="D157" s="592"/>
    </row>
    <row r="158" spans="4:4">
      <c r="D158" s="592"/>
    </row>
    <row r="159" spans="4:4">
      <c r="D159" s="592"/>
    </row>
    <row r="160" spans="4:4">
      <c r="D160" s="592"/>
    </row>
    <row r="161" spans="4:4">
      <c r="D161" s="592"/>
    </row>
    <row r="162" spans="4:4">
      <c r="D162" s="592"/>
    </row>
    <row r="163" spans="4:4">
      <c r="D163" s="592"/>
    </row>
    <row r="164" spans="4:4">
      <c r="D164" s="592"/>
    </row>
    <row r="165" spans="4:4">
      <c r="D165" s="592"/>
    </row>
    <row r="166" spans="4:4">
      <c r="D166" s="592"/>
    </row>
    <row r="167" spans="4:4">
      <c r="D167" s="592"/>
    </row>
    <row r="168" spans="4:4">
      <c r="D168" s="592"/>
    </row>
    <row r="169" spans="4:4">
      <c r="D169" s="592"/>
    </row>
    <row r="170" spans="4:4">
      <c r="D170" s="592"/>
    </row>
    <row r="171" spans="4:4">
      <c r="D171" s="592"/>
    </row>
    <row r="172" spans="4:4">
      <c r="D172" s="592"/>
    </row>
    <row r="173" spans="4:4">
      <c r="D173" s="592"/>
    </row>
    <row r="174" spans="4:4">
      <c r="D174" s="592"/>
    </row>
    <row r="175" spans="4:4">
      <c r="D175" s="592"/>
    </row>
    <row r="176" spans="4:4">
      <c r="D176" s="592"/>
    </row>
    <row r="177" spans="4:4">
      <c r="D177" s="592"/>
    </row>
    <row r="178" spans="4:4">
      <c r="D178" s="592"/>
    </row>
    <row r="179" spans="4:4">
      <c r="D179" s="592"/>
    </row>
    <row r="180" spans="4:4">
      <c r="D180" s="592"/>
    </row>
    <row r="181" spans="4:4">
      <c r="D181" s="592"/>
    </row>
    <row r="182" spans="4:4">
      <c r="D182" s="592"/>
    </row>
    <row r="183" spans="4:4">
      <c r="D183" s="592"/>
    </row>
    <row r="184" spans="4:4">
      <c r="D184" s="592"/>
    </row>
    <row r="185" spans="4:4">
      <c r="D185" s="592"/>
    </row>
    <row r="186" spans="4:4">
      <c r="D186" s="592"/>
    </row>
    <row r="187" spans="4:4">
      <c r="D187" s="592"/>
    </row>
    <row r="188" spans="4:4">
      <c r="D188" s="592"/>
    </row>
    <row r="189" spans="4:4">
      <c r="D189" s="592"/>
    </row>
    <row r="190" spans="4:4">
      <c r="D190" s="592"/>
    </row>
    <row r="191" spans="4:4">
      <c r="D191" s="592"/>
    </row>
    <row r="192" spans="4:4">
      <c r="D192" s="592"/>
    </row>
    <row r="193" spans="4:4">
      <c r="D193" s="592"/>
    </row>
    <row r="194" spans="4:4">
      <c r="D194" s="592"/>
    </row>
    <row r="195" spans="4:4">
      <c r="D195" s="592"/>
    </row>
    <row r="196" spans="4:4">
      <c r="D196" s="592"/>
    </row>
    <row r="197" spans="4:4">
      <c r="D197" s="592"/>
    </row>
    <row r="198" spans="4:4">
      <c r="D198" s="592"/>
    </row>
    <row r="199" spans="4:4">
      <c r="D199" s="592"/>
    </row>
    <row r="200" spans="4:4">
      <c r="D200" s="592"/>
    </row>
    <row r="201" spans="4:4">
      <c r="D201" s="592"/>
    </row>
    <row r="202" spans="4:4">
      <c r="D202" s="592"/>
    </row>
    <row r="203" spans="4:4">
      <c r="D203" s="592"/>
    </row>
    <row r="204" spans="4:4">
      <c r="D204" s="592"/>
    </row>
    <row r="205" spans="4:4">
      <c r="D205" s="592"/>
    </row>
    <row r="206" spans="4:4">
      <c r="D206" s="592"/>
    </row>
    <row r="207" spans="4:4">
      <c r="D207" s="592"/>
    </row>
    <row r="208" spans="4:4">
      <c r="D208" s="592"/>
    </row>
    <row r="209" spans="4:4">
      <c r="D209" s="592"/>
    </row>
    <row r="210" spans="4:4">
      <c r="D210" s="592"/>
    </row>
    <row r="211" spans="4:4">
      <c r="D211" s="592"/>
    </row>
    <row r="212" spans="4:4">
      <c r="D212" s="592"/>
    </row>
    <row r="213" spans="4:4">
      <c r="D213" s="592"/>
    </row>
    <row r="214" spans="4:4">
      <c r="D214" s="592"/>
    </row>
    <row r="215" spans="4:4">
      <c r="D215" s="592"/>
    </row>
    <row r="216" spans="4:4">
      <c r="D216" s="592"/>
    </row>
    <row r="217" spans="4:4">
      <c r="D217" s="592"/>
    </row>
    <row r="218" spans="4:4">
      <c r="D218" s="592"/>
    </row>
    <row r="219" spans="4:4">
      <c r="D219" s="592"/>
    </row>
    <row r="220" spans="4:4">
      <c r="D220" s="592"/>
    </row>
    <row r="221" spans="4:4">
      <c r="D221" s="592"/>
    </row>
    <row r="222" spans="4:4">
      <c r="D222" s="592"/>
    </row>
    <row r="223" spans="4:4">
      <c r="D223" s="592"/>
    </row>
    <row r="224" spans="4:4">
      <c r="D224" s="592"/>
    </row>
    <row r="225" spans="4:4">
      <c r="D225" s="592"/>
    </row>
    <row r="226" spans="4:4">
      <c r="D226" s="592"/>
    </row>
    <row r="227" spans="4:4">
      <c r="D227" s="592"/>
    </row>
    <row r="228" spans="4:4">
      <c r="D228" s="592"/>
    </row>
    <row r="229" spans="4:4">
      <c r="D229" s="592"/>
    </row>
    <row r="230" spans="4:4">
      <c r="D230" s="592"/>
    </row>
    <row r="231" spans="4:4">
      <c r="D231" s="592"/>
    </row>
    <row r="232" spans="4:4">
      <c r="D232" s="592"/>
    </row>
    <row r="233" spans="4:4">
      <c r="D233" s="592"/>
    </row>
    <row r="234" spans="4:4">
      <c r="D234" s="592"/>
    </row>
    <row r="235" spans="4:4">
      <c r="D235" s="592"/>
    </row>
    <row r="236" spans="4:4">
      <c r="D236" s="592"/>
    </row>
    <row r="237" spans="4:4">
      <c r="D237" s="592"/>
    </row>
    <row r="238" spans="4:4">
      <c r="D238" s="592"/>
    </row>
    <row r="239" spans="4:4">
      <c r="D239" s="592"/>
    </row>
    <row r="240" spans="4:4">
      <c r="D240" s="592"/>
    </row>
    <row r="241" spans="4:4">
      <c r="D241" s="592"/>
    </row>
    <row r="242" spans="4:4">
      <c r="D242" s="592"/>
    </row>
    <row r="243" spans="4:4">
      <c r="D243" s="592"/>
    </row>
    <row r="244" spans="4:4">
      <c r="D244" s="592"/>
    </row>
    <row r="245" spans="4:4">
      <c r="D245" s="592"/>
    </row>
    <row r="246" spans="4:4">
      <c r="D246" s="592"/>
    </row>
    <row r="247" spans="4:4">
      <c r="D247" s="592"/>
    </row>
    <row r="248" spans="4:4">
      <c r="D248" s="592"/>
    </row>
    <row r="249" spans="4:4">
      <c r="D249" s="592"/>
    </row>
    <row r="250" spans="4:4">
      <c r="D250" s="592"/>
    </row>
    <row r="251" spans="4:4">
      <c r="D251" s="592"/>
    </row>
    <row r="252" spans="4:4">
      <c r="D252" s="592"/>
    </row>
    <row r="253" spans="4:4">
      <c r="D253" s="592"/>
    </row>
    <row r="254" spans="4:4">
      <c r="D254" s="592"/>
    </row>
    <row r="255" spans="4:4">
      <c r="D255" s="592"/>
    </row>
    <row r="256" spans="4:4">
      <c r="D256" s="592"/>
    </row>
    <row r="257" spans="4:4">
      <c r="D257" s="592"/>
    </row>
    <row r="258" spans="4:4">
      <c r="D258" s="592"/>
    </row>
    <row r="259" spans="4:4">
      <c r="D259" s="592"/>
    </row>
    <row r="260" spans="4:4">
      <c r="D260" s="592"/>
    </row>
    <row r="261" spans="4:4">
      <c r="D261" s="592"/>
    </row>
    <row r="262" spans="4:4">
      <c r="D262" s="592"/>
    </row>
    <row r="263" spans="4:4">
      <c r="D263" s="592"/>
    </row>
    <row r="264" spans="4:4">
      <c r="D264" s="592"/>
    </row>
    <row r="265" spans="4:4">
      <c r="D265" s="592"/>
    </row>
    <row r="266" spans="4:4">
      <c r="D266" s="592"/>
    </row>
    <row r="267" spans="4:4">
      <c r="D267" s="592"/>
    </row>
    <row r="268" spans="4:4">
      <c r="D268" s="592"/>
    </row>
    <row r="269" spans="4:4">
      <c r="D269" s="592"/>
    </row>
    <row r="270" spans="4:4">
      <c r="D270" s="592"/>
    </row>
    <row r="271" spans="4:4">
      <c r="D271" s="592"/>
    </row>
    <row r="272" spans="4:4">
      <c r="D272" s="592"/>
    </row>
    <row r="273" spans="4:4">
      <c r="D273" s="592"/>
    </row>
    <row r="274" spans="4:4">
      <c r="D274" s="592"/>
    </row>
    <row r="275" spans="4:4">
      <c r="D275" s="592"/>
    </row>
    <row r="276" spans="4:4">
      <c r="D276" s="592"/>
    </row>
    <row r="277" spans="4:4">
      <c r="D277" s="592"/>
    </row>
    <row r="278" spans="4:4">
      <c r="D278" s="592"/>
    </row>
    <row r="279" spans="4:4">
      <c r="D279" s="592"/>
    </row>
    <row r="280" spans="4:4">
      <c r="D280" s="592"/>
    </row>
    <row r="281" spans="4:4">
      <c r="D281" s="592"/>
    </row>
    <row r="282" spans="4:4">
      <c r="D282" s="592"/>
    </row>
    <row r="283" spans="4:4">
      <c r="D283" s="592"/>
    </row>
    <row r="284" spans="4:4">
      <c r="D284" s="592"/>
    </row>
    <row r="285" spans="4:4">
      <c r="D285" s="592"/>
    </row>
    <row r="286" spans="4:4">
      <c r="D286" s="592"/>
    </row>
    <row r="287" spans="4:4">
      <c r="D287" s="592"/>
    </row>
    <row r="288" spans="4:4">
      <c r="D288" s="592"/>
    </row>
    <row r="289" spans="4:4">
      <c r="D289" s="592"/>
    </row>
    <row r="290" spans="4:4">
      <c r="D290" s="592"/>
    </row>
    <row r="291" spans="4:4">
      <c r="D291" s="592"/>
    </row>
    <row r="292" spans="4:4">
      <c r="D292" s="592"/>
    </row>
    <row r="293" spans="4:4">
      <c r="D293" s="592"/>
    </row>
    <row r="294" spans="4:4">
      <c r="D294" s="592"/>
    </row>
    <row r="295" spans="4:4">
      <c r="D295" s="592"/>
    </row>
    <row r="296" spans="4:4">
      <c r="D296" s="592"/>
    </row>
    <row r="297" spans="4:4">
      <c r="D297" s="592"/>
    </row>
    <row r="298" spans="4:4">
      <c r="D298" s="592"/>
    </row>
    <row r="299" spans="4:4">
      <c r="D299" s="592"/>
    </row>
    <row r="300" spans="4:4">
      <c r="D300" s="592"/>
    </row>
    <row r="301" spans="4:4">
      <c r="D301" s="592"/>
    </row>
    <row r="302" spans="4:4">
      <c r="D302" s="592"/>
    </row>
    <row r="303" spans="4:4">
      <c r="D303" s="592"/>
    </row>
    <row r="304" spans="4:4">
      <c r="D304" s="592"/>
    </row>
    <row r="305" spans="4:4">
      <c r="D305" s="592"/>
    </row>
    <row r="306" spans="4:4">
      <c r="D306" s="592"/>
    </row>
    <row r="307" spans="4:4">
      <c r="D307" s="592"/>
    </row>
    <row r="308" spans="4:4">
      <c r="D308" s="592"/>
    </row>
    <row r="309" spans="4:4">
      <c r="D309" s="592"/>
    </row>
    <row r="310" spans="4:4">
      <c r="D310" s="592"/>
    </row>
    <row r="311" spans="4:4">
      <c r="D311" s="592"/>
    </row>
    <row r="312" spans="4:4">
      <c r="D312" s="592"/>
    </row>
    <row r="313" spans="4:4">
      <c r="D313" s="592"/>
    </row>
    <row r="314" spans="4:4">
      <c r="D314" s="592"/>
    </row>
    <row r="315" spans="4:4">
      <c r="D315" s="592"/>
    </row>
    <row r="316" spans="4:4">
      <c r="D316" s="592"/>
    </row>
    <row r="317" spans="4:4">
      <c r="D317" s="592"/>
    </row>
    <row r="318" spans="4:4">
      <c r="D318" s="592"/>
    </row>
    <row r="319" spans="4:4">
      <c r="D319" s="592"/>
    </row>
    <row r="320" spans="4:4">
      <c r="D320" s="592"/>
    </row>
    <row r="321" spans="4:4">
      <c r="D321" s="592"/>
    </row>
    <row r="322" spans="4:4">
      <c r="D322" s="592"/>
    </row>
    <row r="323" spans="4:4">
      <c r="D323" s="592"/>
    </row>
    <row r="324" spans="4:4">
      <c r="D324" s="592"/>
    </row>
    <row r="325" spans="4:4">
      <c r="D325" s="592"/>
    </row>
    <row r="326" spans="4:4">
      <c r="D326" s="592"/>
    </row>
    <row r="327" spans="4:4">
      <c r="D327" s="592"/>
    </row>
    <row r="328" spans="4:4">
      <c r="D328" s="592"/>
    </row>
    <row r="329" spans="4:4">
      <c r="D329" s="592"/>
    </row>
    <row r="330" spans="4:4">
      <c r="D330" s="592"/>
    </row>
    <row r="331" spans="4:4">
      <c r="D331" s="592"/>
    </row>
    <row r="332" spans="4:4">
      <c r="D332" s="592"/>
    </row>
    <row r="333" spans="4:4">
      <c r="D333" s="592"/>
    </row>
    <row r="334" spans="4:4">
      <c r="D334" s="592"/>
    </row>
    <row r="335" spans="4:4">
      <c r="D335" s="592"/>
    </row>
    <row r="336" spans="4:4">
      <c r="D336" s="592"/>
    </row>
    <row r="337" spans="4:4">
      <c r="D337" s="592"/>
    </row>
    <row r="338" spans="4:4">
      <c r="D338" s="592"/>
    </row>
    <row r="339" spans="4:4">
      <c r="D339" s="592"/>
    </row>
    <row r="340" spans="4:4">
      <c r="D340" s="592"/>
    </row>
    <row r="341" spans="4:4">
      <c r="D341" s="592"/>
    </row>
    <row r="342" spans="4:4">
      <c r="D342" s="592"/>
    </row>
    <row r="343" spans="4:4">
      <c r="D343" s="592"/>
    </row>
    <row r="344" spans="4:4">
      <c r="D344" s="592"/>
    </row>
    <row r="345" spans="4:4">
      <c r="D345" s="592"/>
    </row>
    <row r="346" spans="4:4">
      <c r="D346" s="592"/>
    </row>
    <row r="347" spans="4:4">
      <c r="D347" s="592"/>
    </row>
    <row r="348" spans="4:4">
      <c r="D348" s="592"/>
    </row>
    <row r="349" spans="4:4">
      <c r="D349" s="592"/>
    </row>
    <row r="350" spans="4:4">
      <c r="D350" s="592"/>
    </row>
    <row r="351" spans="4:4">
      <c r="D351" s="592"/>
    </row>
    <row r="352" spans="4:4">
      <c r="D352" s="592"/>
    </row>
    <row r="353" spans="4:4">
      <c r="D353" s="592"/>
    </row>
    <row r="354" spans="4:4">
      <c r="D354" s="592"/>
    </row>
    <row r="355" spans="4:4">
      <c r="D355" s="592"/>
    </row>
    <row r="356" spans="4:4">
      <c r="D356" s="592"/>
    </row>
    <row r="357" spans="4:4">
      <c r="D357" s="592"/>
    </row>
    <row r="358" spans="4:4">
      <c r="D358" s="592"/>
    </row>
    <row r="359" spans="4:4">
      <c r="D359" s="592"/>
    </row>
    <row r="360" spans="4:4">
      <c r="D360" s="592"/>
    </row>
    <row r="361" spans="4:4">
      <c r="D361" s="592"/>
    </row>
    <row r="362" spans="4:4">
      <c r="D362" s="592"/>
    </row>
    <row r="363" spans="4:4">
      <c r="D363" s="592"/>
    </row>
    <row r="364" spans="4:4">
      <c r="D364" s="592"/>
    </row>
    <row r="365" spans="4:4">
      <c r="D365" s="592"/>
    </row>
    <row r="366" spans="4:4">
      <c r="D366" s="592"/>
    </row>
    <row r="367" spans="4:4">
      <c r="D367" s="592"/>
    </row>
    <row r="368" spans="4:4">
      <c r="D368" s="592"/>
    </row>
    <row r="369" spans="4:4">
      <c r="D369" s="592"/>
    </row>
    <row r="370" spans="4:4">
      <c r="D370" s="592"/>
    </row>
    <row r="371" spans="4:4">
      <c r="D371" s="592"/>
    </row>
    <row r="372" spans="4:4">
      <c r="D372" s="592"/>
    </row>
    <row r="373" spans="4:4">
      <c r="D373" s="592"/>
    </row>
    <row r="374" spans="4:4">
      <c r="D374" s="592"/>
    </row>
    <row r="375" spans="4:4">
      <c r="D375" s="592"/>
    </row>
    <row r="376" spans="4:4">
      <c r="D376" s="592"/>
    </row>
    <row r="377" spans="4:4">
      <c r="D377" s="592"/>
    </row>
    <row r="378" spans="4:4">
      <c r="D378" s="592"/>
    </row>
    <row r="379" spans="4:4">
      <c r="D379" s="592"/>
    </row>
    <row r="380" spans="4:4">
      <c r="D380" s="592"/>
    </row>
    <row r="381" spans="4:4">
      <c r="D381" s="592"/>
    </row>
    <row r="382" spans="4:4">
      <c r="D382" s="592"/>
    </row>
    <row r="383" spans="4:4">
      <c r="D383" s="592"/>
    </row>
    <row r="384" spans="4:4">
      <c r="D384" s="592"/>
    </row>
    <row r="385" spans="4:4">
      <c r="D385" s="592"/>
    </row>
    <row r="386" spans="4:4">
      <c r="D386" s="592"/>
    </row>
    <row r="387" spans="4:4">
      <c r="D387" s="592"/>
    </row>
    <row r="388" spans="4:4">
      <c r="D388" s="592"/>
    </row>
    <row r="389" spans="4:4">
      <c r="D389" s="592"/>
    </row>
    <row r="390" spans="4:4">
      <c r="D390" s="592"/>
    </row>
  </sheetData>
  <conditionalFormatting sqref="J1">
    <cfRule type="cellIs" dxfId="18" priority="3" stopIfTrue="1" operator="equal">
      <formula>"x.x"</formula>
    </cfRule>
  </conditionalFormatting>
  <conditionalFormatting sqref="B9">
    <cfRule type="cellIs" dxfId="17" priority="2" stopIfTrue="1" operator="equal">
      <formula>"Title"</formula>
    </cfRule>
  </conditionalFormatting>
  <conditionalFormatting sqref="B8">
    <cfRule type="cellIs" dxfId="16"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WVO983044:WVO983082 JC9:JC42 SY9:SY42 ACU9:ACU42 AMQ9:AMQ42 AWM9:AWM42 BGI9:BGI42 BQE9:BQE42 CAA9:CAA42 CJW9:CJW42 CTS9:CTS42 DDO9:DDO42 DNK9:DNK42 DXG9:DXG42 EHC9:EHC42 EQY9:EQY42 FAU9:FAU42 FKQ9:FKQ42 FUM9:FUM42 GEI9:GEI42 GOE9:GOE42 GYA9:GYA42 HHW9:HHW42 HRS9:HRS42 IBO9:IBO42 ILK9:ILK42 IVG9:IVG42 JFC9:JFC42 JOY9:JOY42 JYU9:JYU42 KIQ9:KIQ42 KSM9:KSM42 LCI9:LCI42 LME9:LME42 LWA9:LWA42 MFW9:MFW42 MPS9:MPS42 MZO9:MZO42 NJK9:NJK42 NTG9:NTG42 ODC9:ODC42 OMY9:OMY42 OWU9:OWU42 PGQ9:PGQ42 PQM9:PQM42 QAI9:QAI42 QKE9:QKE42 QUA9:QUA42 RDW9:RDW42 RNS9:RNS42 RXO9:RXO42 SHK9:SHK42 SRG9:SRG42 TBC9:TBC42 TKY9:TKY42 TUU9:TUU42 UEQ9:UEQ42 UOM9:UOM42 UYI9:UYI42 VIE9:VIE42 VSA9:VSA42 WBW9:WBW42 WLS9:WLS42 WVO9:WVO42 G65540:G65578 JC65540:JC65578 SY65540:SY65578 ACU65540:ACU65578 AMQ65540:AMQ65578 AWM65540:AWM65578 BGI65540:BGI65578 BQE65540:BQE65578 CAA65540:CAA65578 CJW65540:CJW65578 CTS65540:CTS65578 DDO65540:DDO65578 DNK65540:DNK65578 DXG65540:DXG65578 EHC65540:EHC65578 EQY65540:EQY65578 FAU65540:FAU65578 FKQ65540:FKQ65578 FUM65540:FUM65578 GEI65540:GEI65578 GOE65540:GOE65578 GYA65540:GYA65578 HHW65540:HHW65578 HRS65540:HRS65578 IBO65540:IBO65578 ILK65540:ILK65578 IVG65540:IVG65578 JFC65540:JFC65578 JOY65540:JOY65578 JYU65540:JYU65578 KIQ65540:KIQ65578 KSM65540:KSM65578 LCI65540:LCI65578 LME65540:LME65578 LWA65540:LWA65578 MFW65540:MFW65578 MPS65540:MPS65578 MZO65540:MZO65578 NJK65540:NJK65578 NTG65540:NTG65578 ODC65540:ODC65578 OMY65540:OMY65578 OWU65540:OWU65578 PGQ65540:PGQ65578 PQM65540:PQM65578 QAI65540:QAI65578 QKE65540:QKE65578 QUA65540:QUA65578 RDW65540:RDW65578 RNS65540:RNS65578 RXO65540:RXO65578 SHK65540:SHK65578 SRG65540:SRG65578 TBC65540:TBC65578 TKY65540:TKY65578 TUU65540:TUU65578 UEQ65540:UEQ65578 UOM65540:UOM65578 UYI65540:UYI65578 VIE65540:VIE65578 VSA65540:VSA65578 WBW65540:WBW65578 WLS65540:WLS65578 WVO65540:WVO65578 G131076:G131114 JC131076:JC131114 SY131076:SY131114 ACU131076:ACU131114 AMQ131076:AMQ131114 AWM131076:AWM131114 BGI131076:BGI131114 BQE131076:BQE131114 CAA131076:CAA131114 CJW131076:CJW131114 CTS131076:CTS131114 DDO131076:DDO131114 DNK131076:DNK131114 DXG131076:DXG131114 EHC131076:EHC131114 EQY131076:EQY131114 FAU131076:FAU131114 FKQ131076:FKQ131114 FUM131076:FUM131114 GEI131076:GEI131114 GOE131076:GOE131114 GYA131076:GYA131114 HHW131076:HHW131114 HRS131076:HRS131114 IBO131076:IBO131114 ILK131076:ILK131114 IVG131076:IVG131114 JFC131076:JFC131114 JOY131076:JOY131114 JYU131076:JYU131114 KIQ131076:KIQ131114 KSM131076:KSM131114 LCI131076:LCI131114 LME131076:LME131114 LWA131076:LWA131114 MFW131076:MFW131114 MPS131076:MPS131114 MZO131076:MZO131114 NJK131076:NJK131114 NTG131076:NTG131114 ODC131076:ODC131114 OMY131076:OMY131114 OWU131076:OWU131114 PGQ131076:PGQ131114 PQM131076:PQM131114 QAI131076:QAI131114 QKE131076:QKE131114 QUA131076:QUA131114 RDW131076:RDW131114 RNS131076:RNS131114 RXO131076:RXO131114 SHK131076:SHK131114 SRG131076:SRG131114 TBC131076:TBC131114 TKY131076:TKY131114 TUU131076:TUU131114 UEQ131076:UEQ131114 UOM131076:UOM131114 UYI131076:UYI131114 VIE131076:VIE131114 VSA131076:VSA131114 WBW131076:WBW131114 WLS131076:WLS131114 WVO131076:WVO131114 G196612:G196650 JC196612:JC196650 SY196612:SY196650 ACU196612:ACU196650 AMQ196612:AMQ196650 AWM196612:AWM196650 BGI196612:BGI196650 BQE196612:BQE196650 CAA196612:CAA196650 CJW196612:CJW196650 CTS196612:CTS196650 DDO196612:DDO196650 DNK196612:DNK196650 DXG196612:DXG196650 EHC196612:EHC196650 EQY196612:EQY196650 FAU196612:FAU196650 FKQ196612:FKQ196650 FUM196612:FUM196650 GEI196612:GEI196650 GOE196612:GOE196650 GYA196612:GYA196650 HHW196612:HHW196650 HRS196612:HRS196650 IBO196612:IBO196650 ILK196612:ILK196650 IVG196612:IVG196650 JFC196612:JFC196650 JOY196612:JOY196650 JYU196612:JYU196650 KIQ196612:KIQ196650 KSM196612:KSM196650 LCI196612:LCI196650 LME196612:LME196650 LWA196612:LWA196650 MFW196612:MFW196650 MPS196612:MPS196650 MZO196612:MZO196650 NJK196612:NJK196650 NTG196612:NTG196650 ODC196612:ODC196650 OMY196612:OMY196650 OWU196612:OWU196650 PGQ196612:PGQ196650 PQM196612:PQM196650 QAI196612:QAI196650 QKE196612:QKE196650 QUA196612:QUA196650 RDW196612:RDW196650 RNS196612:RNS196650 RXO196612:RXO196650 SHK196612:SHK196650 SRG196612:SRG196650 TBC196612:TBC196650 TKY196612:TKY196650 TUU196612:TUU196650 UEQ196612:UEQ196650 UOM196612:UOM196650 UYI196612:UYI196650 VIE196612:VIE196650 VSA196612:VSA196650 WBW196612:WBW196650 WLS196612:WLS196650 WVO196612:WVO196650 G262148:G262186 JC262148:JC262186 SY262148:SY262186 ACU262148:ACU262186 AMQ262148:AMQ262186 AWM262148:AWM262186 BGI262148:BGI262186 BQE262148:BQE262186 CAA262148:CAA262186 CJW262148:CJW262186 CTS262148:CTS262186 DDO262148:DDO262186 DNK262148:DNK262186 DXG262148:DXG262186 EHC262148:EHC262186 EQY262148:EQY262186 FAU262148:FAU262186 FKQ262148:FKQ262186 FUM262148:FUM262186 GEI262148:GEI262186 GOE262148:GOE262186 GYA262148:GYA262186 HHW262148:HHW262186 HRS262148:HRS262186 IBO262148:IBO262186 ILK262148:ILK262186 IVG262148:IVG262186 JFC262148:JFC262186 JOY262148:JOY262186 JYU262148:JYU262186 KIQ262148:KIQ262186 KSM262148:KSM262186 LCI262148:LCI262186 LME262148:LME262186 LWA262148:LWA262186 MFW262148:MFW262186 MPS262148:MPS262186 MZO262148:MZO262186 NJK262148:NJK262186 NTG262148:NTG262186 ODC262148:ODC262186 OMY262148:OMY262186 OWU262148:OWU262186 PGQ262148:PGQ262186 PQM262148:PQM262186 QAI262148:QAI262186 QKE262148:QKE262186 QUA262148:QUA262186 RDW262148:RDW262186 RNS262148:RNS262186 RXO262148:RXO262186 SHK262148:SHK262186 SRG262148:SRG262186 TBC262148:TBC262186 TKY262148:TKY262186 TUU262148:TUU262186 UEQ262148:UEQ262186 UOM262148:UOM262186 UYI262148:UYI262186 VIE262148:VIE262186 VSA262148:VSA262186 WBW262148:WBW262186 WLS262148:WLS262186 WVO262148:WVO262186 G327684:G327722 JC327684:JC327722 SY327684:SY327722 ACU327684:ACU327722 AMQ327684:AMQ327722 AWM327684:AWM327722 BGI327684:BGI327722 BQE327684:BQE327722 CAA327684:CAA327722 CJW327684:CJW327722 CTS327684:CTS327722 DDO327684:DDO327722 DNK327684:DNK327722 DXG327684:DXG327722 EHC327684:EHC327722 EQY327684:EQY327722 FAU327684:FAU327722 FKQ327684:FKQ327722 FUM327684:FUM327722 GEI327684:GEI327722 GOE327684:GOE327722 GYA327684:GYA327722 HHW327684:HHW327722 HRS327684:HRS327722 IBO327684:IBO327722 ILK327684:ILK327722 IVG327684:IVG327722 JFC327684:JFC327722 JOY327684:JOY327722 JYU327684:JYU327722 KIQ327684:KIQ327722 KSM327684:KSM327722 LCI327684:LCI327722 LME327684:LME327722 LWA327684:LWA327722 MFW327684:MFW327722 MPS327684:MPS327722 MZO327684:MZO327722 NJK327684:NJK327722 NTG327684:NTG327722 ODC327684:ODC327722 OMY327684:OMY327722 OWU327684:OWU327722 PGQ327684:PGQ327722 PQM327684:PQM327722 QAI327684:QAI327722 QKE327684:QKE327722 QUA327684:QUA327722 RDW327684:RDW327722 RNS327684:RNS327722 RXO327684:RXO327722 SHK327684:SHK327722 SRG327684:SRG327722 TBC327684:TBC327722 TKY327684:TKY327722 TUU327684:TUU327722 UEQ327684:UEQ327722 UOM327684:UOM327722 UYI327684:UYI327722 VIE327684:VIE327722 VSA327684:VSA327722 WBW327684:WBW327722 WLS327684:WLS327722 WVO327684:WVO327722 G393220:G393258 JC393220:JC393258 SY393220:SY393258 ACU393220:ACU393258 AMQ393220:AMQ393258 AWM393220:AWM393258 BGI393220:BGI393258 BQE393220:BQE393258 CAA393220:CAA393258 CJW393220:CJW393258 CTS393220:CTS393258 DDO393220:DDO393258 DNK393220:DNK393258 DXG393220:DXG393258 EHC393220:EHC393258 EQY393220:EQY393258 FAU393220:FAU393258 FKQ393220:FKQ393258 FUM393220:FUM393258 GEI393220:GEI393258 GOE393220:GOE393258 GYA393220:GYA393258 HHW393220:HHW393258 HRS393220:HRS393258 IBO393220:IBO393258 ILK393220:ILK393258 IVG393220:IVG393258 JFC393220:JFC393258 JOY393220:JOY393258 JYU393220:JYU393258 KIQ393220:KIQ393258 KSM393220:KSM393258 LCI393220:LCI393258 LME393220:LME393258 LWA393220:LWA393258 MFW393220:MFW393258 MPS393220:MPS393258 MZO393220:MZO393258 NJK393220:NJK393258 NTG393220:NTG393258 ODC393220:ODC393258 OMY393220:OMY393258 OWU393220:OWU393258 PGQ393220:PGQ393258 PQM393220:PQM393258 QAI393220:QAI393258 QKE393220:QKE393258 QUA393220:QUA393258 RDW393220:RDW393258 RNS393220:RNS393258 RXO393220:RXO393258 SHK393220:SHK393258 SRG393220:SRG393258 TBC393220:TBC393258 TKY393220:TKY393258 TUU393220:TUU393258 UEQ393220:UEQ393258 UOM393220:UOM393258 UYI393220:UYI393258 VIE393220:VIE393258 VSA393220:VSA393258 WBW393220:WBW393258 WLS393220:WLS393258 WVO393220:WVO393258 G458756:G458794 JC458756:JC458794 SY458756:SY458794 ACU458756:ACU458794 AMQ458756:AMQ458794 AWM458756:AWM458794 BGI458756:BGI458794 BQE458756:BQE458794 CAA458756:CAA458794 CJW458756:CJW458794 CTS458756:CTS458794 DDO458756:DDO458794 DNK458756:DNK458794 DXG458756:DXG458794 EHC458756:EHC458794 EQY458756:EQY458794 FAU458756:FAU458794 FKQ458756:FKQ458794 FUM458756:FUM458794 GEI458756:GEI458794 GOE458756:GOE458794 GYA458756:GYA458794 HHW458756:HHW458794 HRS458756:HRS458794 IBO458756:IBO458794 ILK458756:ILK458794 IVG458756:IVG458794 JFC458756:JFC458794 JOY458756:JOY458794 JYU458756:JYU458794 KIQ458756:KIQ458794 KSM458756:KSM458794 LCI458756:LCI458794 LME458756:LME458794 LWA458756:LWA458794 MFW458756:MFW458794 MPS458756:MPS458794 MZO458756:MZO458794 NJK458756:NJK458794 NTG458756:NTG458794 ODC458756:ODC458794 OMY458756:OMY458794 OWU458756:OWU458794 PGQ458756:PGQ458794 PQM458756:PQM458794 QAI458756:QAI458794 QKE458756:QKE458794 QUA458756:QUA458794 RDW458756:RDW458794 RNS458756:RNS458794 RXO458756:RXO458794 SHK458756:SHK458794 SRG458756:SRG458794 TBC458756:TBC458794 TKY458756:TKY458794 TUU458756:TUU458794 UEQ458756:UEQ458794 UOM458756:UOM458794 UYI458756:UYI458794 VIE458756:VIE458794 VSA458756:VSA458794 WBW458756:WBW458794 WLS458756:WLS458794 WVO458756:WVO458794 G524292:G524330 JC524292:JC524330 SY524292:SY524330 ACU524292:ACU524330 AMQ524292:AMQ524330 AWM524292:AWM524330 BGI524292:BGI524330 BQE524292:BQE524330 CAA524292:CAA524330 CJW524292:CJW524330 CTS524292:CTS524330 DDO524292:DDO524330 DNK524292:DNK524330 DXG524292:DXG524330 EHC524292:EHC524330 EQY524292:EQY524330 FAU524292:FAU524330 FKQ524292:FKQ524330 FUM524292:FUM524330 GEI524292:GEI524330 GOE524292:GOE524330 GYA524292:GYA524330 HHW524292:HHW524330 HRS524292:HRS524330 IBO524292:IBO524330 ILK524292:ILK524330 IVG524292:IVG524330 JFC524292:JFC524330 JOY524292:JOY524330 JYU524292:JYU524330 KIQ524292:KIQ524330 KSM524292:KSM524330 LCI524292:LCI524330 LME524292:LME524330 LWA524292:LWA524330 MFW524292:MFW524330 MPS524292:MPS524330 MZO524292:MZO524330 NJK524292:NJK524330 NTG524292:NTG524330 ODC524292:ODC524330 OMY524292:OMY524330 OWU524292:OWU524330 PGQ524292:PGQ524330 PQM524292:PQM524330 QAI524292:QAI524330 QKE524292:QKE524330 QUA524292:QUA524330 RDW524292:RDW524330 RNS524292:RNS524330 RXO524292:RXO524330 SHK524292:SHK524330 SRG524292:SRG524330 TBC524292:TBC524330 TKY524292:TKY524330 TUU524292:TUU524330 UEQ524292:UEQ524330 UOM524292:UOM524330 UYI524292:UYI524330 VIE524292:VIE524330 VSA524292:VSA524330 WBW524292:WBW524330 WLS524292:WLS524330 WVO524292:WVO524330 G589828:G589866 JC589828:JC589866 SY589828:SY589866 ACU589828:ACU589866 AMQ589828:AMQ589866 AWM589828:AWM589866 BGI589828:BGI589866 BQE589828:BQE589866 CAA589828:CAA589866 CJW589828:CJW589866 CTS589828:CTS589866 DDO589828:DDO589866 DNK589828:DNK589866 DXG589828:DXG589866 EHC589828:EHC589866 EQY589828:EQY589866 FAU589828:FAU589866 FKQ589828:FKQ589866 FUM589828:FUM589866 GEI589828:GEI589866 GOE589828:GOE589866 GYA589828:GYA589866 HHW589828:HHW589866 HRS589828:HRS589866 IBO589828:IBO589866 ILK589828:ILK589866 IVG589828:IVG589866 JFC589828:JFC589866 JOY589828:JOY589866 JYU589828:JYU589866 KIQ589828:KIQ589866 KSM589828:KSM589866 LCI589828:LCI589866 LME589828:LME589866 LWA589828:LWA589866 MFW589828:MFW589866 MPS589828:MPS589866 MZO589828:MZO589866 NJK589828:NJK589866 NTG589828:NTG589866 ODC589828:ODC589866 OMY589828:OMY589866 OWU589828:OWU589866 PGQ589828:PGQ589866 PQM589828:PQM589866 QAI589828:QAI589866 QKE589828:QKE589866 QUA589828:QUA589866 RDW589828:RDW589866 RNS589828:RNS589866 RXO589828:RXO589866 SHK589828:SHK589866 SRG589828:SRG589866 TBC589828:TBC589866 TKY589828:TKY589866 TUU589828:TUU589866 UEQ589828:UEQ589866 UOM589828:UOM589866 UYI589828:UYI589866 VIE589828:VIE589866 VSA589828:VSA589866 WBW589828:WBW589866 WLS589828:WLS589866 WVO589828:WVO589866 G655364:G655402 JC655364:JC655402 SY655364:SY655402 ACU655364:ACU655402 AMQ655364:AMQ655402 AWM655364:AWM655402 BGI655364:BGI655402 BQE655364:BQE655402 CAA655364:CAA655402 CJW655364:CJW655402 CTS655364:CTS655402 DDO655364:DDO655402 DNK655364:DNK655402 DXG655364:DXG655402 EHC655364:EHC655402 EQY655364:EQY655402 FAU655364:FAU655402 FKQ655364:FKQ655402 FUM655364:FUM655402 GEI655364:GEI655402 GOE655364:GOE655402 GYA655364:GYA655402 HHW655364:HHW655402 HRS655364:HRS655402 IBO655364:IBO655402 ILK655364:ILK655402 IVG655364:IVG655402 JFC655364:JFC655402 JOY655364:JOY655402 JYU655364:JYU655402 KIQ655364:KIQ655402 KSM655364:KSM655402 LCI655364:LCI655402 LME655364:LME655402 LWA655364:LWA655402 MFW655364:MFW655402 MPS655364:MPS655402 MZO655364:MZO655402 NJK655364:NJK655402 NTG655364:NTG655402 ODC655364:ODC655402 OMY655364:OMY655402 OWU655364:OWU655402 PGQ655364:PGQ655402 PQM655364:PQM655402 QAI655364:QAI655402 QKE655364:QKE655402 QUA655364:QUA655402 RDW655364:RDW655402 RNS655364:RNS655402 RXO655364:RXO655402 SHK655364:SHK655402 SRG655364:SRG655402 TBC655364:TBC655402 TKY655364:TKY655402 TUU655364:TUU655402 UEQ655364:UEQ655402 UOM655364:UOM655402 UYI655364:UYI655402 VIE655364:VIE655402 VSA655364:VSA655402 WBW655364:WBW655402 WLS655364:WLS655402 WVO655364:WVO655402 G720900:G720938 JC720900:JC720938 SY720900:SY720938 ACU720900:ACU720938 AMQ720900:AMQ720938 AWM720900:AWM720938 BGI720900:BGI720938 BQE720900:BQE720938 CAA720900:CAA720938 CJW720900:CJW720938 CTS720900:CTS720938 DDO720900:DDO720938 DNK720900:DNK720938 DXG720900:DXG720938 EHC720900:EHC720938 EQY720900:EQY720938 FAU720900:FAU720938 FKQ720900:FKQ720938 FUM720900:FUM720938 GEI720900:GEI720938 GOE720900:GOE720938 GYA720900:GYA720938 HHW720900:HHW720938 HRS720900:HRS720938 IBO720900:IBO720938 ILK720900:ILK720938 IVG720900:IVG720938 JFC720900:JFC720938 JOY720900:JOY720938 JYU720900:JYU720938 KIQ720900:KIQ720938 KSM720900:KSM720938 LCI720900:LCI720938 LME720900:LME720938 LWA720900:LWA720938 MFW720900:MFW720938 MPS720900:MPS720938 MZO720900:MZO720938 NJK720900:NJK720938 NTG720900:NTG720938 ODC720900:ODC720938 OMY720900:OMY720938 OWU720900:OWU720938 PGQ720900:PGQ720938 PQM720900:PQM720938 QAI720900:QAI720938 QKE720900:QKE720938 QUA720900:QUA720938 RDW720900:RDW720938 RNS720900:RNS720938 RXO720900:RXO720938 SHK720900:SHK720938 SRG720900:SRG720938 TBC720900:TBC720938 TKY720900:TKY720938 TUU720900:TUU720938 UEQ720900:UEQ720938 UOM720900:UOM720938 UYI720900:UYI720938 VIE720900:VIE720938 VSA720900:VSA720938 WBW720900:WBW720938 WLS720900:WLS720938 WVO720900:WVO720938 G786436:G786474 JC786436:JC786474 SY786436:SY786474 ACU786436:ACU786474 AMQ786436:AMQ786474 AWM786436:AWM786474 BGI786436:BGI786474 BQE786436:BQE786474 CAA786436:CAA786474 CJW786436:CJW786474 CTS786436:CTS786474 DDO786436:DDO786474 DNK786436:DNK786474 DXG786436:DXG786474 EHC786436:EHC786474 EQY786436:EQY786474 FAU786436:FAU786474 FKQ786436:FKQ786474 FUM786436:FUM786474 GEI786436:GEI786474 GOE786436:GOE786474 GYA786436:GYA786474 HHW786436:HHW786474 HRS786436:HRS786474 IBO786436:IBO786474 ILK786436:ILK786474 IVG786436:IVG786474 JFC786436:JFC786474 JOY786436:JOY786474 JYU786436:JYU786474 KIQ786436:KIQ786474 KSM786436:KSM786474 LCI786436:LCI786474 LME786436:LME786474 LWA786436:LWA786474 MFW786436:MFW786474 MPS786436:MPS786474 MZO786436:MZO786474 NJK786436:NJK786474 NTG786436:NTG786474 ODC786436:ODC786474 OMY786436:OMY786474 OWU786436:OWU786474 PGQ786436:PGQ786474 PQM786436:PQM786474 QAI786436:QAI786474 QKE786436:QKE786474 QUA786436:QUA786474 RDW786436:RDW786474 RNS786436:RNS786474 RXO786436:RXO786474 SHK786436:SHK786474 SRG786436:SRG786474 TBC786436:TBC786474 TKY786436:TKY786474 TUU786436:TUU786474 UEQ786436:UEQ786474 UOM786436:UOM786474 UYI786436:UYI786474 VIE786436:VIE786474 VSA786436:VSA786474 WBW786436:WBW786474 WLS786436:WLS786474 WVO786436:WVO786474 G851972:G852010 JC851972:JC852010 SY851972:SY852010 ACU851972:ACU852010 AMQ851972:AMQ852010 AWM851972:AWM852010 BGI851972:BGI852010 BQE851972:BQE852010 CAA851972:CAA852010 CJW851972:CJW852010 CTS851972:CTS852010 DDO851972:DDO852010 DNK851972:DNK852010 DXG851972:DXG852010 EHC851972:EHC852010 EQY851972:EQY852010 FAU851972:FAU852010 FKQ851972:FKQ852010 FUM851972:FUM852010 GEI851972:GEI852010 GOE851972:GOE852010 GYA851972:GYA852010 HHW851972:HHW852010 HRS851972:HRS852010 IBO851972:IBO852010 ILK851972:ILK852010 IVG851972:IVG852010 JFC851972:JFC852010 JOY851972:JOY852010 JYU851972:JYU852010 KIQ851972:KIQ852010 KSM851972:KSM852010 LCI851972:LCI852010 LME851972:LME852010 LWA851972:LWA852010 MFW851972:MFW852010 MPS851972:MPS852010 MZO851972:MZO852010 NJK851972:NJK852010 NTG851972:NTG852010 ODC851972:ODC852010 OMY851972:OMY852010 OWU851972:OWU852010 PGQ851972:PGQ852010 PQM851972:PQM852010 QAI851972:QAI852010 QKE851972:QKE852010 QUA851972:QUA852010 RDW851972:RDW852010 RNS851972:RNS852010 RXO851972:RXO852010 SHK851972:SHK852010 SRG851972:SRG852010 TBC851972:TBC852010 TKY851972:TKY852010 TUU851972:TUU852010 UEQ851972:UEQ852010 UOM851972:UOM852010 UYI851972:UYI852010 VIE851972:VIE852010 VSA851972:VSA852010 WBW851972:WBW852010 WLS851972:WLS852010 WVO851972:WVO852010 G917508:G917546 JC917508:JC917546 SY917508:SY917546 ACU917508:ACU917546 AMQ917508:AMQ917546 AWM917508:AWM917546 BGI917508:BGI917546 BQE917508:BQE917546 CAA917508:CAA917546 CJW917508:CJW917546 CTS917508:CTS917546 DDO917508:DDO917546 DNK917508:DNK917546 DXG917508:DXG917546 EHC917508:EHC917546 EQY917508:EQY917546 FAU917508:FAU917546 FKQ917508:FKQ917546 FUM917508:FUM917546 GEI917508:GEI917546 GOE917508:GOE917546 GYA917508:GYA917546 HHW917508:HHW917546 HRS917508:HRS917546 IBO917508:IBO917546 ILK917508:ILK917546 IVG917508:IVG917546 JFC917508:JFC917546 JOY917508:JOY917546 JYU917508:JYU917546 KIQ917508:KIQ917546 KSM917508:KSM917546 LCI917508:LCI917546 LME917508:LME917546 LWA917508:LWA917546 MFW917508:MFW917546 MPS917508:MPS917546 MZO917508:MZO917546 NJK917508:NJK917546 NTG917508:NTG917546 ODC917508:ODC917546 OMY917508:OMY917546 OWU917508:OWU917546 PGQ917508:PGQ917546 PQM917508:PQM917546 QAI917508:QAI917546 QKE917508:QKE917546 QUA917508:QUA917546 RDW917508:RDW917546 RNS917508:RNS917546 RXO917508:RXO917546 SHK917508:SHK917546 SRG917508:SRG917546 TBC917508:TBC917546 TKY917508:TKY917546 TUU917508:TUU917546 UEQ917508:UEQ917546 UOM917508:UOM917546 UYI917508:UYI917546 VIE917508:VIE917546 VSA917508:VSA917546 WBW917508:WBW917546 WLS917508:WLS917546 WVO917508:WVO917546 G983044:G983082 JC983044:JC983082 SY983044:SY983082 ACU983044:ACU983082 AMQ983044:AMQ983082 AWM983044:AWM983082 BGI983044:BGI983082 BQE983044:BQE983082 CAA983044:CAA983082 CJW983044:CJW983082 CTS983044:CTS983082 DDO983044:DDO983082 DNK983044:DNK983082 DXG983044:DXG983082 EHC983044:EHC983082 EQY983044:EQY983082 FAU983044:FAU983082 FKQ983044:FKQ983082 FUM983044:FUM983082 GEI983044:GEI983082 GOE983044:GOE983082 GYA983044:GYA983082 HHW983044:HHW983082 HRS983044:HRS983082 IBO983044:IBO983082 ILK983044:ILK983082 IVG983044:IVG983082 JFC983044:JFC983082 JOY983044:JOY983082 JYU983044:JYU983082 KIQ983044:KIQ983082 KSM983044:KSM983082 LCI983044:LCI983082 LME983044:LME983082 LWA983044:LWA983082 MFW983044:MFW983082 MPS983044:MPS983082 MZO983044:MZO983082 NJK983044:NJK983082 NTG983044:NTG983082 ODC983044:ODC983082 OMY983044:OMY983082 OWU983044:OWU983082 PGQ983044:PGQ983082 PQM983044:PQM983082 QAI983044:QAI983082 QKE983044:QKE983082 QUA983044:QUA983082 RDW983044:RDW983082 RNS983044:RNS983082 RXO983044:RXO983082 SHK983044:SHK983082 SRG983044:SRG983082 TBC983044:TBC983082 TKY983044:TKY983082 TUU983044:TUU983082 UEQ983044:UEQ983082 UOM983044:UOM983082 UYI983044:UYI983082 VIE983044:VIE983082 VSA983044:VSA983082 WBW983044:WBW983082 WLS983044:WLS983082 G9:G42">
      <formula1>$G$56:$G$147</formula1>
    </dataValidation>
    <dataValidation type="list" errorStyle="warning" allowBlank="1" showInputMessage="1" showErrorMessage="1" errorTitle="FERC ACCOUNT" error="This FERC Account is not included in the drop-down list. Is this the account you want to use?" sqref="WVL983044:WVL983082 IZ9:IZ42 SV9:SV42 ACR9:ACR42 AMN9:AMN42 AWJ9:AWJ42 BGF9:BGF42 BQB9:BQB42 BZX9:BZX42 CJT9:CJT42 CTP9:CTP42 DDL9:DDL42 DNH9:DNH42 DXD9:DXD42 EGZ9:EGZ42 EQV9:EQV42 FAR9:FAR42 FKN9:FKN42 FUJ9:FUJ42 GEF9:GEF42 GOB9:GOB42 GXX9:GXX42 HHT9:HHT42 HRP9:HRP42 IBL9:IBL42 ILH9:ILH42 IVD9:IVD42 JEZ9:JEZ42 JOV9:JOV42 JYR9:JYR42 KIN9:KIN42 KSJ9:KSJ42 LCF9:LCF42 LMB9:LMB42 LVX9:LVX42 MFT9:MFT42 MPP9:MPP42 MZL9:MZL42 NJH9:NJH42 NTD9:NTD42 OCZ9:OCZ42 OMV9:OMV42 OWR9:OWR42 PGN9:PGN42 PQJ9:PQJ42 QAF9:QAF42 QKB9:QKB42 QTX9:QTX42 RDT9:RDT42 RNP9:RNP42 RXL9:RXL42 SHH9:SHH42 SRD9:SRD42 TAZ9:TAZ42 TKV9:TKV42 TUR9:TUR42 UEN9:UEN42 UOJ9:UOJ42 UYF9:UYF42 VIB9:VIB42 VRX9:VRX42 WBT9:WBT42 WLP9:WLP42 WVL9:WVL42 D65540:D65578 IZ65540:IZ65578 SV65540:SV65578 ACR65540:ACR65578 AMN65540:AMN65578 AWJ65540:AWJ65578 BGF65540:BGF65578 BQB65540:BQB65578 BZX65540:BZX65578 CJT65540:CJT65578 CTP65540:CTP65578 DDL65540:DDL65578 DNH65540:DNH65578 DXD65540:DXD65578 EGZ65540:EGZ65578 EQV65540:EQV65578 FAR65540:FAR65578 FKN65540:FKN65578 FUJ65540:FUJ65578 GEF65540:GEF65578 GOB65540:GOB65578 GXX65540:GXX65578 HHT65540:HHT65578 HRP65540:HRP65578 IBL65540:IBL65578 ILH65540:ILH65578 IVD65540:IVD65578 JEZ65540:JEZ65578 JOV65540:JOV65578 JYR65540:JYR65578 KIN65540:KIN65578 KSJ65540:KSJ65578 LCF65540:LCF65578 LMB65540:LMB65578 LVX65540:LVX65578 MFT65540:MFT65578 MPP65540:MPP65578 MZL65540:MZL65578 NJH65540:NJH65578 NTD65540:NTD65578 OCZ65540:OCZ65578 OMV65540:OMV65578 OWR65540:OWR65578 PGN65540:PGN65578 PQJ65540:PQJ65578 QAF65540:QAF65578 QKB65540:QKB65578 QTX65540:QTX65578 RDT65540:RDT65578 RNP65540:RNP65578 RXL65540:RXL65578 SHH65540:SHH65578 SRD65540:SRD65578 TAZ65540:TAZ65578 TKV65540:TKV65578 TUR65540:TUR65578 UEN65540:UEN65578 UOJ65540:UOJ65578 UYF65540:UYF65578 VIB65540:VIB65578 VRX65540:VRX65578 WBT65540:WBT65578 WLP65540:WLP65578 WVL65540:WVL65578 D131076:D131114 IZ131076:IZ131114 SV131076:SV131114 ACR131076:ACR131114 AMN131076:AMN131114 AWJ131076:AWJ131114 BGF131076:BGF131114 BQB131076:BQB131114 BZX131076:BZX131114 CJT131076:CJT131114 CTP131076:CTP131114 DDL131076:DDL131114 DNH131076:DNH131114 DXD131076:DXD131114 EGZ131076:EGZ131114 EQV131076:EQV131114 FAR131076:FAR131114 FKN131076:FKN131114 FUJ131076:FUJ131114 GEF131076:GEF131114 GOB131076:GOB131114 GXX131076:GXX131114 HHT131076:HHT131114 HRP131076:HRP131114 IBL131076:IBL131114 ILH131076:ILH131114 IVD131076:IVD131114 JEZ131076:JEZ131114 JOV131076:JOV131114 JYR131076:JYR131114 KIN131076:KIN131114 KSJ131076:KSJ131114 LCF131076:LCF131114 LMB131076:LMB131114 LVX131076:LVX131114 MFT131076:MFT131114 MPP131076:MPP131114 MZL131076:MZL131114 NJH131076:NJH131114 NTD131076:NTD131114 OCZ131076:OCZ131114 OMV131076:OMV131114 OWR131076:OWR131114 PGN131076:PGN131114 PQJ131076:PQJ131114 QAF131076:QAF131114 QKB131076:QKB131114 QTX131076:QTX131114 RDT131076:RDT131114 RNP131076:RNP131114 RXL131076:RXL131114 SHH131076:SHH131114 SRD131076:SRD131114 TAZ131076:TAZ131114 TKV131076:TKV131114 TUR131076:TUR131114 UEN131076:UEN131114 UOJ131076:UOJ131114 UYF131076:UYF131114 VIB131076:VIB131114 VRX131076:VRX131114 WBT131076:WBT131114 WLP131076:WLP131114 WVL131076:WVL131114 D196612:D196650 IZ196612:IZ196650 SV196612:SV196650 ACR196612:ACR196650 AMN196612:AMN196650 AWJ196612:AWJ196650 BGF196612:BGF196650 BQB196612:BQB196650 BZX196612:BZX196650 CJT196612:CJT196650 CTP196612:CTP196650 DDL196612:DDL196650 DNH196612:DNH196650 DXD196612:DXD196650 EGZ196612:EGZ196650 EQV196612:EQV196650 FAR196612:FAR196650 FKN196612:FKN196650 FUJ196612:FUJ196650 GEF196612:GEF196650 GOB196612:GOB196650 GXX196612:GXX196650 HHT196612:HHT196650 HRP196612:HRP196650 IBL196612:IBL196650 ILH196612:ILH196650 IVD196612:IVD196650 JEZ196612:JEZ196650 JOV196612:JOV196650 JYR196612:JYR196650 KIN196612:KIN196650 KSJ196612:KSJ196650 LCF196612:LCF196650 LMB196612:LMB196650 LVX196612:LVX196650 MFT196612:MFT196650 MPP196612:MPP196650 MZL196612:MZL196650 NJH196612:NJH196650 NTD196612:NTD196650 OCZ196612:OCZ196650 OMV196612:OMV196650 OWR196612:OWR196650 PGN196612:PGN196650 PQJ196612:PQJ196650 QAF196612:QAF196650 QKB196612:QKB196650 QTX196612:QTX196650 RDT196612:RDT196650 RNP196612:RNP196650 RXL196612:RXL196650 SHH196612:SHH196650 SRD196612:SRD196650 TAZ196612:TAZ196650 TKV196612:TKV196650 TUR196612:TUR196650 UEN196612:UEN196650 UOJ196612:UOJ196650 UYF196612:UYF196650 VIB196612:VIB196650 VRX196612:VRX196650 WBT196612:WBT196650 WLP196612:WLP196650 WVL196612:WVL196650 D262148:D262186 IZ262148:IZ262186 SV262148:SV262186 ACR262148:ACR262186 AMN262148:AMN262186 AWJ262148:AWJ262186 BGF262148:BGF262186 BQB262148:BQB262186 BZX262148:BZX262186 CJT262148:CJT262186 CTP262148:CTP262186 DDL262148:DDL262186 DNH262148:DNH262186 DXD262148:DXD262186 EGZ262148:EGZ262186 EQV262148:EQV262186 FAR262148:FAR262186 FKN262148:FKN262186 FUJ262148:FUJ262186 GEF262148:GEF262186 GOB262148:GOB262186 GXX262148:GXX262186 HHT262148:HHT262186 HRP262148:HRP262186 IBL262148:IBL262186 ILH262148:ILH262186 IVD262148:IVD262186 JEZ262148:JEZ262186 JOV262148:JOV262186 JYR262148:JYR262186 KIN262148:KIN262186 KSJ262148:KSJ262186 LCF262148:LCF262186 LMB262148:LMB262186 LVX262148:LVX262186 MFT262148:MFT262186 MPP262148:MPP262186 MZL262148:MZL262186 NJH262148:NJH262186 NTD262148:NTD262186 OCZ262148:OCZ262186 OMV262148:OMV262186 OWR262148:OWR262186 PGN262148:PGN262186 PQJ262148:PQJ262186 QAF262148:QAF262186 QKB262148:QKB262186 QTX262148:QTX262186 RDT262148:RDT262186 RNP262148:RNP262186 RXL262148:RXL262186 SHH262148:SHH262186 SRD262148:SRD262186 TAZ262148:TAZ262186 TKV262148:TKV262186 TUR262148:TUR262186 UEN262148:UEN262186 UOJ262148:UOJ262186 UYF262148:UYF262186 VIB262148:VIB262186 VRX262148:VRX262186 WBT262148:WBT262186 WLP262148:WLP262186 WVL262148:WVL262186 D327684:D327722 IZ327684:IZ327722 SV327684:SV327722 ACR327684:ACR327722 AMN327684:AMN327722 AWJ327684:AWJ327722 BGF327684:BGF327722 BQB327684:BQB327722 BZX327684:BZX327722 CJT327684:CJT327722 CTP327684:CTP327722 DDL327684:DDL327722 DNH327684:DNH327722 DXD327684:DXD327722 EGZ327684:EGZ327722 EQV327684:EQV327722 FAR327684:FAR327722 FKN327684:FKN327722 FUJ327684:FUJ327722 GEF327684:GEF327722 GOB327684:GOB327722 GXX327684:GXX327722 HHT327684:HHT327722 HRP327684:HRP327722 IBL327684:IBL327722 ILH327684:ILH327722 IVD327684:IVD327722 JEZ327684:JEZ327722 JOV327684:JOV327722 JYR327684:JYR327722 KIN327684:KIN327722 KSJ327684:KSJ327722 LCF327684:LCF327722 LMB327684:LMB327722 LVX327684:LVX327722 MFT327684:MFT327722 MPP327684:MPP327722 MZL327684:MZL327722 NJH327684:NJH327722 NTD327684:NTD327722 OCZ327684:OCZ327722 OMV327684:OMV327722 OWR327684:OWR327722 PGN327684:PGN327722 PQJ327684:PQJ327722 QAF327684:QAF327722 QKB327684:QKB327722 QTX327684:QTX327722 RDT327684:RDT327722 RNP327684:RNP327722 RXL327684:RXL327722 SHH327684:SHH327722 SRD327684:SRD327722 TAZ327684:TAZ327722 TKV327684:TKV327722 TUR327684:TUR327722 UEN327684:UEN327722 UOJ327684:UOJ327722 UYF327684:UYF327722 VIB327684:VIB327722 VRX327684:VRX327722 WBT327684:WBT327722 WLP327684:WLP327722 WVL327684:WVL327722 D393220:D393258 IZ393220:IZ393258 SV393220:SV393258 ACR393220:ACR393258 AMN393220:AMN393258 AWJ393220:AWJ393258 BGF393220:BGF393258 BQB393220:BQB393258 BZX393220:BZX393258 CJT393220:CJT393258 CTP393220:CTP393258 DDL393220:DDL393258 DNH393220:DNH393258 DXD393220:DXD393258 EGZ393220:EGZ393258 EQV393220:EQV393258 FAR393220:FAR393258 FKN393220:FKN393258 FUJ393220:FUJ393258 GEF393220:GEF393258 GOB393220:GOB393258 GXX393220:GXX393258 HHT393220:HHT393258 HRP393220:HRP393258 IBL393220:IBL393258 ILH393220:ILH393258 IVD393220:IVD393258 JEZ393220:JEZ393258 JOV393220:JOV393258 JYR393220:JYR393258 KIN393220:KIN393258 KSJ393220:KSJ393258 LCF393220:LCF393258 LMB393220:LMB393258 LVX393220:LVX393258 MFT393220:MFT393258 MPP393220:MPP393258 MZL393220:MZL393258 NJH393220:NJH393258 NTD393220:NTD393258 OCZ393220:OCZ393258 OMV393220:OMV393258 OWR393220:OWR393258 PGN393220:PGN393258 PQJ393220:PQJ393258 QAF393220:QAF393258 QKB393220:QKB393258 QTX393220:QTX393258 RDT393220:RDT393258 RNP393220:RNP393258 RXL393220:RXL393258 SHH393220:SHH393258 SRD393220:SRD393258 TAZ393220:TAZ393258 TKV393220:TKV393258 TUR393220:TUR393258 UEN393220:UEN393258 UOJ393220:UOJ393258 UYF393220:UYF393258 VIB393220:VIB393258 VRX393220:VRX393258 WBT393220:WBT393258 WLP393220:WLP393258 WVL393220:WVL393258 D458756:D458794 IZ458756:IZ458794 SV458756:SV458794 ACR458756:ACR458794 AMN458756:AMN458794 AWJ458756:AWJ458794 BGF458756:BGF458794 BQB458756:BQB458794 BZX458756:BZX458794 CJT458756:CJT458794 CTP458756:CTP458794 DDL458756:DDL458794 DNH458756:DNH458794 DXD458756:DXD458794 EGZ458756:EGZ458794 EQV458756:EQV458794 FAR458756:FAR458794 FKN458756:FKN458794 FUJ458756:FUJ458794 GEF458756:GEF458794 GOB458756:GOB458794 GXX458756:GXX458794 HHT458756:HHT458794 HRP458756:HRP458794 IBL458756:IBL458794 ILH458756:ILH458794 IVD458756:IVD458794 JEZ458756:JEZ458794 JOV458756:JOV458794 JYR458756:JYR458794 KIN458756:KIN458794 KSJ458756:KSJ458794 LCF458756:LCF458794 LMB458756:LMB458794 LVX458756:LVX458794 MFT458756:MFT458794 MPP458756:MPP458794 MZL458756:MZL458794 NJH458756:NJH458794 NTD458756:NTD458794 OCZ458756:OCZ458794 OMV458756:OMV458794 OWR458756:OWR458794 PGN458756:PGN458794 PQJ458756:PQJ458794 QAF458756:QAF458794 QKB458756:QKB458794 QTX458756:QTX458794 RDT458756:RDT458794 RNP458756:RNP458794 RXL458756:RXL458794 SHH458756:SHH458794 SRD458756:SRD458794 TAZ458756:TAZ458794 TKV458756:TKV458794 TUR458756:TUR458794 UEN458756:UEN458794 UOJ458756:UOJ458794 UYF458756:UYF458794 VIB458756:VIB458794 VRX458756:VRX458794 WBT458756:WBT458794 WLP458756:WLP458794 WVL458756:WVL458794 D524292:D524330 IZ524292:IZ524330 SV524292:SV524330 ACR524292:ACR524330 AMN524292:AMN524330 AWJ524292:AWJ524330 BGF524292:BGF524330 BQB524292:BQB524330 BZX524292:BZX524330 CJT524292:CJT524330 CTP524292:CTP524330 DDL524292:DDL524330 DNH524292:DNH524330 DXD524292:DXD524330 EGZ524292:EGZ524330 EQV524292:EQV524330 FAR524292:FAR524330 FKN524292:FKN524330 FUJ524292:FUJ524330 GEF524292:GEF524330 GOB524292:GOB524330 GXX524292:GXX524330 HHT524292:HHT524330 HRP524292:HRP524330 IBL524292:IBL524330 ILH524292:ILH524330 IVD524292:IVD524330 JEZ524292:JEZ524330 JOV524292:JOV524330 JYR524292:JYR524330 KIN524292:KIN524330 KSJ524292:KSJ524330 LCF524292:LCF524330 LMB524292:LMB524330 LVX524292:LVX524330 MFT524292:MFT524330 MPP524292:MPP524330 MZL524292:MZL524330 NJH524292:NJH524330 NTD524292:NTD524330 OCZ524292:OCZ524330 OMV524292:OMV524330 OWR524292:OWR524330 PGN524292:PGN524330 PQJ524292:PQJ524330 QAF524292:QAF524330 QKB524292:QKB524330 QTX524292:QTX524330 RDT524292:RDT524330 RNP524292:RNP524330 RXL524292:RXL524330 SHH524292:SHH524330 SRD524292:SRD524330 TAZ524292:TAZ524330 TKV524292:TKV524330 TUR524292:TUR524330 UEN524292:UEN524330 UOJ524292:UOJ524330 UYF524292:UYF524330 VIB524292:VIB524330 VRX524292:VRX524330 WBT524292:WBT524330 WLP524292:WLP524330 WVL524292:WVL524330 D589828:D589866 IZ589828:IZ589866 SV589828:SV589866 ACR589828:ACR589866 AMN589828:AMN589866 AWJ589828:AWJ589866 BGF589828:BGF589866 BQB589828:BQB589866 BZX589828:BZX589866 CJT589828:CJT589866 CTP589828:CTP589866 DDL589828:DDL589866 DNH589828:DNH589866 DXD589828:DXD589866 EGZ589828:EGZ589866 EQV589828:EQV589866 FAR589828:FAR589866 FKN589828:FKN589866 FUJ589828:FUJ589866 GEF589828:GEF589866 GOB589828:GOB589866 GXX589828:GXX589866 HHT589828:HHT589866 HRP589828:HRP589866 IBL589828:IBL589866 ILH589828:ILH589866 IVD589828:IVD589866 JEZ589828:JEZ589866 JOV589828:JOV589866 JYR589828:JYR589866 KIN589828:KIN589866 KSJ589828:KSJ589866 LCF589828:LCF589866 LMB589828:LMB589866 LVX589828:LVX589866 MFT589828:MFT589866 MPP589828:MPP589866 MZL589828:MZL589866 NJH589828:NJH589866 NTD589828:NTD589866 OCZ589828:OCZ589866 OMV589828:OMV589866 OWR589828:OWR589866 PGN589828:PGN589866 PQJ589828:PQJ589866 QAF589828:QAF589866 QKB589828:QKB589866 QTX589828:QTX589866 RDT589828:RDT589866 RNP589828:RNP589866 RXL589828:RXL589866 SHH589828:SHH589866 SRD589828:SRD589866 TAZ589828:TAZ589866 TKV589828:TKV589866 TUR589828:TUR589866 UEN589828:UEN589866 UOJ589828:UOJ589866 UYF589828:UYF589866 VIB589828:VIB589866 VRX589828:VRX589866 WBT589828:WBT589866 WLP589828:WLP589866 WVL589828:WVL589866 D655364:D655402 IZ655364:IZ655402 SV655364:SV655402 ACR655364:ACR655402 AMN655364:AMN655402 AWJ655364:AWJ655402 BGF655364:BGF655402 BQB655364:BQB655402 BZX655364:BZX655402 CJT655364:CJT655402 CTP655364:CTP655402 DDL655364:DDL655402 DNH655364:DNH655402 DXD655364:DXD655402 EGZ655364:EGZ655402 EQV655364:EQV655402 FAR655364:FAR655402 FKN655364:FKN655402 FUJ655364:FUJ655402 GEF655364:GEF655402 GOB655364:GOB655402 GXX655364:GXX655402 HHT655364:HHT655402 HRP655364:HRP655402 IBL655364:IBL655402 ILH655364:ILH655402 IVD655364:IVD655402 JEZ655364:JEZ655402 JOV655364:JOV655402 JYR655364:JYR655402 KIN655364:KIN655402 KSJ655364:KSJ655402 LCF655364:LCF655402 LMB655364:LMB655402 LVX655364:LVX655402 MFT655364:MFT655402 MPP655364:MPP655402 MZL655364:MZL655402 NJH655364:NJH655402 NTD655364:NTD655402 OCZ655364:OCZ655402 OMV655364:OMV655402 OWR655364:OWR655402 PGN655364:PGN655402 PQJ655364:PQJ655402 QAF655364:QAF655402 QKB655364:QKB655402 QTX655364:QTX655402 RDT655364:RDT655402 RNP655364:RNP655402 RXL655364:RXL655402 SHH655364:SHH655402 SRD655364:SRD655402 TAZ655364:TAZ655402 TKV655364:TKV655402 TUR655364:TUR655402 UEN655364:UEN655402 UOJ655364:UOJ655402 UYF655364:UYF655402 VIB655364:VIB655402 VRX655364:VRX655402 WBT655364:WBT655402 WLP655364:WLP655402 WVL655364:WVL655402 D720900:D720938 IZ720900:IZ720938 SV720900:SV720938 ACR720900:ACR720938 AMN720900:AMN720938 AWJ720900:AWJ720938 BGF720900:BGF720938 BQB720900:BQB720938 BZX720900:BZX720938 CJT720900:CJT720938 CTP720900:CTP720938 DDL720900:DDL720938 DNH720900:DNH720938 DXD720900:DXD720938 EGZ720900:EGZ720938 EQV720900:EQV720938 FAR720900:FAR720938 FKN720900:FKN720938 FUJ720900:FUJ720938 GEF720900:GEF720938 GOB720900:GOB720938 GXX720900:GXX720938 HHT720900:HHT720938 HRP720900:HRP720938 IBL720900:IBL720938 ILH720900:ILH720938 IVD720900:IVD720938 JEZ720900:JEZ720938 JOV720900:JOV720938 JYR720900:JYR720938 KIN720900:KIN720938 KSJ720900:KSJ720938 LCF720900:LCF720938 LMB720900:LMB720938 LVX720900:LVX720938 MFT720900:MFT720938 MPP720900:MPP720938 MZL720900:MZL720938 NJH720900:NJH720938 NTD720900:NTD720938 OCZ720900:OCZ720938 OMV720900:OMV720938 OWR720900:OWR720938 PGN720900:PGN720938 PQJ720900:PQJ720938 QAF720900:QAF720938 QKB720900:QKB720938 QTX720900:QTX720938 RDT720900:RDT720938 RNP720900:RNP720938 RXL720900:RXL720938 SHH720900:SHH720938 SRD720900:SRD720938 TAZ720900:TAZ720938 TKV720900:TKV720938 TUR720900:TUR720938 UEN720900:UEN720938 UOJ720900:UOJ720938 UYF720900:UYF720938 VIB720900:VIB720938 VRX720900:VRX720938 WBT720900:WBT720938 WLP720900:WLP720938 WVL720900:WVL720938 D786436:D786474 IZ786436:IZ786474 SV786436:SV786474 ACR786436:ACR786474 AMN786436:AMN786474 AWJ786436:AWJ786474 BGF786436:BGF786474 BQB786436:BQB786474 BZX786436:BZX786474 CJT786436:CJT786474 CTP786436:CTP786474 DDL786436:DDL786474 DNH786436:DNH786474 DXD786436:DXD786474 EGZ786436:EGZ786474 EQV786436:EQV786474 FAR786436:FAR786474 FKN786436:FKN786474 FUJ786436:FUJ786474 GEF786436:GEF786474 GOB786436:GOB786474 GXX786436:GXX786474 HHT786436:HHT786474 HRP786436:HRP786474 IBL786436:IBL786474 ILH786436:ILH786474 IVD786436:IVD786474 JEZ786436:JEZ786474 JOV786436:JOV786474 JYR786436:JYR786474 KIN786436:KIN786474 KSJ786436:KSJ786474 LCF786436:LCF786474 LMB786436:LMB786474 LVX786436:LVX786474 MFT786436:MFT786474 MPP786436:MPP786474 MZL786436:MZL786474 NJH786436:NJH786474 NTD786436:NTD786474 OCZ786436:OCZ786474 OMV786436:OMV786474 OWR786436:OWR786474 PGN786436:PGN786474 PQJ786436:PQJ786474 QAF786436:QAF786474 QKB786436:QKB786474 QTX786436:QTX786474 RDT786436:RDT786474 RNP786436:RNP786474 RXL786436:RXL786474 SHH786436:SHH786474 SRD786436:SRD786474 TAZ786436:TAZ786474 TKV786436:TKV786474 TUR786436:TUR786474 UEN786436:UEN786474 UOJ786436:UOJ786474 UYF786436:UYF786474 VIB786436:VIB786474 VRX786436:VRX786474 WBT786436:WBT786474 WLP786436:WLP786474 WVL786436:WVL786474 D851972:D852010 IZ851972:IZ852010 SV851972:SV852010 ACR851972:ACR852010 AMN851972:AMN852010 AWJ851972:AWJ852010 BGF851972:BGF852010 BQB851972:BQB852010 BZX851972:BZX852010 CJT851972:CJT852010 CTP851972:CTP852010 DDL851972:DDL852010 DNH851972:DNH852010 DXD851972:DXD852010 EGZ851972:EGZ852010 EQV851972:EQV852010 FAR851972:FAR852010 FKN851972:FKN852010 FUJ851972:FUJ852010 GEF851972:GEF852010 GOB851972:GOB852010 GXX851972:GXX852010 HHT851972:HHT852010 HRP851972:HRP852010 IBL851972:IBL852010 ILH851972:ILH852010 IVD851972:IVD852010 JEZ851972:JEZ852010 JOV851972:JOV852010 JYR851972:JYR852010 KIN851972:KIN852010 KSJ851972:KSJ852010 LCF851972:LCF852010 LMB851972:LMB852010 LVX851972:LVX852010 MFT851972:MFT852010 MPP851972:MPP852010 MZL851972:MZL852010 NJH851972:NJH852010 NTD851972:NTD852010 OCZ851972:OCZ852010 OMV851972:OMV852010 OWR851972:OWR852010 PGN851972:PGN852010 PQJ851972:PQJ852010 QAF851972:QAF852010 QKB851972:QKB852010 QTX851972:QTX852010 RDT851972:RDT852010 RNP851972:RNP852010 RXL851972:RXL852010 SHH851972:SHH852010 SRD851972:SRD852010 TAZ851972:TAZ852010 TKV851972:TKV852010 TUR851972:TUR852010 UEN851972:UEN852010 UOJ851972:UOJ852010 UYF851972:UYF852010 VIB851972:VIB852010 VRX851972:VRX852010 WBT851972:WBT852010 WLP851972:WLP852010 WVL851972:WVL852010 D917508:D917546 IZ917508:IZ917546 SV917508:SV917546 ACR917508:ACR917546 AMN917508:AMN917546 AWJ917508:AWJ917546 BGF917508:BGF917546 BQB917508:BQB917546 BZX917508:BZX917546 CJT917508:CJT917546 CTP917508:CTP917546 DDL917508:DDL917546 DNH917508:DNH917546 DXD917508:DXD917546 EGZ917508:EGZ917546 EQV917508:EQV917546 FAR917508:FAR917546 FKN917508:FKN917546 FUJ917508:FUJ917546 GEF917508:GEF917546 GOB917508:GOB917546 GXX917508:GXX917546 HHT917508:HHT917546 HRP917508:HRP917546 IBL917508:IBL917546 ILH917508:ILH917546 IVD917508:IVD917546 JEZ917508:JEZ917546 JOV917508:JOV917546 JYR917508:JYR917546 KIN917508:KIN917546 KSJ917508:KSJ917546 LCF917508:LCF917546 LMB917508:LMB917546 LVX917508:LVX917546 MFT917508:MFT917546 MPP917508:MPP917546 MZL917508:MZL917546 NJH917508:NJH917546 NTD917508:NTD917546 OCZ917508:OCZ917546 OMV917508:OMV917546 OWR917508:OWR917546 PGN917508:PGN917546 PQJ917508:PQJ917546 QAF917508:QAF917546 QKB917508:QKB917546 QTX917508:QTX917546 RDT917508:RDT917546 RNP917508:RNP917546 RXL917508:RXL917546 SHH917508:SHH917546 SRD917508:SRD917546 TAZ917508:TAZ917546 TKV917508:TKV917546 TUR917508:TUR917546 UEN917508:UEN917546 UOJ917508:UOJ917546 UYF917508:UYF917546 VIB917508:VIB917546 VRX917508:VRX917546 WBT917508:WBT917546 WLP917508:WLP917546 WVL917508:WVL917546 D983044:D983082 IZ983044:IZ983082 SV983044:SV983082 ACR983044:ACR983082 AMN983044:AMN983082 AWJ983044:AWJ983082 BGF983044:BGF983082 BQB983044:BQB983082 BZX983044:BZX983082 CJT983044:CJT983082 CTP983044:CTP983082 DDL983044:DDL983082 DNH983044:DNH983082 DXD983044:DXD983082 EGZ983044:EGZ983082 EQV983044:EQV983082 FAR983044:FAR983082 FKN983044:FKN983082 FUJ983044:FUJ983082 GEF983044:GEF983082 GOB983044:GOB983082 GXX983044:GXX983082 HHT983044:HHT983082 HRP983044:HRP983082 IBL983044:IBL983082 ILH983044:ILH983082 IVD983044:IVD983082 JEZ983044:JEZ983082 JOV983044:JOV983082 JYR983044:JYR983082 KIN983044:KIN983082 KSJ983044:KSJ983082 LCF983044:LCF983082 LMB983044:LMB983082 LVX983044:LVX983082 MFT983044:MFT983082 MPP983044:MPP983082 MZL983044:MZL983082 NJH983044:NJH983082 NTD983044:NTD983082 OCZ983044:OCZ983082 OMV983044:OMV983082 OWR983044:OWR983082 PGN983044:PGN983082 PQJ983044:PQJ983082 QAF983044:QAF983082 QKB983044:QKB983082 QTX983044:QTX983082 RDT983044:RDT983082 RNP983044:RNP983082 RXL983044:RXL983082 SHH983044:SHH983082 SRD983044:SRD983082 TAZ983044:TAZ983082 TKV983044:TKV983082 TUR983044:TUR983082 UEN983044:UEN983082 UOJ983044:UOJ983082 UYF983044:UYF983082 VIB983044:VIB983082 VRX983044:VRX983082 WBT983044:WBT983082 WLP983044:WLP983082 D9:D42">
      <formula1>$D$56:$D$390</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65544:E65549 JA65544:JA65549 SW65544:SW65549 ACS65544:ACS65549 AMO65544:AMO65549 AWK65544:AWK65549 BGG65544:BGG65549 BQC65544:BQC65549 BZY65544:BZY65549 CJU65544:CJU65549 CTQ65544:CTQ65549 DDM65544:DDM65549 DNI65544:DNI65549 DXE65544:DXE65549 EHA65544:EHA65549 EQW65544:EQW65549 FAS65544:FAS65549 FKO65544:FKO65549 FUK65544:FUK65549 GEG65544:GEG65549 GOC65544:GOC65549 GXY65544:GXY65549 HHU65544:HHU65549 HRQ65544:HRQ65549 IBM65544:IBM65549 ILI65544:ILI65549 IVE65544:IVE65549 JFA65544:JFA65549 JOW65544:JOW65549 JYS65544:JYS65549 KIO65544:KIO65549 KSK65544:KSK65549 LCG65544:LCG65549 LMC65544:LMC65549 LVY65544:LVY65549 MFU65544:MFU65549 MPQ65544:MPQ65549 MZM65544:MZM65549 NJI65544:NJI65549 NTE65544:NTE65549 ODA65544:ODA65549 OMW65544:OMW65549 OWS65544:OWS65549 PGO65544:PGO65549 PQK65544:PQK65549 QAG65544:QAG65549 QKC65544:QKC65549 QTY65544:QTY65549 RDU65544:RDU65549 RNQ65544:RNQ65549 RXM65544:RXM65549 SHI65544:SHI65549 SRE65544:SRE65549 TBA65544:TBA65549 TKW65544:TKW65549 TUS65544:TUS65549 UEO65544:UEO65549 UOK65544:UOK65549 UYG65544:UYG65549 VIC65544:VIC65549 VRY65544:VRY65549 WBU65544:WBU65549 WLQ65544:WLQ65549 WVM65544:WVM65549 E131080:E131085 JA131080:JA131085 SW131080:SW131085 ACS131080:ACS131085 AMO131080:AMO131085 AWK131080:AWK131085 BGG131080:BGG131085 BQC131080:BQC131085 BZY131080:BZY131085 CJU131080:CJU131085 CTQ131080:CTQ131085 DDM131080:DDM131085 DNI131080:DNI131085 DXE131080:DXE131085 EHA131080:EHA131085 EQW131080:EQW131085 FAS131080:FAS131085 FKO131080:FKO131085 FUK131080:FUK131085 GEG131080:GEG131085 GOC131080:GOC131085 GXY131080:GXY131085 HHU131080:HHU131085 HRQ131080:HRQ131085 IBM131080:IBM131085 ILI131080:ILI131085 IVE131080:IVE131085 JFA131080:JFA131085 JOW131080:JOW131085 JYS131080:JYS131085 KIO131080:KIO131085 KSK131080:KSK131085 LCG131080:LCG131085 LMC131080:LMC131085 LVY131080:LVY131085 MFU131080:MFU131085 MPQ131080:MPQ131085 MZM131080:MZM131085 NJI131080:NJI131085 NTE131080:NTE131085 ODA131080:ODA131085 OMW131080:OMW131085 OWS131080:OWS131085 PGO131080:PGO131085 PQK131080:PQK131085 QAG131080:QAG131085 QKC131080:QKC131085 QTY131080:QTY131085 RDU131080:RDU131085 RNQ131080:RNQ131085 RXM131080:RXM131085 SHI131080:SHI131085 SRE131080:SRE131085 TBA131080:TBA131085 TKW131080:TKW131085 TUS131080:TUS131085 UEO131080:UEO131085 UOK131080:UOK131085 UYG131080:UYG131085 VIC131080:VIC131085 VRY131080:VRY131085 WBU131080:WBU131085 WLQ131080:WLQ131085 WVM131080:WVM131085 E196616:E196621 JA196616:JA196621 SW196616:SW196621 ACS196616:ACS196621 AMO196616:AMO196621 AWK196616:AWK196621 BGG196616:BGG196621 BQC196616:BQC196621 BZY196616:BZY196621 CJU196616:CJU196621 CTQ196616:CTQ196621 DDM196616:DDM196621 DNI196616:DNI196621 DXE196616:DXE196621 EHA196616:EHA196621 EQW196616:EQW196621 FAS196616:FAS196621 FKO196616:FKO196621 FUK196616:FUK196621 GEG196616:GEG196621 GOC196616:GOC196621 GXY196616:GXY196621 HHU196616:HHU196621 HRQ196616:HRQ196621 IBM196616:IBM196621 ILI196616:ILI196621 IVE196616:IVE196621 JFA196616:JFA196621 JOW196616:JOW196621 JYS196616:JYS196621 KIO196616:KIO196621 KSK196616:KSK196621 LCG196616:LCG196621 LMC196616:LMC196621 LVY196616:LVY196621 MFU196616:MFU196621 MPQ196616:MPQ196621 MZM196616:MZM196621 NJI196616:NJI196621 NTE196616:NTE196621 ODA196616:ODA196621 OMW196616:OMW196621 OWS196616:OWS196621 PGO196616:PGO196621 PQK196616:PQK196621 QAG196616:QAG196621 QKC196616:QKC196621 QTY196616:QTY196621 RDU196616:RDU196621 RNQ196616:RNQ196621 RXM196616:RXM196621 SHI196616:SHI196621 SRE196616:SRE196621 TBA196616:TBA196621 TKW196616:TKW196621 TUS196616:TUS196621 UEO196616:UEO196621 UOK196616:UOK196621 UYG196616:UYG196621 VIC196616:VIC196621 VRY196616:VRY196621 WBU196616:WBU196621 WLQ196616:WLQ196621 WVM196616:WVM196621 E262152:E262157 JA262152:JA262157 SW262152:SW262157 ACS262152:ACS262157 AMO262152:AMO262157 AWK262152:AWK262157 BGG262152:BGG262157 BQC262152:BQC262157 BZY262152:BZY262157 CJU262152:CJU262157 CTQ262152:CTQ262157 DDM262152:DDM262157 DNI262152:DNI262157 DXE262152:DXE262157 EHA262152:EHA262157 EQW262152:EQW262157 FAS262152:FAS262157 FKO262152:FKO262157 FUK262152:FUK262157 GEG262152:GEG262157 GOC262152:GOC262157 GXY262152:GXY262157 HHU262152:HHU262157 HRQ262152:HRQ262157 IBM262152:IBM262157 ILI262152:ILI262157 IVE262152:IVE262157 JFA262152:JFA262157 JOW262152:JOW262157 JYS262152:JYS262157 KIO262152:KIO262157 KSK262152:KSK262157 LCG262152:LCG262157 LMC262152:LMC262157 LVY262152:LVY262157 MFU262152:MFU262157 MPQ262152:MPQ262157 MZM262152:MZM262157 NJI262152:NJI262157 NTE262152:NTE262157 ODA262152:ODA262157 OMW262152:OMW262157 OWS262152:OWS262157 PGO262152:PGO262157 PQK262152:PQK262157 QAG262152:QAG262157 QKC262152:QKC262157 QTY262152:QTY262157 RDU262152:RDU262157 RNQ262152:RNQ262157 RXM262152:RXM262157 SHI262152:SHI262157 SRE262152:SRE262157 TBA262152:TBA262157 TKW262152:TKW262157 TUS262152:TUS262157 UEO262152:UEO262157 UOK262152:UOK262157 UYG262152:UYG262157 VIC262152:VIC262157 VRY262152:VRY262157 WBU262152:WBU262157 WLQ262152:WLQ262157 WVM262152:WVM262157 E327688:E327693 JA327688:JA327693 SW327688:SW327693 ACS327688:ACS327693 AMO327688:AMO327693 AWK327688:AWK327693 BGG327688:BGG327693 BQC327688:BQC327693 BZY327688:BZY327693 CJU327688:CJU327693 CTQ327688:CTQ327693 DDM327688:DDM327693 DNI327688:DNI327693 DXE327688:DXE327693 EHA327688:EHA327693 EQW327688:EQW327693 FAS327688:FAS327693 FKO327688:FKO327693 FUK327688:FUK327693 GEG327688:GEG327693 GOC327688:GOC327693 GXY327688:GXY327693 HHU327688:HHU327693 HRQ327688:HRQ327693 IBM327688:IBM327693 ILI327688:ILI327693 IVE327688:IVE327693 JFA327688:JFA327693 JOW327688:JOW327693 JYS327688:JYS327693 KIO327688:KIO327693 KSK327688:KSK327693 LCG327688:LCG327693 LMC327688:LMC327693 LVY327688:LVY327693 MFU327688:MFU327693 MPQ327688:MPQ327693 MZM327688:MZM327693 NJI327688:NJI327693 NTE327688:NTE327693 ODA327688:ODA327693 OMW327688:OMW327693 OWS327688:OWS327693 PGO327688:PGO327693 PQK327688:PQK327693 QAG327688:QAG327693 QKC327688:QKC327693 QTY327688:QTY327693 RDU327688:RDU327693 RNQ327688:RNQ327693 RXM327688:RXM327693 SHI327688:SHI327693 SRE327688:SRE327693 TBA327688:TBA327693 TKW327688:TKW327693 TUS327688:TUS327693 UEO327688:UEO327693 UOK327688:UOK327693 UYG327688:UYG327693 VIC327688:VIC327693 VRY327688:VRY327693 WBU327688:WBU327693 WLQ327688:WLQ327693 WVM327688:WVM327693 E393224:E393229 JA393224:JA393229 SW393224:SW393229 ACS393224:ACS393229 AMO393224:AMO393229 AWK393224:AWK393229 BGG393224:BGG393229 BQC393224:BQC393229 BZY393224:BZY393229 CJU393224:CJU393229 CTQ393224:CTQ393229 DDM393224:DDM393229 DNI393224:DNI393229 DXE393224:DXE393229 EHA393224:EHA393229 EQW393224:EQW393229 FAS393224:FAS393229 FKO393224:FKO393229 FUK393224:FUK393229 GEG393224:GEG393229 GOC393224:GOC393229 GXY393224:GXY393229 HHU393224:HHU393229 HRQ393224:HRQ393229 IBM393224:IBM393229 ILI393224:ILI393229 IVE393224:IVE393229 JFA393224:JFA393229 JOW393224:JOW393229 JYS393224:JYS393229 KIO393224:KIO393229 KSK393224:KSK393229 LCG393224:LCG393229 LMC393224:LMC393229 LVY393224:LVY393229 MFU393224:MFU393229 MPQ393224:MPQ393229 MZM393224:MZM393229 NJI393224:NJI393229 NTE393224:NTE393229 ODA393224:ODA393229 OMW393224:OMW393229 OWS393224:OWS393229 PGO393224:PGO393229 PQK393224:PQK393229 QAG393224:QAG393229 QKC393224:QKC393229 QTY393224:QTY393229 RDU393224:RDU393229 RNQ393224:RNQ393229 RXM393224:RXM393229 SHI393224:SHI393229 SRE393224:SRE393229 TBA393224:TBA393229 TKW393224:TKW393229 TUS393224:TUS393229 UEO393224:UEO393229 UOK393224:UOK393229 UYG393224:UYG393229 VIC393224:VIC393229 VRY393224:VRY393229 WBU393224:WBU393229 WLQ393224:WLQ393229 WVM393224:WVM393229 E458760:E458765 JA458760:JA458765 SW458760:SW458765 ACS458760:ACS458765 AMO458760:AMO458765 AWK458760:AWK458765 BGG458760:BGG458765 BQC458760:BQC458765 BZY458760:BZY458765 CJU458760:CJU458765 CTQ458760:CTQ458765 DDM458760:DDM458765 DNI458760:DNI458765 DXE458760:DXE458765 EHA458760:EHA458765 EQW458760:EQW458765 FAS458760:FAS458765 FKO458760:FKO458765 FUK458760:FUK458765 GEG458760:GEG458765 GOC458760:GOC458765 GXY458760:GXY458765 HHU458760:HHU458765 HRQ458760:HRQ458765 IBM458760:IBM458765 ILI458760:ILI458765 IVE458760:IVE458765 JFA458760:JFA458765 JOW458760:JOW458765 JYS458760:JYS458765 KIO458760:KIO458765 KSK458760:KSK458765 LCG458760:LCG458765 LMC458760:LMC458765 LVY458760:LVY458765 MFU458760:MFU458765 MPQ458760:MPQ458765 MZM458760:MZM458765 NJI458760:NJI458765 NTE458760:NTE458765 ODA458760:ODA458765 OMW458760:OMW458765 OWS458760:OWS458765 PGO458760:PGO458765 PQK458760:PQK458765 QAG458760:QAG458765 QKC458760:QKC458765 QTY458760:QTY458765 RDU458760:RDU458765 RNQ458760:RNQ458765 RXM458760:RXM458765 SHI458760:SHI458765 SRE458760:SRE458765 TBA458760:TBA458765 TKW458760:TKW458765 TUS458760:TUS458765 UEO458760:UEO458765 UOK458760:UOK458765 UYG458760:UYG458765 VIC458760:VIC458765 VRY458760:VRY458765 WBU458760:WBU458765 WLQ458760:WLQ458765 WVM458760:WVM458765 E524296:E524301 JA524296:JA524301 SW524296:SW524301 ACS524296:ACS524301 AMO524296:AMO524301 AWK524296:AWK524301 BGG524296:BGG524301 BQC524296:BQC524301 BZY524296:BZY524301 CJU524296:CJU524301 CTQ524296:CTQ524301 DDM524296:DDM524301 DNI524296:DNI524301 DXE524296:DXE524301 EHA524296:EHA524301 EQW524296:EQW524301 FAS524296:FAS524301 FKO524296:FKO524301 FUK524296:FUK524301 GEG524296:GEG524301 GOC524296:GOC524301 GXY524296:GXY524301 HHU524296:HHU524301 HRQ524296:HRQ524301 IBM524296:IBM524301 ILI524296:ILI524301 IVE524296:IVE524301 JFA524296:JFA524301 JOW524296:JOW524301 JYS524296:JYS524301 KIO524296:KIO524301 KSK524296:KSK524301 LCG524296:LCG524301 LMC524296:LMC524301 LVY524296:LVY524301 MFU524296:MFU524301 MPQ524296:MPQ524301 MZM524296:MZM524301 NJI524296:NJI524301 NTE524296:NTE524301 ODA524296:ODA524301 OMW524296:OMW524301 OWS524296:OWS524301 PGO524296:PGO524301 PQK524296:PQK524301 QAG524296:QAG524301 QKC524296:QKC524301 QTY524296:QTY524301 RDU524296:RDU524301 RNQ524296:RNQ524301 RXM524296:RXM524301 SHI524296:SHI524301 SRE524296:SRE524301 TBA524296:TBA524301 TKW524296:TKW524301 TUS524296:TUS524301 UEO524296:UEO524301 UOK524296:UOK524301 UYG524296:UYG524301 VIC524296:VIC524301 VRY524296:VRY524301 WBU524296:WBU524301 WLQ524296:WLQ524301 WVM524296:WVM524301 E589832:E589837 JA589832:JA589837 SW589832:SW589837 ACS589832:ACS589837 AMO589832:AMO589837 AWK589832:AWK589837 BGG589832:BGG589837 BQC589832:BQC589837 BZY589832:BZY589837 CJU589832:CJU589837 CTQ589832:CTQ589837 DDM589832:DDM589837 DNI589832:DNI589837 DXE589832:DXE589837 EHA589832:EHA589837 EQW589832:EQW589837 FAS589832:FAS589837 FKO589832:FKO589837 FUK589832:FUK589837 GEG589832:GEG589837 GOC589832:GOC589837 GXY589832:GXY589837 HHU589832:HHU589837 HRQ589832:HRQ589837 IBM589832:IBM589837 ILI589832:ILI589837 IVE589832:IVE589837 JFA589832:JFA589837 JOW589832:JOW589837 JYS589832:JYS589837 KIO589832:KIO589837 KSK589832:KSK589837 LCG589832:LCG589837 LMC589832:LMC589837 LVY589832:LVY589837 MFU589832:MFU589837 MPQ589832:MPQ589837 MZM589832:MZM589837 NJI589832:NJI589837 NTE589832:NTE589837 ODA589832:ODA589837 OMW589832:OMW589837 OWS589832:OWS589837 PGO589832:PGO589837 PQK589832:PQK589837 QAG589832:QAG589837 QKC589832:QKC589837 QTY589832:QTY589837 RDU589832:RDU589837 RNQ589832:RNQ589837 RXM589832:RXM589837 SHI589832:SHI589837 SRE589832:SRE589837 TBA589832:TBA589837 TKW589832:TKW589837 TUS589832:TUS589837 UEO589832:UEO589837 UOK589832:UOK589837 UYG589832:UYG589837 VIC589832:VIC589837 VRY589832:VRY589837 WBU589832:WBU589837 WLQ589832:WLQ589837 WVM589832:WVM589837 E655368:E655373 JA655368:JA655373 SW655368:SW655373 ACS655368:ACS655373 AMO655368:AMO655373 AWK655368:AWK655373 BGG655368:BGG655373 BQC655368:BQC655373 BZY655368:BZY655373 CJU655368:CJU655373 CTQ655368:CTQ655373 DDM655368:DDM655373 DNI655368:DNI655373 DXE655368:DXE655373 EHA655368:EHA655373 EQW655368:EQW655373 FAS655368:FAS655373 FKO655368:FKO655373 FUK655368:FUK655373 GEG655368:GEG655373 GOC655368:GOC655373 GXY655368:GXY655373 HHU655368:HHU655373 HRQ655368:HRQ655373 IBM655368:IBM655373 ILI655368:ILI655373 IVE655368:IVE655373 JFA655368:JFA655373 JOW655368:JOW655373 JYS655368:JYS655373 KIO655368:KIO655373 KSK655368:KSK655373 LCG655368:LCG655373 LMC655368:LMC655373 LVY655368:LVY655373 MFU655368:MFU655373 MPQ655368:MPQ655373 MZM655368:MZM655373 NJI655368:NJI655373 NTE655368:NTE655373 ODA655368:ODA655373 OMW655368:OMW655373 OWS655368:OWS655373 PGO655368:PGO655373 PQK655368:PQK655373 QAG655368:QAG655373 QKC655368:QKC655373 QTY655368:QTY655373 RDU655368:RDU655373 RNQ655368:RNQ655373 RXM655368:RXM655373 SHI655368:SHI655373 SRE655368:SRE655373 TBA655368:TBA655373 TKW655368:TKW655373 TUS655368:TUS655373 UEO655368:UEO655373 UOK655368:UOK655373 UYG655368:UYG655373 VIC655368:VIC655373 VRY655368:VRY655373 WBU655368:WBU655373 WLQ655368:WLQ655373 WVM655368:WVM655373 E720904:E720909 JA720904:JA720909 SW720904:SW720909 ACS720904:ACS720909 AMO720904:AMO720909 AWK720904:AWK720909 BGG720904:BGG720909 BQC720904:BQC720909 BZY720904:BZY720909 CJU720904:CJU720909 CTQ720904:CTQ720909 DDM720904:DDM720909 DNI720904:DNI720909 DXE720904:DXE720909 EHA720904:EHA720909 EQW720904:EQW720909 FAS720904:FAS720909 FKO720904:FKO720909 FUK720904:FUK720909 GEG720904:GEG720909 GOC720904:GOC720909 GXY720904:GXY720909 HHU720904:HHU720909 HRQ720904:HRQ720909 IBM720904:IBM720909 ILI720904:ILI720909 IVE720904:IVE720909 JFA720904:JFA720909 JOW720904:JOW720909 JYS720904:JYS720909 KIO720904:KIO720909 KSK720904:KSK720909 LCG720904:LCG720909 LMC720904:LMC720909 LVY720904:LVY720909 MFU720904:MFU720909 MPQ720904:MPQ720909 MZM720904:MZM720909 NJI720904:NJI720909 NTE720904:NTE720909 ODA720904:ODA720909 OMW720904:OMW720909 OWS720904:OWS720909 PGO720904:PGO720909 PQK720904:PQK720909 QAG720904:QAG720909 QKC720904:QKC720909 QTY720904:QTY720909 RDU720904:RDU720909 RNQ720904:RNQ720909 RXM720904:RXM720909 SHI720904:SHI720909 SRE720904:SRE720909 TBA720904:TBA720909 TKW720904:TKW720909 TUS720904:TUS720909 UEO720904:UEO720909 UOK720904:UOK720909 UYG720904:UYG720909 VIC720904:VIC720909 VRY720904:VRY720909 WBU720904:WBU720909 WLQ720904:WLQ720909 WVM720904:WVM720909 E786440:E786445 JA786440:JA786445 SW786440:SW786445 ACS786440:ACS786445 AMO786440:AMO786445 AWK786440:AWK786445 BGG786440:BGG786445 BQC786440:BQC786445 BZY786440:BZY786445 CJU786440:CJU786445 CTQ786440:CTQ786445 DDM786440:DDM786445 DNI786440:DNI786445 DXE786440:DXE786445 EHA786440:EHA786445 EQW786440:EQW786445 FAS786440:FAS786445 FKO786440:FKO786445 FUK786440:FUK786445 GEG786440:GEG786445 GOC786440:GOC786445 GXY786440:GXY786445 HHU786440:HHU786445 HRQ786440:HRQ786445 IBM786440:IBM786445 ILI786440:ILI786445 IVE786440:IVE786445 JFA786440:JFA786445 JOW786440:JOW786445 JYS786440:JYS786445 KIO786440:KIO786445 KSK786440:KSK786445 LCG786440:LCG786445 LMC786440:LMC786445 LVY786440:LVY786445 MFU786440:MFU786445 MPQ786440:MPQ786445 MZM786440:MZM786445 NJI786440:NJI786445 NTE786440:NTE786445 ODA786440:ODA786445 OMW786440:OMW786445 OWS786440:OWS786445 PGO786440:PGO786445 PQK786440:PQK786445 QAG786440:QAG786445 QKC786440:QKC786445 QTY786440:QTY786445 RDU786440:RDU786445 RNQ786440:RNQ786445 RXM786440:RXM786445 SHI786440:SHI786445 SRE786440:SRE786445 TBA786440:TBA786445 TKW786440:TKW786445 TUS786440:TUS786445 UEO786440:UEO786445 UOK786440:UOK786445 UYG786440:UYG786445 VIC786440:VIC786445 VRY786440:VRY786445 WBU786440:WBU786445 WLQ786440:WLQ786445 WVM786440:WVM786445 E851976:E851981 JA851976:JA851981 SW851976:SW851981 ACS851976:ACS851981 AMO851976:AMO851981 AWK851976:AWK851981 BGG851976:BGG851981 BQC851976:BQC851981 BZY851976:BZY851981 CJU851976:CJU851981 CTQ851976:CTQ851981 DDM851976:DDM851981 DNI851976:DNI851981 DXE851976:DXE851981 EHA851976:EHA851981 EQW851976:EQW851981 FAS851976:FAS851981 FKO851976:FKO851981 FUK851976:FUK851981 GEG851976:GEG851981 GOC851976:GOC851981 GXY851976:GXY851981 HHU851976:HHU851981 HRQ851976:HRQ851981 IBM851976:IBM851981 ILI851976:ILI851981 IVE851976:IVE851981 JFA851976:JFA851981 JOW851976:JOW851981 JYS851976:JYS851981 KIO851976:KIO851981 KSK851976:KSK851981 LCG851976:LCG851981 LMC851976:LMC851981 LVY851976:LVY851981 MFU851976:MFU851981 MPQ851976:MPQ851981 MZM851976:MZM851981 NJI851976:NJI851981 NTE851976:NTE851981 ODA851976:ODA851981 OMW851976:OMW851981 OWS851976:OWS851981 PGO851976:PGO851981 PQK851976:PQK851981 QAG851976:QAG851981 QKC851976:QKC851981 QTY851976:QTY851981 RDU851976:RDU851981 RNQ851976:RNQ851981 RXM851976:RXM851981 SHI851976:SHI851981 SRE851976:SRE851981 TBA851976:TBA851981 TKW851976:TKW851981 TUS851976:TUS851981 UEO851976:UEO851981 UOK851976:UOK851981 UYG851976:UYG851981 VIC851976:VIC851981 VRY851976:VRY851981 WBU851976:WBU851981 WLQ851976:WLQ851981 WVM851976:WVM851981 E917512:E917517 JA917512:JA917517 SW917512:SW917517 ACS917512:ACS917517 AMO917512:AMO917517 AWK917512:AWK917517 BGG917512:BGG917517 BQC917512:BQC917517 BZY917512:BZY917517 CJU917512:CJU917517 CTQ917512:CTQ917517 DDM917512:DDM917517 DNI917512:DNI917517 DXE917512:DXE917517 EHA917512:EHA917517 EQW917512:EQW917517 FAS917512:FAS917517 FKO917512:FKO917517 FUK917512:FUK917517 GEG917512:GEG917517 GOC917512:GOC917517 GXY917512:GXY917517 HHU917512:HHU917517 HRQ917512:HRQ917517 IBM917512:IBM917517 ILI917512:ILI917517 IVE917512:IVE917517 JFA917512:JFA917517 JOW917512:JOW917517 JYS917512:JYS917517 KIO917512:KIO917517 KSK917512:KSK917517 LCG917512:LCG917517 LMC917512:LMC917517 LVY917512:LVY917517 MFU917512:MFU917517 MPQ917512:MPQ917517 MZM917512:MZM917517 NJI917512:NJI917517 NTE917512:NTE917517 ODA917512:ODA917517 OMW917512:OMW917517 OWS917512:OWS917517 PGO917512:PGO917517 PQK917512:PQK917517 QAG917512:QAG917517 QKC917512:QKC917517 QTY917512:QTY917517 RDU917512:RDU917517 RNQ917512:RNQ917517 RXM917512:RXM917517 SHI917512:SHI917517 SRE917512:SRE917517 TBA917512:TBA917517 TKW917512:TKW917517 TUS917512:TUS917517 UEO917512:UEO917517 UOK917512:UOK917517 UYG917512:UYG917517 VIC917512:VIC917517 VRY917512:VRY917517 WBU917512:WBU917517 WLQ917512:WLQ917517 WVM917512:WVM917517 E983048:E983053 JA983048:JA983053 SW983048:SW983053 ACS983048:ACS983053 AMO983048:AMO983053 AWK983048:AWK983053 BGG983048:BGG983053 BQC983048:BQC983053 BZY983048:BZY983053 CJU983048:CJU983053 CTQ983048:CTQ983053 DDM983048:DDM983053 DNI983048:DNI983053 DXE983048:DXE983053 EHA983048:EHA983053 EQW983048:EQW983053 FAS983048:FAS983053 FKO983048:FKO983053 FUK983048:FUK983053 GEG983048:GEG983053 GOC983048:GOC983053 GXY983048:GXY983053 HHU983048:HHU983053 HRQ983048:HRQ983053 IBM983048:IBM983053 ILI983048:ILI983053 IVE983048:IVE983053 JFA983048:JFA983053 JOW983048:JOW983053 JYS983048:JYS983053 KIO983048:KIO983053 KSK983048:KSK983053 LCG983048:LCG983053 LMC983048:LMC983053 LVY983048:LVY983053 MFU983048:MFU983053 MPQ983048:MPQ983053 MZM983048:MZM983053 NJI983048:NJI983053 NTE983048:NTE983053 ODA983048:ODA983053 OMW983048:OMW983053 OWS983048:OWS983053 PGO983048:PGO983053 PQK983048:PQK983053 QAG983048:QAG983053 QKC983048:QKC983053 QTY983048:QTY983053 RDU983048:RDU983053 RNQ983048:RNQ983053 RXM983048:RXM983053 SHI983048:SHI983053 SRE983048:SRE983053 TBA983048:TBA983053 TKW983048:TKW983053 TUS983048:TUS983053 UEO983048:UEO983053 UOK983048:UOK983053 UYG983048:UYG983053 VIC983048:VIC983053 VRY983048:VRY983053 WBU983048:WBU983053 WLQ983048:WLQ983053 WVM983048:WVM983053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E65555:E65578 JA65555:JA65578 SW65555:SW65578 ACS65555:ACS65578 AMO65555:AMO65578 AWK65555:AWK65578 BGG65555:BGG65578 BQC65555:BQC65578 BZY65555:BZY65578 CJU65555:CJU65578 CTQ65555:CTQ65578 DDM65555:DDM65578 DNI65555:DNI65578 DXE65555:DXE65578 EHA65555:EHA65578 EQW65555:EQW65578 FAS65555:FAS65578 FKO65555:FKO65578 FUK65555:FUK65578 GEG65555:GEG65578 GOC65555:GOC65578 GXY65555:GXY65578 HHU65555:HHU65578 HRQ65555:HRQ65578 IBM65555:IBM65578 ILI65555:ILI65578 IVE65555:IVE65578 JFA65555:JFA65578 JOW65555:JOW65578 JYS65555:JYS65578 KIO65555:KIO65578 KSK65555:KSK65578 LCG65555:LCG65578 LMC65555:LMC65578 LVY65555:LVY65578 MFU65555:MFU65578 MPQ65555:MPQ65578 MZM65555:MZM65578 NJI65555:NJI65578 NTE65555:NTE65578 ODA65555:ODA65578 OMW65555:OMW65578 OWS65555:OWS65578 PGO65555:PGO65578 PQK65555:PQK65578 QAG65555:QAG65578 QKC65555:QKC65578 QTY65555:QTY65578 RDU65555:RDU65578 RNQ65555:RNQ65578 RXM65555:RXM65578 SHI65555:SHI65578 SRE65555:SRE65578 TBA65555:TBA65578 TKW65555:TKW65578 TUS65555:TUS65578 UEO65555:UEO65578 UOK65555:UOK65578 UYG65555:UYG65578 VIC65555:VIC65578 VRY65555:VRY65578 WBU65555:WBU65578 WLQ65555:WLQ65578 WVM65555:WVM65578 E131091:E131114 JA131091:JA131114 SW131091:SW131114 ACS131091:ACS131114 AMO131091:AMO131114 AWK131091:AWK131114 BGG131091:BGG131114 BQC131091:BQC131114 BZY131091:BZY131114 CJU131091:CJU131114 CTQ131091:CTQ131114 DDM131091:DDM131114 DNI131091:DNI131114 DXE131091:DXE131114 EHA131091:EHA131114 EQW131091:EQW131114 FAS131091:FAS131114 FKO131091:FKO131114 FUK131091:FUK131114 GEG131091:GEG131114 GOC131091:GOC131114 GXY131091:GXY131114 HHU131091:HHU131114 HRQ131091:HRQ131114 IBM131091:IBM131114 ILI131091:ILI131114 IVE131091:IVE131114 JFA131091:JFA131114 JOW131091:JOW131114 JYS131091:JYS131114 KIO131091:KIO131114 KSK131091:KSK131114 LCG131091:LCG131114 LMC131091:LMC131114 LVY131091:LVY131114 MFU131091:MFU131114 MPQ131091:MPQ131114 MZM131091:MZM131114 NJI131091:NJI131114 NTE131091:NTE131114 ODA131091:ODA131114 OMW131091:OMW131114 OWS131091:OWS131114 PGO131091:PGO131114 PQK131091:PQK131114 QAG131091:QAG131114 QKC131091:QKC131114 QTY131091:QTY131114 RDU131091:RDU131114 RNQ131091:RNQ131114 RXM131091:RXM131114 SHI131091:SHI131114 SRE131091:SRE131114 TBA131091:TBA131114 TKW131091:TKW131114 TUS131091:TUS131114 UEO131091:UEO131114 UOK131091:UOK131114 UYG131091:UYG131114 VIC131091:VIC131114 VRY131091:VRY131114 WBU131091:WBU131114 WLQ131091:WLQ131114 WVM131091:WVM131114 E196627:E196650 JA196627:JA196650 SW196627:SW196650 ACS196627:ACS196650 AMO196627:AMO196650 AWK196627:AWK196650 BGG196627:BGG196650 BQC196627:BQC196650 BZY196627:BZY196650 CJU196627:CJU196650 CTQ196627:CTQ196650 DDM196627:DDM196650 DNI196627:DNI196650 DXE196627:DXE196650 EHA196627:EHA196650 EQW196627:EQW196650 FAS196627:FAS196650 FKO196627:FKO196650 FUK196627:FUK196650 GEG196627:GEG196650 GOC196627:GOC196650 GXY196627:GXY196650 HHU196627:HHU196650 HRQ196627:HRQ196650 IBM196627:IBM196650 ILI196627:ILI196650 IVE196627:IVE196650 JFA196627:JFA196650 JOW196627:JOW196650 JYS196627:JYS196650 KIO196627:KIO196650 KSK196627:KSK196650 LCG196627:LCG196650 LMC196627:LMC196650 LVY196627:LVY196650 MFU196627:MFU196650 MPQ196627:MPQ196650 MZM196627:MZM196650 NJI196627:NJI196650 NTE196627:NTE196650 ODA196627:ODA196650 OMW196627:OMW196650 OWS196627:OWS196650 PGO196627:PGO196650 PQK196627:PQK196650 QAG196627:QAG196650 QKC196627:QKC196650 QTY196627:QTY196650 RDU196627:RDU196650 RNQ196627:RNQ196650 RXM196627:RXM196650 SHI196627:SHI196650 SRE196627:SRE196650 TBA196627:TBA196650 TKW196627:TKW196650 TUS196627:TUS196650 UEO196627:UEO196650 UOK196627:UOK196650 UYG196627:UYG196650 VIC196627:VIC196650 VRY196627:VRY196650 WBU196627:WBU196650 WLQ196627:WLQ196650 WVM196627:WVM196650 E262163:E262186 JA262163:JA262186 SW262163:SW262186 ACS262163:ACS262186 AMO262163:AMO262186 AWK262163:AWK262186 BGG262163:BGG262186 BQC262163:BQC262186 BZY262163:BZY262186 CJU262163:CJU262186 CTQ262163:CTQ262186 DDM262163:DDM262186 DNI262163:DNI262186 DXE262163:DXE262186 EHA262163:EHA262186 EQW262163:EQW262186 FAS262163:FAS262186 FKO262163:FKO262186 FUK262163:FUK262186 GEG262163:GEG262186 GOC262163:GOC262186 GXY262163:GXY262186 HHU262163:HHU262186 HRQ262163:HRQ262186 IBM262163:IBM262186 ILI262163:ILI262186 IVE262163:IVE262186 JFA262163:JFA262186 JOW262163:JOW262186 JYS262163:JYS262186 KIO262163:KIO262186 KSK262163:KSK262186 LCG262163:LCG262186 LMC262163:LMC262186 LVY262163:LVY262186 MFU262163:MFU262186 MPQ262163:MPQ262186 MZM262163:MZM262186 NJI262163:NJI262186 NTE262163:NTE262186 ODA262163:ODA262186 OMW262163:OMW262186 OWS262163:OWS262186 PGO262163:PGO262186 PQK262163:PQK262186 QAG262163:QAG262186 QKC262163:QKC262186 QTY262163:QTY262186 RDU262163:RDU262186 RNQ262163:RNQ262186 RXM262163:RXM262186 SHI262163:SHI262186 SRE262163:SRE262186 TBA262163:TBA262186 TKW262163:TKW262186 TUS262163:TUS262186 UEO262163:UEO262186 UOK262163:UOK262186 UYG262163:UYG262186 VIC262163:VIC262186 VRY262163:VRY262186 WBU262163:WBU262186 WLQ262163:WLQ262186 WVM262163:WVM262186 E327699:E327722 JA327699:JA327722 SW327699:SW327722 ACS327699:ACS327722 AMO327699:AMO327722 AWK327699:AWK327722 BGG327699:BGG327722 BQC327699:BQC327722 BZY327699:BZY327722 CJU327699:CJU327722 CTQ327699:CTQ327722 DDM327699:DDM327722 DNI327699:DNI327722 DXE327699:DXE327722 EHA327699:EHA327722 EQW327699:EQW327722 FAS327699:FAS327722 FKO327699:FKO327722 FUK327699:FUK327722 GEG327699:GEG327722 GOC327699:GOC327722 GXY327699:GXY327722 HHU327699:HHU327722 HRQ327699:HRQ327722 IBM327699:IBM327722 ILI327699:ILI327722 IVE327699:IVE327722 JFA327699:JFA327722 JOW327699:JOW327722 JYS327699:JYS327722 KIO327699:KIO327722 KSK327699:KSK327722 LCG327699:LCG327722 LMC327699:LMC327722 LVY327699:LVY327722 MFU327699:MFU327722 MPQ327699:MPQ327722 MZM327699:MZM327722 NJI327699:NJI327722 NTE327699:NTE327722 ODA327699:ODA327722 OMW327699:OMW327722 OWS327699:OWS327722 PGO327699:PGO327722 PQK327699:PQK327722 QAG327699:QAG327722 QKC327699:QKC327722 QTY327699:QTY327722 RDU327699:RDU327722 RNQ327699:RNQ327722 RXM327699:RXM327722 SHI327699:SHI327722 SRE327699:SRE327722 TBA327699:TBA327722 TKW327699:TKW327722 TUS327699:TUS327722 UEO327699:UEO327722 UOK327699:UOK327722 UYG327699:UYG327722 VIC327699:VIC327722 VRY327699:VRY327722 WBU327699:WBU327722 WLQ327699:WLQ327722 WVM327699:WVM327722 E393235:E393258 JA393235:JA393258 SW393235:SW393258 ACS393235:ACS393258 AMO393235:AMO393258 AWK393235:AWK393258 BGG393235:BGG393258 BQC393235:BQC393258 BZY393235:BZY393258 CJU393235:CJU393258 CTQ393235:CTQ393258 DDM393235:DDM393258 DNI393235:DNI393258 DXE393235:DXE393258 EHA393235:EHA393258 EQW393235:EQW393258 FAS393235:FAS393258 FKO393235:FKO393258 FUK393235:FUK393258 GEG393235:GEG393258 GOC393235:GOC393258 GXY393235:GXY393258 HHU393235:HHU393258 HRQ393235:HRQ393258 IBM393235:IBM393258 ILI393235:ILI393258 IVE393235:IVE393258 JFA393235:JFA393258 JOW393235:JOW393258 JYS393235:JYS393258 KIO393235:KIO393258 KSK393235:KSK393258 LCG393235:LCG393258 LMC393235:LMC393258 LVY393235:LVY393258 MFU393235:MFU393258 MPQ393235:MPQ393258 MZM393235:MZM393258 NJI393235:NJI393258 NTE393235:NTE393258 ODA393235:ODA393258 OMW393235:OMW393258 OWS393235:OWS393258 PGO393235:PGO393258 PQK393235:PQK393258 QAG393235:QAG393258 QKC393235:QKC393258 QTY393235:QTY393258 RDU393235:RDU393258 RNQ393235:RNQ393258 RXM393235:RXM393258 SHI393235:SHI393258 SRE393235:SRE393258 TBA393235:TBA393258 TKW393235:TKW393258 TUS393235:TUS393258 UEO393235:UEO393258 UOK393235:UOK393258 UYG393235:UYG393258 VIC393235:VIC393258 VRY393235:VRY393258 WBU393235:WBU393258 WLQ393235:WLQ393258 WVM393235:WVM393258 E458771:E458794 JA458771:JA458794 SW458771:SW458794 ACS458771:ACS458794 AMO458771:AMO458794 AWK458771:AWK458794 BGG458771:BGG458794 BQC458771:BQC458794 BZY458771:BZY458794 CJU458771:CJU458794 CTQ458771:CTQ458794 DDM458771:DDM458794 DNI458771:DNI458794 DXE458771:DXE458794 EHA458771:EHA458794 EQW458771:EQW458794 FAS458771:FAS458794 FKO458771:FKO458794 FUK458771:FUK458794 GEG458771:GEG458794 GOC458771:GOC458794 GXY458771:GXY458794 HHU458771:HHU458794 HRQ458771:HRQ458794 IBM458771:IBM458794 ILI458771:ILI458794 IVE458771:IVE458794 JFA458771:JFA458794 JOW458771:JOW458794 JYS458771:JYS458794 KIO458771:KIO458794 KSK458771:KSK458794 LCG458771:LCG458794 LMC458771:LMC458794 LVY458771:LVY458794 MFU458771:MFU458794 MPQ458771:MPQ458794 MZM458771:MZM458794 NJI458771:NJI458794 NTE458771:NTE458794 ODA458771:ODA458794 OMW458771:OMW458794 OWS458771:OWS458794 PGO458771:PGO458794 PQK458771:PQK458794 QAG458771:QAG458794 QKC458771:QKC458794 QTY458771:QTY458794 RDU458771:RDU458794 RNQ458771:RNQ458794 RXM458771:RXM458794 SHI458771:SHI458794 SRE458771:SRE458794 TBA458771:TBA458794 TKW458771:TKW458794 TUS458771:TUS458794 UEO458771:UEO458794 UOK458771:UOK458794 UYG458771:UYG458794 VIC458771:VIC458794 VRY458771:VRY458794 WBU458771:WBU458794 WLQ458771:WLQ458794 WVM458771:WVM458794 E524307:E524330 JA524307:JA524330 SW524307:SW524330 ACS524307:ACS524330 AMO524307:AMO524330 AWK524307:AWK524330 BGG524307:BGG524330 BQC524307:BQC524330 BZY524307:BZY524330 CJU524307:CJU524330 CTQ524307:CTQ524330 DDM524307:DDM524330 DNI524307:DNI524330 DXE524307:DXE524330 EHA524307:EHA524330 EQW524307:EQW524330 FAS524307:FAS524330 FKO524307:FKO524330 FUK524307:FUK524330 GEG524307:GEG524330 GOC524307:GOC524330 GXY524307:GXY524330 HHU524307:HHU524330 HRQ524307:HRQ524330 IBM524307:IBM524330 ILI524307:ILI524330 IVE524307:IVE524330 JFA524307:JFA524330 JOW524307:JOW524330 JYS524307:JYS524330 KIO524307:KIO524330 KSK524307:KSK524330 LCG524307:LCG524330 LMC524307:LMC524330 LVY524307:LVY524330 MFU524307:MFU524330 MPQ524307:MPQ524330 MZM524307:MZM524330 NJI524307:NJI524330 NTE524307:NTE524330 ODA524307:ODA524330 OMW524307:OMW524330 OWS524307:OWS524330 PGO524307:PGO524330 PQK524307:PQK524330 QAG524307:QAG524330 QKC524307:QKC524330 QTY524307:QTY524330 RDU524307:RDU524330 RNQ524307:RNQ524330 RXM524307:RXM524330 SHI524307:SHI524330 SRE524307:SRE524330 TBA524307:TBA524330 TKW524307:TKW524330 TUS524307:TUS524330 UEO524307:UEO524330 UOK524307:UOK524330 UYG524307:UYG524330 VIC524307:VIC524330 VRY524307:VRY524330 WBU524307:WBU524330 WLQ524307:WLQ524330 WVM524307:WVM524330 E589843:E589866 JA589843:JA589866 SW589843:SW589866 ACS589843:ACS589866 AMO589843:AMO589866 AWK589843:AWK589866 BGG589843:BGG589866 BQC589843:BQC589866 BZY589843:BZY589866 CJU589843:CJU589866 CTQ589843:CTQ589866 DDM589843:DDM589866 DNI589843:DNI589866 DXE589843:DXE589866 EHA589843:EHA589866 EQW589843:EQW589866 FAS589843:FAS589866 FKO589843:FKO589866 FUK589843:FUK589866 GEG589843:GEG589866 GOC589843:GOC589866 GXY589843:GXY589866 HHU589843:HHU589866 HRQ589843:HRQ589866 IBM589843:IBM589866 ILI589843:ILI589866 IVE589843:IVE589866 JFA589843:JFA589866 JOW589843:JOW589866 JYS589843:JYS589866 KIO589843:KIO589866 KSK589843:KSK589866 LCG589843:LCG589866 LMC589843:LMC589866 LVY589843:LVY589866 MFU589843:MFU589866 MPQ589843:MPQ589866 MZM589843:MZM589866 NJI589843:NJI589866 NTE589843:NTE589866 ODA589843:ODA589866 OMW589843:OMW589866 OWS589843:OWS589866 PGO589843:PGO589866 PQK589843:PQK589866 QAG589843:QAG589866 QKC589843:QKC589866 QTY589843:QTY589866 RDU589843:RDU589866 RNQ589843:RNQ589866 RXM589843:RXM589866 SHI589843:SHI589866 SRE589843:SRE589866 TBA589843:TBA589866 TKW589843:TKW589866 TUS589843:TUS589866 UEO589843:UEO589866 UOK589843:UOK589866 UYG589843:UYG589866 VIC589843:VIC589866 VRY589843:VRY589866 WBU589843:WBU589866 WLQ589843:WLQ589866 WVM589843:WVM589866 E655379:E655402 JA655379:JA655402 SW655379:SW655402 ACS655379:ACS655402 AMO655379:AMO655402 AWK655379:AWK655402 BGG655379:BGG655402 BQC655379:BQC655402 BZY655379:BZY655402 CJU655379:CJU655402 CTQ655379:CTQ655402 DDM655379:DDM655402 DNI655379:DNI655402 DXE655379:DXE655402 EHA655379:EHA655402 EQW655379:EQW655402 FAS655379:FAS655402 FKO655379:FKO655402 FUK655379:FUK655402 GEG655379:GEG655402 GOC655379:GOC655402 GXY655379:GXY655402 HHU655379:HHU655402 HRQ655379:HRQ655402 IBM655379:IBM655402 ILI655379:ILI655402 IVE655379:IVE655402 JFA655379:JFA655402 JOW655379:JOW655402 JYS655379:JYS655402 KIO655379:KIO655402 KSK655379:KSK655402 LCG655379:LCG655402 LMC655379:LMC655402 LVY655379:LVY655402 MFU655379:MFU655402 MPQ655379:MPQ655402 MZM655379:MZM655402 NJI655379:NJI655402 NTE655379:NTE655402 ODA655379:ODA655402 OMW655379:OMW655402 OWS655379:OWS655402 PGO655379:PGO655402 PQK655379:PQK655402 QAG655379:QAG655402 QKC655379:QKC655402 QTY655379:QTY655402 RDU655379:RDU655402 RNQ655379:RNQ655402 RXM655379:RXM655402 SHI655379:SHI655402 SRE655379:SRE655402 TBA655379:TBA655402 TKW655379:TKW655402 TUS655379:TUS655402 UEO655379:UEO655402 UOK655379:UOK655402 UYG655379:UYG655402 VIC655379:VIC655402 VRY655379:VRY655402 WBU655379:WBU655402 WLQ655379:WLQ655402 WVM655379:WVM655402 E720915:E720938 JA720915:JA720938 SW720915:SW720938 ACS720915:ACS720938 AMO720915:AMO720938 AWK720915:AWK720938 BGG720915:BGG720938 BQC720915:BQC720938 BZY720915:BZY720938 CJU720915:CJU720938 CTQ720915:CTQ720938 DDM720915:DDM720938 DNI720915:DNI720938 DXE720915:DXE720938 EHA720915:EHA720938 EQW720915:EQW720938 FAS720915:FAS720938 FKO720915:FKO720938 FUK720915:FUK720938 GEG720915:GEG720938 GOC720915:GOC720938 GXY720915:GXY720938 HHU720915:HHU720938 HRQ720915:HRQ720938 IBM720915:IBM720938 ILI720915:ILI720938 IVE720915:IVE720938 JFA720915:JFA720938 JOW720915:JOW720938 JYS720915:JYS720938 KIO720915:KIO720938 KSK720915:KSK720938 LCG720915:LCG720938 LMC720915:LMC720938 LVY720915:LVY720938 MFU720915:MFU720938 MPQ720915:MPQ720938 MZM720915:MZM720938 NJI720915:NJI720938 NTE720915:NTE720938 ODA720915:ODA720938 OMW720915:OMW720938 OWS720915:OWS720938 PGO720915:PGO720938 PQK720915:PQK720938 QAG720915:QAG720938 QKC720915:QKC720938 QTY720915:QTY720938 RDU720915:RDU720938 RNQ720915:RNQ720938 RXM720915:RXM720938 SHI720915:SHI720938 SRE720915:SRE720938 TBA720915:TBA720938 TKW720915:TKW720938 TUS720915:TUS720938 UEO720915:UEO720938 UOK720915:UOK720938 UYG720915:UYG720938 VIC720915:VIC720938 VRY720915:VRY720938 WBU720915:WBU720938 WLQ720915:WLQ720938 WVM720915:WVM720938 E786451:E786474 JA786451:JA786474 SW786451:SW786474 ACS786451:ACS786474 AMO786451:AMO786474 AWK786451:AWK786474 BGG786451:BGG786474 BQC786451:BQC786474 BZY786451:BZY786474 CJU786451:CJU786474 CTQ786451:CTQ786474 DDM786451:DDM786474 DNI786451:DNI786474 DXE786451:DXE786474 EHA786451:EHA786474 EQW786451:EQW786474 FAS786451:FAS786474 FKO786451:FKO786474 FUK786451:FUK786474 GEG786451:GEG786474 GOC786451:GOC786474 GXY786451:GXY786474 HHU786451:HHU786474 HRQ786451:HRQ786474 IBM786451:IBM786474 ILI786451:ILI786474 IVE786451:IVE786474 JFA786451:JFA786474 JOW786451:JOW786474 JYS786451:JYS786474 KIO786451:KIO786474 KSK786451:KSK786474 LCG786451:LCG786474 LMC786451:LMC786474 LVY786451:LVY786474 MFU786451:MFU786474 MPQ786451:MPQ786474 MZM786451:MZM786474 NJI786451:NJI786474 NTE786451:NTE786474 ODA786451:ODA786474 OMW786451:OMW786474 OWS786451:OWS786474 PGO786451:PGO786474 PQK786451:PQK786474 QAG786451:QAG786474 QKC786451:QKC786474 QTY786451:QTY786474 RDU786451:RDU786474 RNQ786451:RNQ786474 RXM786451:RXM786474 SHI786451:SHI786474 SRE786451:SRE786474 TBA786451:TBA786474 TKW786451:TKW786474 TUS786451:TUS786474 UEO786451:UEO786474 UOK786451:UOK786474 UYG786451:UYG786474 VIC786451:VIC786474 VRY786451:VRY786474 WBU786451:WBU786474 WLQ786451:WLQ786474 WVM786451:WVM786474 E851987:E852010 JA851987:JA852010 SW851987:SW852010 ACS851987:ACS852010 AMO851987:AMO852010 AWK851987:AWK852010 BGG851987:BGG852010 BQC851987:BQC852010 BZY851987:BZY852010 CJU851987:CJU852010 CTQ851987:CTQ852010 DDM851987:DDM852010 DNI851987:DNI852010 DXE851987:DXE852010 EHA851987:EHA852010 EQW851987:EQW852010 FAS851987:FAS852010 FKO851987:FKO852010 FUK851987:FUK852010 GEG851987:GEG852010 GOC851987:GOC852010 GXY851987:GXY852010 HHU851987:HHU852010 HRQ851987:HRQ852010 IBM851987:IBM852010 ILI851987:ILI852010 IVE851987:IVE852010 JFA851987:JFA852010 JOW851987:JOW852010 JYS851987:JYS852010 KIO851987:KIO852010 KSK851987:KSK852010 LCG851987:LCG852010 LMC851987:LMC852010 LVY851987:LVY852010 MFU851987:MFU852010 MPQ851987:MPQ852010 MZM851987:MZM852010 NJI851987:NJI852010 NTE851987:NTE852010 ODA851987:ODA852010 OMW851987:OMW852010 OWS851987:OWS852010 PGO851987:PGO852010 PQK851987:PQK852010 QAG851987:QAG852010 QKC851987:QKC852010 QTY851987:QTY852010 RDU851987:RDU852010 RNQ851987:RNQ852010 RXM851987:RXM852010 SHI851987:SHI852010 SRE851987:SRE852010 TBA851987:TBA852010 TKW851987:TKW852010 TUS851987:TUS852010 UEO851987:UEO852010 UOK851987:UOK852010 UYG851987:UYG852010 VIC851987:VIC852010 VRY851987:VRY852010 WBU851987:WBU852010 WLQ851987:WLQ852010 WVM851987:WVM852010 E917523:E917546 JA917523:JA917546 SW917523:SW917546 ACS917523:ACS917546 AMO917523:AMO917546 AWK917523:AWK917546 BGG917523:BGG917546 BQC917523:BQC917546 BZY917523:BZY917546 CJU917523:CJU917546 CTQ917523:CTQ917546 DDM917523:DDM917546 DNI917523:DNI917546 DXE917523:DXE917546 EHA917523:EHA917546 EQW917523:EQW917546 FAS917523:FAS917546 FKO917523:FKO917546 FUK917523:FUK917546 GEG917523:GEG917546 GOC917523:GOC917546 GXY917523:GXY917546 HHU917523:HHU917546 HRQ917523:HRQ917546 IBM917523:IBM917546 ILI917523:ILI917546 IVE917523:IVE917546 JFA917523:JFA917546 JOW917523:JOW917546 JYS917523:JYS917546 KIO917523:KIO917546 KSK917523:KSK917546 LCG917523:LCG917546 LMC917523:LMC917546 LVY917523:LVY917546 MFU917523:MFU917546 MPQ917523:MPQ917546 MZM917523:MZM917546 NJI917523:NJI917546 NTE917523:NTE917546 ODA917523:ODA917546 OMW917523:OMW917546 OWS917523:OWS917546 PGO917523:PGO917546 PQK917523:PQK917546 QAG917523:QAG917546 QKC917523:QKC917546 QTY917523:QTY917546 RDU917523:RDU917546 RNQ917523:RNQ917546 RXM917523:RXM917546 SHI917523:SHI917546 SRE917523:SRE917546 TBA917523:TBA917546 TKW917523:TKW917546 TUS917523:TUS917546 UEO917523:UEO917546 UOK917523:UOK917546 UYG917523:UYG917546 VIC917523:VIC917546 VRY917523:VRY917546 WBU917523:WBU917546 WLQ917523:WLQ917546 WVM917523:WVM917546 E983059:E983082 JA983059:JA983082 SW983059:SW983082 ACS983059:ACS983082 AMO983059:AMO983082 AWK983059:AWK983082 BGG983059:BGG983082 BQC983059:BQC983082 BZY983059:BZY983082 CJU983059:CJU983082 CTQ983059:CTQ983082 DDM983059:DDM983082 DNI983059:DNI983082 DXE983059:DXE983082 EHA983059:EHA983082 EQW983059:EQW983082 FAS983059:FAS983082 FKO983059:FKO983082 FUK983059:FUK983082 GEG983059:GEG983082 GOC983059:GOC983082 GXY983059:GXY983082 HHU983059:HHU983082 HRQ983059:HRQ983082 IBM983059:IBM983082 ILI983059:ILI983082 IVE983059:IVE983082 JFA983059:JFA983082 JOW983059:JOW983082 JYS983059:JYS983082 KIO983059:KIO983082 KSK983059:KSK983082 LCG983059:LCG983082 LMC983059:LMC983082 LVY983059:LVY983082 MFU983059:MFU983082 MPQ983059:MPQ983082 MZM983059:MZM983082 NJI983059:NJI983082 NTE983059:NTE983082 ODA983059:ODA983082 OMW983059:OMW983082 OWS983059:OWS983082 PGO983059:PGO983082 PQK983059:PQK983082 QAG983059:QAG983082 QKC983059:QKC983082 QTY983059:QTY983082 RDU983059:RDU983082 RNQ983059:RNQ983082 RXM983059:RXM983082 SHI983059:SHI983082 SRE983059:SRE983082 TBA983059:TBA983082 TKW983059:TKW983082 TUS983059:TUS983082 UEO983059:UEO983082 UOK983059:UOK983082 UYG983059:UYG983082 VIC983059:VIC983082 VRY983059:VRY983082 WBU983059:WBU983082 WLQ983059:WLQ983082 WVM983059:WVM983082 WVM26:WVM42 WLQ26:WLQ42 WBU26:WBU42 VRY26:VRY42 VIC26:VIC42 UYG26:UYG42 UOK26:UOK42 UEO26:UEO42 TUS26:TUS42 TKW26:TKW42 TBA26:TBA42 SRE26:SRE42 SHI26:SHI42 RXM26:RXM42 RNQ26:RNQ42 RDU26:RDU42 QTY26:QTY42 QKC26:QKC42 QAG26:QAG42 PQK26:PQK42 PGO26:PGO42 OWS26:OWS42 OMW26:OMW42 ODA26:ODA42 NTE26:NTE42 NJI26:NJI42 MZM26:MZM42 MPQ26:MPQ42 MFU26:MFU42 LVY26:LVY42 LMC26:LMC42 LCG26:LCG42 KSK26:KSK42 KIO26:KIO42 JYS26:JYS42 JOW26:JOW42 JFA26:JFA42 IVE26:IVE42 ILI26:ILI42 IBM26:IBM42 HRQ26:HRQ42 HHU26:HHU42 GXY26:GXY42 GOC26:GOC42 GEG26:GEG42 FUK26:FUK42 FKO26:FKO42 FAS26:FAS42 EQW26:EQW42 EHA26:EHA42 DXE26:DXE42 DNI26:DNI42 DDM26:DDM42 CTQ26:CTQ42 CJU26:CJU42 BZY26:BZY42 BQC26:BQC42 BGG26:BGG42 AWK26:AWK42 AMO26:AMO42 ACS26:ACS42 SW26:SW42 JA26:JA42 E26:E42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22 WLQ22 WBU22 VRY22 VIC22 UYG22 UOK22 UEO22 TUS22 TKW22 TBA22 SRE22 SHI22 RXM22 RNQ22 RDU22 QTY22 QKC22 QAG22 PQK22 PGO22 OWS22 OMW22 ODA22 NTE22 NJI22 MZM22 MPQ22 MFU22 LVY22 LMC22 LCG22 KSK22 KIO22 JYS22 JOW22 JFA22 IVE22 ILI22 IBM22 HRQ22 HHU22 GXY22 GOC22 GEG22 FUK22 FKO22 FAS22 EQW22 EHA22 DXE22 DNI22 DDM22 CTQ22 CJU22 BZY22 BQC22 BGG22 AWK22 AMO22 ACS22 SW22 JA22 E22 WVM15:WVM20 WLQ15:WLQ20 WBU15:WBU20 VRY15:VRY20 VIC15:VIC20 UYG15:UYG20 UOK15:UOK20 UEO15:UEO20 TUS15:TUS20 TKW15:TKW20 TBA15:TBA20 SRE15:SRE20 SHI15:SHI20 RXM15:RXM20 RNQ15:RNQ20 RDU15:RDU20 QTY15:QTY20 QKC15:QKC20 QAG15:QAG20 PQK15:PQK20 PGO15:PGO20 OWS15:OWS20 OMW15:OMW20 ODA15:ODA20 NTE15:NTE20 NJI15:NJI20 MZM15:MZM20 MPQ15:MPQ20 MFU15:MFU20 LVY15:LVY20 LMC15:LMC20 LCG15:LCG20 KSK15:KSK20 KIO15:KIO20 JYS15:JYS20 JOW15:JOW20 JFA15:JFA20 IVE15:IVE20 ILI15:ILI20 IBM15:IBM20 HRQ15:HRQ20 HHU15:HHU20 GXY15:GXY20 GOC15:GOC20 GEG15:GEG20 FUK15:FUK20 FKO15:FKO20 FAS15:FAS20 EQW15:EQW20 EHA15:EHA20 DXE15:DXE20 DNI15:DNI20 DDM15:DDM20 CTQ15:CTQ20 CJU15:CJU20 BZY15:BZY20 BQC15:BQC20 BGG15:BGG20 AWK15:AWK20 AMO15:AMO20 ACS15:ACS20 SW15:SW20 JA15:JA20 E15:E20">
      <formula1>"1, 2, 3"</formula1>
    </dataValidation>
  </dataValidations>
  <pageMargins left="0.5" right="0.19" top="0.75" bottom="0.75" header="0.3" footer="0.3"/>
  <pageSetup scale="91" orientation="portrait" r:id="rId1"/>
</worksheet>
</file>

<file path=xl/worksheets/sheet7.xml><?xml version="1.0" encoding="utf-8"?>
<worksheet xmlns="http://schemas.openxmlformats.org/spreadsheetml/2006/main" xmlns:r="http://schemas.openxmlformats.org/officeDocument/2006/relationships">
  <sheetPr>
    <tabColor rgb="FFFFFF00"/>
    <pageSetUpPr fitToPage="1"/>
  </sheetPr>
  <dimension ref="A1:S99"/>
  <sheetViews>
    <sheetView workbookViewId="0">
      <selection activeCell="I5" sqref="I5"/>
    </sheetView>
  </sheetViews>
  <sheetFormatPr defaultColWidth="10" defaultRowHeight="15.75"/>
  <cols>
    <col min="1" max="1" width="2.5703125" style="593" customWidth="1"/>
    <col min="2" max="2" width="7.140625" style="593" customWidth="1"/>
    <col min="3" max="3" width="21.5703125" style="593" customWidth="1"/>
    <col min="4" max="4" width="11.85546875" style="595" customWidth="1"/>
    <col min="5" max="5" width="6.5703125" style="595" customWidth="1"/>
    <col min="6" max="6" width="14.42578125" style="593" customWidth="1"/>
    <col min="7" max="7" width="10.140625" style="593" customWidth="1"/>
    <col min="8" max="8" width="12.7109375" style="593" customWidth="1"/>
    <col min="9" max="9" width="14.42578125" style="593" customWidth="1"/>
    <col min="10" max="10" width="3" style="593" customWidth="1"/>
    <col min="11" max="11" width="13.28515625" style="593" bestFit="1" customWidth="1"/>
    <col min="12" max="12" width="11.7109375" style="593" bestFit="1" customWidth="1"/>
    <col min="13" max="13" width="11.140625" style="593" bestFit="1" customWidth="1"/>
    <col min="14" max="15" width="10" style="593" customWidth="1"/>
    <col min="16" max="16" width="11.7109375" style="593" bestFit="1" customWidth="1"/>
    <col min="17" max="255" width="10" style="593"/>
    <col min="256" max="256" width="2.5703125" style="593" customWidth="1"/>
    <col min="257" max="257" width="7.140625" style="593" customWidth="1"/>
    <col min="258" max="258" width="21.5703125" style="593" customWidth="1"/>
    <col min="259" max="259" width="9.7109375" style="593" customWidth="1"/>
    <col min="260" max="260" width="4.7109375" style="593" customWidth="1"/>
    <col min="261" max="261" width="14.42578125" style="593" customWidth="1"/>
    <col min="262" max="262" width="10.140625" style="593" customWidth="1"/>
    <col min="263" max="263" width="9.7109375" style="593" customWidth="1"/>
    <col min="264" max="264" width="14.42578125" style="593" customWidth="1"/>
    <col min="265" max="265" width="8.28515625" style="593" customWidth="1"/>
    <col min="266" max="266" width="3" style="593" customWidth="1"/>
    <col min="267" max="267" width="13.28515625" style="593" bestFit="1" customWidth="1"/>
    <col min="268" max="268" width="11.7109375" style="593" bestFit="1" customWidth="1"/>
    <col min="269" max="269" width="11.140625" style="593" bestFit="1" customWidth="1"/>
    <col min="270" max="271" width="10" style="593" customWidth="1"/>
    <col min="272" max="272" width="11.7109375" style="593" bestFit="1" customWidth="1"/>
    <col min="273" max="511" width="10" style="593"/>
    <col min="512" max="512" width="2.5703125" style="593" customWidth="1"/>
    <col min="513" max="513" width="7.140625" style="593" customWidth="1"/>
    <col min="514" max="514" width="21.5703125" style="593" customWidth="1"/>
    <col min="515" max="515" width="9.7109375" style="593" customWidth="1"/>
    <col min="516" max="516" width="4.7109375" style="593" customWidth="1"/>
    <col min="517" max="517" width="14.42578125" style="593" customWidth="1"/>
    <col min="518" max="518" width="10.140625" style="593" customWidth="1"/>
    <col min="519" max="519" width="9.7109375" style="593" customWidth="1"/>
    <col min="520" max="520" width="14.42578125" style="593" customWidth="1"/>
    <col min="521" max="521" width="8.28515625" style="593" customWidth="1"/>
    <col min="522" max="522" width="3" style="593" customWidth="1"/>
    <col min="523" max="523" width="13.28515625" style="593" bestFit="1" customWidth="1"/>
    <col min="524" max="524" width="11.7109375" style="593" bestFit="1" customWidth="1"/>
    <col min="525" max="525" width="11.140625" style="593" bestFit="1" customWidth="1"/>
    <col min="526" max="527" width="10" style="593" customWidth="1"/>
    <col min="528" max="528" width="11.7109375" style="593" bestFit="1" customWidth="1"/>
    <col min="529" max="767" width="10" style="593"/>
    <col min="768" max="768" width="2.5703125" style="593" customWidth="1"/>
    <col min="769" max="769" width="7.140625" style="593" customWidth="1"/>
    <col min="770" max="770" width="21.5703125" style="593" customWidth="1"/>
    <col min="771" max="771" width="9.7109375" style="593" customWidth="1"/>
    <col min="772" max="772" width="4.7109375" style="593" customWidth="1"/>
    <col min="773" max="773" width="14.42578125" style="593" customWidth="1"/>
    <col min="774" max="774" width="10.140625" style="593" customWidth="1"/>
    <col min="775" max="775" width="9.7109375" style="593" customWidth="1"/>
    <col min="776" max="776" width="14.42578125" style="593" customWidth="1"/>
    <col min="777" max="777" width="8.28515625" style="593" customWidth="1"/>
    <col min="778" max="778" width="3" style="593" customWidth="1"/>
    <col min="779" max="779" width="13.28515625" style="593" bestFit="1" customWidth="1"/>
    <col min="780" max="780" width="11.7109375" style="593" bestFit="1" customWidth="1"/>
    <col min="781" max="781" width="11.140625" style="593" bestFit="1" customWidth="1"/>
    <col min="782" max="783" width="10" style="593" customWidth="1"/>
    <col min="784" max="784" width="11.7109375" style="593" bestFit="1" customWidth="1"/>
    <col min="785" max="1023" width="10" style="593"/>
    <col min="1024" max="1024" width="2.5703125" style="593" customWidth="1"/>
    <col min="1025" max="1025" width="7.140625" style="593" customWidth="1"/>
    <col min="1026" max="1026" width="21.5703125" style="593" customWidth="1"/>
    <col min="1027" max="1027" width="9.7109375" style="593" customWidth="1"/>
    <col min="1028" max="1028" width="4.7109375" style="593" customWidth="1"/>
    <col min="1029" max="1029" width="14.42578125" style="593" customWidth="1"/>
    <col min="1030" max="1030" width="10.140625" style="593" customWidth="1"/>
    <col min="1031" max="1031" width="9.7109375" style="593" customWidth="1"/>
    <col min="1032" max="1032" width="14.42578125" style="593" customWidth="1"/>
    <col min="1033" max="1033" width="8.28515625" style="593" customWidth="1"/>
    <col min="1034" max="1034" width="3" style="593" customWidth="1"/>
    <col min="1035" max="1035" width="13.28515625" style="593" bestFit="1" customWidth="1"/>
    <col min="1036" max="1036" width="11.7109375" style="593" bestFit="1" customWidth="1"/>
    <col min="1037" max="1037" width="11.140625" style="593" bestFit="1" customWidth="1"/>
    <col min="1038" max="1039" width="10" style="593" customWidth="1"/>
    <col min="1040" max="1040" width="11.7109375" style="593" bestFit="1" customWidth="1"/>
    <col min="1041" max="1279" width="10" style="593"/>
    <col min="1280" max="1280" width="2.5703125" style="593" customWidth="1"/>
    <col min="1281" max="1281" width="7.140625" style="593" customWidth="1"/>
    <col min="1282" max="1282" width="21.5703125" style="593" customWidth="1"/>
    <col min="1283" max="1283" width="9.7109375" style="593" customWidth="1"/>
    <col min="1284" max="1284" width="4.7109375" style="593" customWidth="1"/>
    <col min="1285" max="1285" width="14.42578125" style="593" customWidth="1"/>
    <col min="1286" max="1286" width="10.140625" style="593" customWidth="1"/>
    <col min="1287" max="1287" width="9.7109375" style="593" customWidth="1"/>
    <col min="1288" max="1288" width="14.42578125" style="593" customWidth="1"/>
    <col min="1289" max="1289" width="8.28515625" style="593" customWidth="1"/>
    <col min="1290" max="1290" width="3" style="593" customWidth="1"/>
    <col min="1291" max="1291" width="13.28515625" style="593" bestFit="1" customWidth="1"/>
    <col min="1292" max="1292" width="11.7109375" style="593" bestFit="1" customWidth="1"/>
    <col min="1293" max="1293" width="11.140625" style="593" bestFit="1" customWidth="1"/>
    <col min="1294" max="1295" width="10" style="593" customWidth="1"/>
    <col min="1296" max="1296" width="11.7109375" style="593" bestFit="1" customWidth="1"/>
    <col min="1297" max="1535" width="10" style="593"/>
    <col min="1536" max="1536" width="2.5703125" style="593" customWidth="1"/>
    <col min="1537" max="1537" width="7.140625" style="593" customWidth="1"/>
    <col min="1538" max="1538" width="21.5703125" style="593" customWidth="1"/>
    <col min="1539" max="1539" width="9.7109375" style="593" customWidth="1"/>
    <col min="1540" max="1540" width="4.7109375" style="593" customWidth="1"/>
    <col min="1541" max="1541" width="14.42578125" style="593" customWidth="1"/>
    <col min="1542" max="1542" width="10.140625" style="593" customWidth="1"/>
    <col min="1543" max="1543" width="9.7109375" style="593" customWidth="1"/>
    <col min="1544" max="1544" width="14.42578125" style="593" customWidth="1"/>
    <col min="1545" max="1545" width="8.28515625" style="593" customWidth="1"/>
    <col min="1546" max="1546" width="3" style="593" customWidth="1"/>
    <col min="1547" max="1547" width="13.28515625" style="593" bestFit="1" customWidth="1"/>
    <col min="1548" max="1548" width="11.7109375" style="593" bestFit="1" customWidth="1"/>
    <col min="1549" max="1549" width="11.140625" style="593" bestFit="1" customWidth="1"/>
    <col min="1550" max="1551" width="10" style="593" customWidth="1"/>
    <col min="1552" max="1552" width="11.7109375" style="593" bestFit="1" customWidth="1"/>
    <col min="1553" max="1791" width="10" style="593"/>
    <col min="1792" max="1792" width="2.5703125" style="593" customWidth="1"/>
    <col min="1793" max="1793" width="7.140625" style="593" customWidth="1"/>
    <col min="1794" max="1794" width="21.5703125" style="593" customWidth="1"/>
    <col min="1795" max="1795" width="9.7109375" style="593" customWidth="1"/>
    <col min="1796" max="1796" width="4.7109375" style="593" customWidth="1"/>
    <col min="1797" max="1797" width="14.42578125" style="593" customWidth="1"/>
    <col min="1798" max="1798" width="10.140625" style="593" customWidth="1"/>
    <col min="1799" max="1799" width="9.7109375" style="593" customWidth="1"/>
    <col min="1800" max="1800" width="14.42578125" style="593" customWidth="1"/>
    <col min="1801" max="1801" width="8.28515625" style="593" customWidth="1"/>
    <col min="1802" max="1802" width="3" style="593" customWidth="1"/>
    <col min="1803" max="1803" width="13.28515625" style="593" bestFit="1" customWidth="1"/>
    <col min="1804" max="1804" width="11.7109375" style="593" bestFit="1" customWidth="1"/>
    <col min="1805" max="1805" width="11.140625" style="593" bestFit="1" customWidth="1"/>
    <col min="1806" max="1807" width="10" style="593" customWidth="1"/>
    <col min="1808" max="1808" width="11.7109375" style="593" bestFit="1" customWidth="1"/>
    <col min="1809" max="2047" width="10" style="593"/>
    <col min="2048" max="2048" width="2.5703125" style="593" customWidth="1"/>
    <col min="2049" max="2049" width="7.140625" style="593" customWidth="1"/>
    <col min="2050" max="2050" width="21.5703125" style="593" customWidth="1"/>
    <col min="2051" max="2051" width="9.7109375" style="593" customWidth="1"/>
    <col min="2052" max="2052" width="4.7109375" style="593" customWidth="1"/>
    <col min="2053" max="2053" width="14.42578125" style="593" customWidth="1"/>
    <col min="2054" max="2054" width="10.140625" style="593" customWidth="1"/>
    <col min="2055" max="2055" width="9.7109375" style="593" customWidth="1"/>
    <col min="2056" max="2056" width="14.42578125" style="593" customWidth="1"/>
    <col min="2057" max="2057" width="8.28515625" style="593" customWidth="1"/>
    <col min="2058" max="2058" width="3" style="593" customWidth="1"/>
    <col min="2059" max="2059" width="13.28515625" style="593" bestFit="1" customWidth="1"/>
    <col min="2060" max="2060" width="11.7109375" style="593" bestFit="1" customWidth="1"/>
    <col min="2061" max="2061" width="11.140625" style="593" bestFit="1" customWidth="1"/>
    <col min="2062" max="2063" width="10" style="593" customWidth="1"/>
    <col min="2064" max="2064" width="11.7109375" style="593" bestFit="1" customWidth="1"/>
    <col min="2065" max="2303" width="10" style="593"/>
    <col min="2304" max="2304" width="2.5703125" style="593" customWidth="1"/>
    <col min="2305" max="2305" width="7.140625" style="593" customWidth="1"/>
    <col min="2306" max="2306" width="21.5703125" style="593" customWidth="1"/>
    <col min="2307" max="2307" width="9.7109375" style="593" customWidth="1"/>
    <col min="2308" max="2308" width="4.7109375" style="593" customWidth="1"/>
    <col min="2309" max="2309" width="14.42578125" style="593" customWidth="1"/>
    <col min="2310" max="2310" width="10.140625" style="593" customWidth="1"/>
    <col min="2311" max="2311" width="9.7109375" style="593" customWidth="1"/>
    <col min="2312" max="2312" width="14.42578125" style="593" customWidth="1"/>
    <col min="2313" max="2313" width="8.28515625" style="593" customWidth="1"/>
    <col min="2314" max="2314" width="3" style="593" customWidth="1"/>
    <col min="2315" max="2315" width="13.28515625" style="593" bestFit="1" customWidth="1"/>
    <col min="2316" max="2316" width="11.7109375" style="593" bestFit="1" customWidth="1"/>
    <col min="2317" max="2317" width="11.140625" style="593" bestFit="1" customWidth="1"/>
    <col min="2318" max="2319" width="10" style="593" customWidth="1"/>
    <col min="2320" max="2320" width="11.7109375" style="593" bestFit="1" customWidth="1"/>
    <col min="2321" max="2559" width="10" style="593"/>
    <col min="2560" max="2560" width="2.5703125" style="593" customWidth="1"/>
    <col min="2561" max="2561" width="7.140625" style="593" customWidth="1"/>
    <col min="2562" max="2562" width="21.5703125" style="593" customWidth="1"/>
    <col min="2563" max="2563" width="9.7109375" style="593" customWidth="1"/>
    <col min="2564" max="2564" width="4.7109375" style="593" customWidth="1"/>
    <col min="2565" max="2565" width="14.42578125" style="593" customWidth="1"/>
    <col min="2566" max="2566" width="10.140625" style="593" customWidth="1"/>
    <col min="2567" max="2567" width="9.7109375" style="593" customWidth="1"/>
    <col min="2568" max="2568" width="14.42578125" style="593" customWidth="1"/>
    <col min="2569" max="2569" width="8.28515625" style="593" customWidth="1"/>
    <col min="2570" max="2570" width="3" style="593" customWidth="1"/>
    <col min="2571" max="2571" width="13.28515625" style="593" bestFit="1" customWidth="1"/>
    <col min="2572" max="2572" width="11.7109375" style="593" bestFit="1" customWidth="1"/>
    <col min="2573" max="2573" width="11.140625" style="593" bestFit="1" customWidth="1"/>
    <col min="2574" max="2575" width="10" style="593" customWidth="1"/>
    <col min="2576" max="2576" width="11.7109375" style="593" bestFit="1" customWidth="1"/>
    <col min="2577" max="2815" width="10" style="593"/>
    <col min="2816" max="2816" width="2.5703125" style="593" customWidth="1"/>
    <col min="2817" max="2817" width="7.140625" style="593" customWidth="1"/>
    <col min="2818" max="2818" width="21.5703125" style="593" customWidth="1"/>
    <col min="2819" max="2819" width="9.7109375" style="593" customWidth="1"/>
    <col min="2820" max="2820" width="4.7109375" style="593" customWidth="1"/>
    <col min="2821" max="2821" width="14.42578125" style="593" customWidth="1"/>
    <col min="2822" max="2822" width="10.140625" style="593" customWidth="1"/>
    <col min="2823" max="2823" width="9.7109375" style="593" customWidth="1"/>
    <col min="2824" max="2824" width="14.42578125" style="593" customWidth="1"/>
    <col min="2825" max="2825" width="8.28515625" style="593" customWidth="1"/>
    <col min="2826" max="2826" width="3" style="593" customWidth="1"/>
    <col min="2827" max="2827" width="13.28515625" style="593" bestFit="1" customWidth="1"/>
    <col min="2828" max="2828" width="11.7109375" style="593" bestFit="1" customWidth="1"/>
    <col min="2829" max="2829" width="11.140625" style="593" bestFit="1" customWidth="1"/>
    <col min="2830" max="2831" width="10" style="593" customWidth="1"/>
    <col min="2832" max="2832" width="11.7109375" style="593" bestFit="1" customWidth="1"/>
    <col min="2833" max="3071" width="10" style="593"/>
    <col min="3072" max="3072" width="2.5703125" style="593" customWidth="1"/>
    <col min="3073" max="3073" width="7.140625" style="593" customWidth="1"/>
    <col min="3074" max="3074" width="21.5703125" style="593" customWidth="1"/>
    <col min="3075" max="3075" width="9.7109375" style="593" customWidth="1"/>
    <col min="3076" max="3076" width="4.7109375" style="593" customWidth="1"/>
    <col min="3077" max="3077" width="14.42578125" style="593" customWidth="1"/>
    <col min="3078" max="3078" width="10.140625" style="593" customWidth="1"/>
    <col min="3079" max="3079" width="9.7109375" style="593" customWidth="1"/>
    <col min="3080" max="3080" width="14.42578125" style="593" customWidth="1"/>
    <col min="3081" max="3081" width="8.28515625" style="593" customWidth="1"/>
    <col min="3082" max="3082" width="3" style="593" customWidth="1"/>
    <col min="3083" max="3083" width="13.28515625" style="593" bestFit="1" customWidth="1"/>
    <col min="3084" max="3084" width="11.7109375" style="593" bestFit="1" customWidth="1"/>
    <col min="3085" max="3085" width="11.140625" style="593" bestFit="1" customWidth="1"/>
    <col min="3086" max="3087" width="10" style="593" customWidth="1"/>
    <col min="3088" max="3088" width="11.7109375" style="593" bestFit="1" customWidth="1"/>
    <col min="3089" max="3327" width="10" style="593"/>
    <col min="3328" max="3328" width="2.5703125" style="593" customWidth="1"/>
    <col min="3329" max="3329" width="7.140625" style="593" customWidth="1"/>
    <col min="3330" max="3330" width="21.5703125" style="593" customWidth="1"/>
    <col min="3331" max="3331" width="9.7109375" style="593" customWidth="1"/>
    <col min="3332" max="3332" width="4.7109375" style="593" customWidth="1"/>
    <col min="3333" max="3333" width="14.42578125" style="593" customWidth="1"/>
    <col min="3334" max="3334" width="10.140625" style="593" customWidth="1"/>
    <col min="3335" max="3335" width="9.7109375" style="593" customWidth="1"/>
    <col min="3336" max="3336" width="14.42578125" style="593" customWidth="1"/>
    <col min="3337" max="3337" width="8.28515625" style="593" customWidth="1"/>
    <col min="3338" max="3338" width="3" style="593" customWidth="1"/>
    <col min="3339" max="3339" width="13.28515625" style="593" bestFit="1" customWidth="1"/>
    <col min="3340" max="3340" width="11.7109375" style="593" bestFit="1" customWidth="1"/>
    <col min="3341" max="3341" width="11.140625" style="593" bestFit="1" customWidth="1"/>
    <col min="3342" max="3343" width="10" style="593" customWidth="1"/>
    <col min="3344" max="3344" width="11.7109375" style="593" bestFit="1" customWidth="1"/>
    <col min="3345" max="3583" width="10" style="593"/>
    <col min="3584" max="3584" width="2.5703125" style="593" customWidth="1"/>
    <col min="3585" max="3585" width="7.140625" style="593" customWidth="1"/>
    <col min="3586" max="3586" width="21.5703125" style="593" customWidth="1"/>
    <col min="3587" max="3587" width="9.7109375" style="593" customWidth="1"/>
    <col min="3588" max="3588" width="4.7109375" style="593" customWidth="1"/>
    <col min="3589" max="3589" width="14.42578125" style="593" customWidth="1"/>
    <col min="3590" max="3590" width="10.140625" style="593" customWidth="1"/>
    <col min="3591" max="3591" width="9.7109375" style="593" customWidth="1"/>
    <col min="3592" max="3592" width="14.42578125" style="593" customWidth="1"/>
    <col min="3593" max="3593" width="8.28515625" style="593" customWidth="1"/>
    <col min="3594" max="3594" width="3" style="593" customWidth="1"/>
    <col min="3595" max="3595" width="13.28515625" style="593" bestFit="1" customWidth="1"/>
    <col min="3596" max="3596" width="11.7109375" style="593" bestFit="1" customWidth="1"/>
    <col min="3597" max="3597" width="11.140625" style="593" bestFit="1" customWidth="1"/>
    <col min="3598" max="3599" width="10" style="593" customWidth="1"/>
    <col min="3600" max="3600" width="11.7109375" style="593" bestFit="1" customWidth="1"/>
    <col min="3601" max="3839" width="10" style="593"/>
    <col min="3840" max="3840" width="2.5703125" style="593" customWidth="1"/>
    <col min="3841" max="3841" width="7.140625" style="593" customWidth="1"/>
    <col min="3842" max="3842" width="21.5703125" style="593" customWidth="1"/>
    <col min="3843" max="3843" width="9.7109375" style="593" customWidth="1"/>
    <col min="3844" max="3844" width="4.7109375" style="593" customWidth="1"/>
    <col min="3845" max="3845" width="14.42578125" style="593" customWidth="1"/>
    <col min="3846" max="3846" width="10.140625" style="593" customWidth="1"/>
    <col min="3847" max="3847" width="9.7109375" style="593" customWidth="1"/>
    <col min="3848" max="3848" width="14.42578125" style="593" customWidth="1"/>
    <col min="3849" max="3849" width="8.28515625" style="593" customWidth="1"/>
    <col min="3850" max="3850" width="3" style="593" customWidth="1"/>
    <col min="3851" max="3851" width="13.28515625" style="593" bestFit="1" customWidth="1"/>
    <col min="3852" max="3852" width="11.7109375" style="593" bestFit="1" customWidth="1"/>
    <col min="3853" max="3853" width="11.140625" style="593" bestFit="1" customWidth="1"/>
    <col min="3854" max="3855" width="10" style="593" customWidth="1"/>
    <col min="3856" max="3856" width="11.7109375" style="593" bestFit="1" customWidth="1"/>
    <col min="3857" max="4095" width="10" style="593"/>
    <col min="4096" max="4096" width="2.5703125" style="593" customWidth="1"/>
    <col min="4097" max="4097" width="7.140625" style="593" customWidth="1"/>
    <col min="4098" max="4098" width="21.5703125" style="593" customWidth="1"/>
    <col min="4099" max="4099" width="9.7109375" style="593" customWidth="1"/>
    <col min="4100" max="4100" width="4.7109375" style="593" customWidth="1"/>
    <col min="4101" max="4101" width="14.42578125" style="593" customWidth="1"/>
    <col min="4102" max="4102" width="10.140625" style="593" customWidth="1"/>
    <col min="4103" max="4103" width="9.7109375" style="593" customWidth="1"/>
    <col min="4104" max="4104" width="14.42578125" style="593" customWidth="1"/>
    <col min="4105" max="4105" width="8.28515625" style="593" customWidth="1"/>
    <col min="4106" max="4106" width="3" style="593" customWidth="1"/>
    <col min="4107" max="4107" width="13.28515625" style="593" bestFit="1" customWidth="1"/>
    <col min="4108" max="4108" width="11.7109375" style="593" bestFit="1" customWidth="1"/>
    <col min="4109" max="4109" width="11.140625" style="593" bestFit="1" customWidth="1"/>
    <col min="4110" max="4111" width="10" style="593" customWidth="1"/>
    <col min="4112" max="4112" width="11.7109375" style="593" bestFit="1" customWidth="1"/>
    <col min="4113" max="4351" width="10" style="593"/>
    <col min="4352" max="4352" width="2.5703125" style="593" customWidth="1"/>
    <col min="4353" max="4353" width="7.140625" style="593" customWidth="1"/>
    <col min="4354" max="4354" width="21.5703125" style="593" customWidth="1"/>
    <col min="4355" max="4355" width="9.7109375" style="593" customWidth="1"/>
    <col min="4356" max="4356" width="4.7109375" style="593" customWidth="1"/>
    <col min="4357" max="4357" width="14.42578125" style="593" customWidth="1"/>
    <col min="4358" max="4358" width="10.140625" style="593" customWidth="1"/>
    <col min="4359" max="4359" width="9.7109375" style="593" customWidth="1"/>
    <col min="4360" max="4360" width="14.42578125" style="593" customWidth="1"/>
    <col min="4361" max="4361" width="8.28515625" style="593" customWidth="1"/>
    <col min="4362" max="4362" width="3" style="593" customWidth="1"/>
    <col min="4363" max="4363" width="13.28515625" style="593" bestFit="1" customWidth="1"/>
    <col min="4364" max="4364" width="11.7109375" style="593" bestFit="1" customWidth="1"/>
    <col min="4365" max="4365" width="11.140625" style="593" bestFit="1" customWidth="1"/>
    <col min="4366" max="4367" width="10" style="593" customWidth="1"/>
    <col min="4368" max="4368" width="11.7109375" style="593" bestFit="1" customWidth="1"/>
    <col min="4369" max="4607" width="10" style="593"/>
    <col min="4608" max="4608" width="2.5703125" style="593" customWidth="1"/>
    <col min="4609" max="4609" width="7.140625" style="593" customWidth="1"/>
    <col min="4610" max="4610" width="21.5703125" style="593" customWidth="1"/>
    <col min="4611" max="4611" width="9.7109375" style="593" customWidth="1"/>
    <col min="4612" max="4612" width="4.7109375" style="593" customWidth="1"/>
    <col min="4613" max="4613" width="14.42578125" style="593" customWidth="1"/>
    <col min="4614" max="4614" width="10.140625" style="593" customWidth="1"/>
    <col min="4615" max="4615" width="9.7109375" style="593" customWidth="1"/>
    <col min="4616" max="4616" width="14.42578125" style="593" customWidth="1"/>
    <col min="4617" max="4617" width="8.28515625" style="593" customWidth="1"/>
    <col min="4618" max="4618" width="3" style="593" customWidth="1"/>
    <col min="4619" max="4619" width="13.28515625" style="593" bestFit="1" customWidth="1"/>
    <col min="4620" max="4620" width="11.7109375" style="593" bestFit="1" customWidth="1"/>
    <col min="4621" max="4621" width="11.140625" style="593" bestFit="1" customWidth="1"/>
    <col min="4622" max="4623" width="10" style="593" customWidth="1"/>
    <col min="4624" max="4624" width="11.7109375" style="593" bestFit="1" customWidth="1"/>
    <col min="4625" max="4863" width="10" style="593"/>
    <col min="4864" max="4864" width="2.5703125" style="593" customWidth="1"/>
    <col min="4865" max="4865" width="7.140625" style="593" customWidth="1"/>
    <col min="4866" max="4866" width="21.5703125" style="593" customWidth="1"/>
    <col min="4867" max="4867" width="9.7109375" style="593" customWidth="1"/>
    <col min="4868" max="4868" width="4.7109375" style="593" customWidth="1"/>
    <col min="4869" max="4869" width="14.42578125" style="593" customWidth="1"/>
    <col min="4870" max="4870" width="10.140625" style="593" customWidth="1"/>
    <col min="4871" max="4871" width="9.7109375" style="593" customWidth="1"/>
    <col min="4872" max="4872" width="14.42578125" style="593" customWidth="1"/>
    <col min="4873" max="4873" width="8.28515625" style="593" customWidth="1"/>
    <col min="4874" max="4874" width="3" style="593" customWidth="1"/>
    <col min="4875" max="4875" width="13.28515625" style="593" bestFit="1" customWidth="1"/>
    <col min="4876" max="4876" width="11.7109375" style="593" bestFit="1" customWidth="1"/>
    <col min="4877" max="4877" width="11.140625" style="593" bestFit="1" customWidth="1"/>
    <col min="4878" max="4879" width="10" style="593" customWidth="1"/>
    <col min="4880" max="4880" width="11.7109375" style="593" bestFit="1" customWidth="1"/>
    <col min="4881" max="5119" width="10" style="593"/>
    <col min="5120" max="5120" width="2.5703125" style="593" customWidth="1"/>
    <col min="5121" max="5121" width="7.140625" style="593" customWidth="1"/>
    <col min="5122" max="5122" width="21.5703125" style="593" customWidth="1"/>
    <col min="5123" max="5123" width="9.7109375" style="593" customWidth="1"/>
    <col min="5124" max="5124" width="4.7109375" style="593" customWidth="1"/>
    <col min="5125" max="5125" width="14.42578125" style="593" customWidth="1"/>
    <col min="5126" max="5126" width="10.140625" style="593" customWidth="1"/>
    <col min="5127" max="5127" width="9.7109375" style="593" customWidth="1"/>
    <col min="5128" max="5128" width="14.42578125" style="593" customWidth="1"/>
    <col min="5129" max="5129" width="8.28515625" style="593" customWidth="1"/>
    <col min="5130" max="5130" width="3" style="593" customWidth="1"/>
    <col min="5131" max="5131" width="13.28515625" style="593" bestFit="1" customWidth="1"/>
    <col min="5132" max="5132" width="11.7109375" style="593" bestFit="1" customWidth="1"/>
    <col min="5133" max="5133" width="11.140625" style="593" bestFit="1" customWidth="1"/>
    <col min="5134" max="5135" width="10" style="593" customWidth="1"/>
    <col min="5136" max="5136" width="11.7109375" style="593" bestFit="1" customWidth="1"/>
    <col min="5137" max="5375" width="10" style="593"/>
    <col min="5376" max="5376" width="2.5703125" style="593" customWidth="1"/>
    <col min="5377" max="5377" width="7.140625" style="593" customWidth="1"/>
    <col min="5378" max="5378" width="21.5703125" style="593" customWidth="1"/>
    <col min="5379" max="5379" width="9.7109375" style="593" customWidth="1"/>
    <col min="5380" max="5380" width="4.7109375" style="593" customWidth="1"/>
    <col min="5381" max="5381" width="14.42578125" style="593" customWidth="1"/>
    <col min="5382" max="5382" width="10.140625" style="593" customWidth="1"/>
    <col min="5383" max="5383" width="9.7109375" style="593" customWidth="1"/>
    <col min="5384" max="5384" width="14.42578125" style="593" customWidth="1"/>
    <col min="5385" max="5385" width="8.28515625" style="593" customWidth="1"/>
    <col min="5386" max="5386" width="3" style="593" customWidth="1"/>
    <col min="5387" max="5387" width="13.28515625" style="593" bestFit="1" customWidth="1"/>
    <col min="5388" max="5388" width="11.7109375" style="593" bestFit="1" customWidth="1"/>
    <col min="5389" max="5389" width="11.140625" style="593" bestFit="1" customWidth="1"/>
    <col min="5390" max="5391" width="10" style="593" customWidth="1"/>
    <col min="5392" max="5392" width="11.7109375" style="593" bestFit="1" customWidth="1"/>
    <col min="5393" max="5631" width="10" style="593"/>
    <col min="5632" max="5632" width="2.5703125" style="593" customWidth="1"/>
    <col min="5633" max="5633" width="7.140625" style="593" customWidth="1"/>
    <col min="5634" max="5634" width="21.5703125" style="593" customWidth="1"/>
    <col min="5635" max="5635" width="9.7109375" style="593" customWidth="1"/>
    <col min="5636" max="5636" width="4.7109375" style="593" customWidth="1"/>
    <col min="5637" max="5637" width="14.42578125" style="593" customWidth="1"/>
    <col min="5638" max="5638" width="10.140625" style="593" customWidth="1"/>
    <col min="5639" max="5639" width="9.7109375" style="593" customWidth="1"/>
    <col min="5640" max="5640" width="14.42578125" style="593" customWidth="1"/>
    <col min="5641" max="5641" width="8.28515625" style="593" customWidth="1"/>
    <col min="5642" max="5642" width="3" style="593" customWidth="1"/>
    <col min="5643" max="5643" width="13.28515625" style="593" bestFit="1" customWidth="1"/>
    <col min="5644" max="5644" width="11.7109375" style="593" bestFit="1" customWidth="1"/>
    <col min="5645" max="5645" width="11.140625" style="593" bestFit="1" customWidth="1"/>
    <col min="5646" max="5647" width="10" style="593" customWidth="1"/>
    <col min="5648" max="5648" width="11.7109375" style="593" bestFit="1" customWidth="1"/>
    <col min="5649" max="5887" width="10" style="593"/>
    <col min="5888" max="5888" width="2.5703125" style="593" customWidth="1"/>
    <col min="5889" max="5889" width="7.140625" style="593" customWidth="1"/>
    <col min="5890" max="5890" width="21.5703125" style="593" customWidth="1"/>
    <col min="5891" max="5891" width="9.7109375" style="593" customWidth="1"/>
    <col min="5892" max="5892" width="4.7109375" style="593" customWidth="1"/>
    <col min="5893" max="5893" width="14.42578125" style="593" customWidth="1"/>
    <col min="5894" max="5894" width="10.140625" style="593" customWidth="1"/>
    <col min="5895" max="5895" width="9.7109375" style="593" customWidth="1"/>
    <col min="5896" max="5896" width="14.42578125" style="593" customWidth="1"/>
    <col min="5897" max="5897" width="8.28515625" style="593" customWidth="1"/>
    <col min="5898" max="5898" width="3" style="593" customWidth="1"/>
    <col min="5899" max="5899" width="13.28515625" style="593" bestFit="1" customWidth="1"/>
    <col min="5900" max="5900" width="11.7109375" style="593" bestFit="1" customWidth="1"/>
    <col min="5901" max="5901" width="11.140625" style="593" bestFit="1" customWidth="1"/>
    <col min="5902" max="5903" width="10" style="593" customWidth="1"/>
    <col min="5904" max="5904" width="11.7109375" style="593" bestFit="1" customWidth="1"/>
    <col min="5905" max="6143" width="10" style="593"/>
    <col min="6144" max="6144" width="2.5703125" style="593" customWidth="1"/>
    <col min="6145" max="6145" width="7.140625" style="593" customWidth="1"/>
    <col min="6146" max="6146" width="21.5703125" style="593" customWidth="1"/>
    <col min="6147" max="6147" width="9.7109375" style="593" customWidth="1"/>
    <col min="6148" max="6148" width="4.7109375" style="593" customWidth="1"/>
    <col min="6149" max="6149" width="14.42578125" style="593" customWidth="1"/>
    <col min="6150" max="6150" width="10.140625" style="593" customWidth="1"/>
    <col min="6151" max="6151" width="9.7109375" style="593" customWidth="1"/>
    <col min="6152" max="6152" width="14.42578125" style="593" customWidth="1"/>
    <col min="6153" max="6153" width="8.28515625" style="593" customWidth="1"/>
    <col min="6154" max="6154" width="3" style="593" customWidth="1"/>
    <col min="6155" max="6155" width="13.28515625" style="593" bestFit="1" customWidth="1"/>
    <col min="6156" max="6156" width="11.7109375" style="593" bestFit="1" customWidth="1"/>
    <col min="6157" max="6157" width="11.140625" style="593" bestFit="1" customWidth="1"/>
    <col min="6158" max="6159" width="10" style="593" customWidth="1"/>
    <col min="6160" max="6160" width="11.7109375" style="593" bestFit="1" customWidth="1"/>
    <col min="6161" max="6399" width="10" style="593"/>
    <col min="6400" max="6400" width="2.5703125" style="593" customWidth="1"/>
    <col min="6401" max="6401" width="7.140625" style="593" customWidth="1"/>
    <col min="6402" max="6402" width="21.5703125" style="593" customWidth="1"/>
    <col min="6403" max="6403" width="9.7109375" style="593" customWidth="1"/>
    <col min="6404" max="6404" width="4.7109375" style="593" customWidth="1"/>
    <col min="6405" max="6405" width="14.42578125" style="593" customWidth="1"/>
    <col min="6406" max="6406" width="10.140625" style="593" customWidth="1"/>
    <col min="6407" max="6407" width="9.7109375" style="593" customWidth="1"/>
    <col min="6408" max="6408" width="14.42578125" style="593" customWidth="1"/>
    <col min="6409" max="6409" width="8.28515625" style="593" customWidth="1"/>
    <col min="6410" max="6410" width="3" style="593" customWidth="1"/>
    <col min="6411" max="6411" width="13.28515625" style="593" bestFit="1" customWidth="1"/>
    <col min="6412" max="6412" width="11.7109375" style="593" bestFit="1" customWidth="1"/>
    <col min="6413" max="6413" width="11.140625" style="593" bestFit="1" customWidth="1"/>
    <col min="6414" max="6415" width="10" style="593" customWidth="1"/>
    <col min="6416" max="6416" width="11.7109375" style="593" bestFit="1" customWidth="1"/>
    <col min="6417" max="6655" width="10" style="593"/>
    <col min="6656" max="6656" width="2.5703125" style="593" customWidth="1"/>
    <col min="6657" max="6657" width="7.140625" style="593" customWidth="1"/>
    <col min="6658" max="6658" width="21.5703125" style="593" customWidth="1"/>
    <col min="6659" max="6659" width="9.7109375" style="593" customWidth="1"/>
    <col min="6660" max="6660" width="4.7109375" style="593" customWidth="1"/>
    <col min="6661" max="6661" width="14.42578125" style="593" customWidth="1"/>
    <col min="6662" max="6662" width="10.140625" style="593" customWidth="1"/>
    <col min="6663" max="6663" width="9.7109375" style="593" customWidth="1"/>
    <col min="6664" max="6664" width="14.42578125" style="593" customWidth="1"/>
    <col min="6665" max="6665" width="8.28515625" style="593" customWidth="1"/>
    <col min="6666" max="6666" width="3" style="593" customWidth="1"/>
    <col min="6667" max="6667" width="13.28515625" style="593" bestFit="1" customWidth="1"/>
    <col min="6668" max="6668" width="11.7109375" style="593" bestFit="1" customWidth="1"/>
    <col min="6669" max="6669" width="11.140625" style="593" bestFit="1" customWidth="1"/>
    <col min="6670" max="6671" width="10" style="593" customWidth="1"/>
    <col min="6672" max="6672" width="11.7109375" style="593" bestFit="1" customWidth="1"/>
    <col min="6673" max="6911" width="10" style="593"/>
    <col min="6912" max="6912" width="2.5703125" style="593" customWidth="1"/>
    <col min="6913" max="6913" width="7.140625" style="593" customWidth="1"/>
    <col min="6914" max="6914" width="21.5703125" style="593" customWidth="1"/>
    <col min="6915" max="6915" width="9.7109375" style="593" customWidth="1"/>
    <col min="6916" max="6916" width="4.7109375" style="593" customWidth="1"/>
    <col min="6917" max="6917" width="14.42578125" style="593" customWidth="1"/>
    <col min="6918" max="6918" width="10.140625" style="593" customWidth="1"/>
    <col min="6919" max="6919" width="9.7109375" style="593" customWidth="1"/>
    <col min="6920" max="6920" width="14.42578125" style="593" customWidth="1"/>
    <col min="6921" max="6921" width="8.28515625" style="593" customWidth="1"/>
    <col min="6922" max="6922" width="3" style="593" customWidth="1"/>
    <col min="6923" max="6923" width="13.28515625" style="593" bestFit="1" customWidth="1"/>
    <col min="6924" max="6924" width="11.7109375" style="593" bestFit="1" customWidth="1"/>
    <col min="6925" max="6925" width="11.140625" style="593" bestFit="1" customWidth="1"/>
    <col min="6926" max="6927" width="10" style="593" customWidth="1"/>
    <col min="6928" max="6928" width="11.7109375" style="593" bestFit="1" customWidth="1"/>
    <col min="6929" max="7167" width="10" style="593"/>
    <col min="7168" max="7168" width="2.5703125" style="593" customWidth="1"/>
    <col min="7169" max="7169" width="7.140625" style="593" customWidth="1"/>
    <col min="7170" max="7170" width="21.5703125" style="593" customWidth="1"/>
    <col min="7171" max="7171" width="9.7109375" style="593" customWidth="1"/>
    <col min="7172" max="7172" width="4.7109375" style="593" customWidth="1"/>
    <col min="7173" max="7173" width="14.42578125" style="593" customWidth="1"/>
    <col min="7174" max="7174" width="10.140625" style="593" customWidth="1"/>
    <col min="7175" max="7175" width="9.7109375" style="593" customWidth="1"/>
    <col min="7176" max="7176" width="14.42578125" style="593" customWidth="1"/>
    <col min="7177" max="7177" width="8.28515625" style="593" customWidth="1"/>
    <col min="7178" max="7178" width="3" style="593" customWidth="1"/>
    <col min="7179" max="7179" width="13.28515625" style="593" bestFit="1" customWidth="1"/>
    <col min="7180" max="7180" width="11.7109375" style="593" bestFit="1" customWidth="1"/>
    <col min="7181" max="7181" width="11.140625" style="593" bestFit="1" customWidth="1"/>
    <col min="7182" max="7183" width="10" style="593" customWidth="1"/>
    <col min="7184" max="7184" width="11.7109375" style="593" bestFit="1" customWidth="1"/>
    <col min="7185" max="7423" width="10" style="593"/>
    <col min="7424" max="7424" width="2.5703125" style="593" customWidth="1"/>
    <col min="7425" max="7425" width="7.140625" style="593" customWidth="1"/>
    <col min="7426" max="7426" width="21.5703125" style="593" customWidth="1"/>
    <col min="7427" max="7427" width="9.7109375" style="593" customWidth="1"/>
    <col min="7428" max="7428" width="4.7109375" style="593" customWidth="1"/>
    <col min="7429" max="7429" width="14.42578125" style="593" customWidth="1"/>
    <col min="7430" max="7430" width="10.140625" style="593" customWidth="1"/>
    <col min="7431" max="7431" width="9.7109375" style="593" customWidth="1"/>
    <col min="7432" max="7432" width="14.42578125" style="593" customWidth="1"/>
    <col min="7433" max="7433" width="8.28515625" style="593" customWidth="1"/>
    <col min="7434" max="7434" width="3" style="593" customWidth="1"/>
    <col min="7435" max="7435" width="13.28515625" style="593" bestFit="1" customWidth="1"/>
    <col min="7436" max="7436" width="11.7109375" style="593" bestFit="1" customWidth="1"/>
    <col min="7437" max="7437" width="11.140625" style="593" bestFit="1" customWidth="1"/>
    <col min="7438" max="7439" width="10" style="593" customWidth="1"/>
    <col min="7440" max="7440" width="11.7109375" style="593" bestFit="1" customWidth="1"/>
    <col min="7441" max="7679" width="10" style="593"/>
    <col min="7680" max="7680" width="2.5703125" style="593" customWidth="1"/>
    <col min="7681" max="7681" width="7.140625" style="593" customWidth="1"/>
    <col min="7682" max="7682" width="21.5703125" style="593" customWidth="1"/>
    <col min="7683" max="7683" width="9.7109375" style="593" customWidth="1"/>
    <col min="7684" max="7684" width="4.7109375" style="593" customWidth="1"/>
    <col min="7685" max="7685" width="14.42578125" style="593" customWidth="1"/>
    <col min="7686" max="7686" width="10.140625" style="593" customWidth="1"/>
    <col min="7687" max="7687" width="9.7109375" style="593" customWidth="1"/>
    <col min="7688" max="7688" width="14.42578125" style="593" customWidth="1"/>
    <col min="7689" max="7689" width="8.28515625" style="593" customWidth="1"/>
    <col min="7690" max="7690" width="3" style="593" customWidth="1"/>
    <col min="7691" max="7691" width="13.28515625" style="593" bestFit="1" customWidth="1"/>
    <col min="7692" max="7692" width="11.7109375" style="593" bestFit="1" customWidth="1"/>
    <col min="7693" max="7693" width="11.140625" style="593" bestFit="1" customWidth="1"/>
    <col min="7694" max="7695" width="10" style="593" customWidth="1"/>
    <col min="7696" max="7696" width="11.7109375" style="593" bestFit="1" customWidth="1"/>
    <col min="7697" max="7935" width="10" style="593"/>
    <col min="7936" max="7936" width="2.5703125" style="593" customWidth="1"/>
    <col min="7937" max="7937" width="7.140625" style="593" customWidth="1"/>
    <col min="7938" max="7938" width="21.5703125" style="593" customWidth="1"/>
    <col min="7939" max="7939" width="9.7109375" style="593" customWidth="1"/>
    <col min="7940" max="7940" width="4.7109375" style="593" customWidth="1"/>
    <col min="7941" max="7941" width="14.42578125" style="593" customWidth="1"/>
    <col min="7942" max="7942" width="10.140625" style="593" customWidth="1"/>
    <col min="7943" max="7943" width="9.7109375" style="593" customWidth="1"/>
    <col min="7944" max="7944" width="14.42578125" style="593" customWidth="1"/>
    <col min="7945" max="7945" width="8.28515625" style="593" customWidth="1"/>
    <col min="7946" max="7946" width="3" style="593" customWidth="1"/>
    <col min="7947" max="7947" width="13.28515625" style="593" bestFit="1" customWidth="1"/>
    <col min="7948" max="7948" width="11.7109375" style="593" bestFit="1" customWidth="1"/>
    <col min="7949" max="7949" width="11.140625" style="593" bestFit="1" customWidth="1"/>
    <col min="7950" max="7951" width="10" style="593" customWidth="1"/>
    <col min="7952" max="7952" width="11.7109375" style="593" bestFit="1" customWidth="1"/>
    <col min="7953" max="8191" width="10" style="593"/>
    <col min="8192" max="8192" width="2.5703125" style="593" customWidth="1"/>
    <col min="8193" max="8193" width="7.140625" style="593" customWidth="1"/>
    <col min="8194" max="8194" width="21.5703125" style="593" customWidth="1"/>
    <col min="8195" max="8195" width="9.7109375" style="593" customWidth="1"/>
    <col min="8196" max="8196" width="4.7109375" style="593" customWidth="1"/>
    <col min="8197" max="8197" width="14.42578125" style="593" customWidth="1"/>
    <col min="8198" max="8198" width="10.140625" style="593" customWidth="1"/>
    <col min="8199" max="8199" width="9.7109375" style="593" customWidth="1"/>
    <col min="8200" max="8200" width="14.42578125" style="593" customWidth="1"/>
    <col min="8201" max="8201" width="8.28515625" style="593" customWidth="1"/>
    <col min="8202" max="8202" width="3" style="593" customWidth="1"/>
    <col min="8203" max="8203" width="13.28515625" style="593" bestFit="1" customWidth="1"/>
    <col min="8204" max="8204" width="11.7109375" style="593" bestFit="1" customWidth="1"/>
    <col min="8205" max="8205" width="11.140625" style="593" bestFit="1" customWidth="1"/>
    <col min="8206" max="8207" width="10" style="593" customWidth="1"/>
    <col min="8208" max="8208" width="11.7109375" style="593" bestFit="1" customWidth="1"/>
    <col min="8209" max="8447" width="10" style="593"/>
    <col min="8448" max="8448" width="2.5703125" style="593" customWidth="1"/>
    <col min="8449" max="8449" width="7.140625" style="593" customWidth="1"/>
    <col min="8450" max="8450" width="21.5703125" style="593" customWidth="1"/>
    <col min="8451" max="8451" width="9.7109375" style="593" customWidth="1"/>
    <col min="8452" max="8452" width="4.7109375" style="593" customWidth="1"/>
    <col min="8453" max="8453" width="14.42578125" style="593" customWidth="1"/>
    <col min="8454" max="8454" width="10.140625" style="593" customWidth="1"/>
    <col min="8455" max="8455" width="9.7109375" style="593" customWidth="1"/>
    <col min="8456" max="8456" width="14.42578125" style="593" customWidth="1"/>
    <col min="8457" max="8457" width="8.28515625" style="593" customWidth="1"/>
    <col min="8458" max="8458" width="3" style="593" customWidth="1"/>
    <col min="8459" max="8459" width="13.28515625" style="593" bestFit="1" customWidth="1"/>
    <col min="8460" max="8460" width="11.7109375" style="593" bestFit="1" customWidth="1"/>
    <col min="8461" max="8461" width="11.140625" style="593" bestFit="1" customWidth="1"/>
    <col min="8462" max="8463" width="10" style="593" customWidth="1"/>
    <col min="8464" max="8464" width="11.7109375" style="593" bestFit="1" customWidth="1"/>
    <col min="8465" max="8703" width="10" style="593"/>
    <col min="8704" max="8704" width="2.5703125" style="593" customWidth="1"/>
    <col min="8705" max="8705" width="7.140625" style="593" customWidth="1"/>
    <col min="8706" max="8706" width="21.5703125" style="593" customWidth="1"/>
    <col min="8707" max="8707" width="9.7109375" style="593" customWidth="1"/>
    <col min="8708" max="8708" width="4.7109375" style="593" customWidth="1"/>
    <col min="8709" max="8709" width="14.42578125" style="593" customWidth="1"/>
    <col min="8710" max="8710" width="10.140625" style="593" customWidth="1"/>
    <col min="8711" max="8711" width="9.7109375" style="593" customWidth="1"/>
    <col min="8712" max="8712" width="14.42578125" style="593" customWidth="1"/>
    <col min="8713" max="8713" width="8.28515625" style="593" customWidth="1"/>
    <col min="8714" max="8714" width="3" style="593" customWidth="1"/>
    <col min="8715" max="8715" width="13.28515625" style="593" bestFit="1" customWidth="1"/>
    <col min="8716" max="8716" width="11.7109375" style="593" bestFit="1" customWidth="1"/>
    <col min="8717" max="8717" width="11.140625" style="593" bestFit="1" customWidth="1"/>
    <col min="8718" max="8719" width="10" style="593" customWidth="1"/>
    <col min="8720" max="8720" width="11.7109375" style="593" bestFit="1" customWidth="1"/>
    <col min="8721" max="8959" width="10" style="593"/>
    <col min="8960" max="8960" width="2.5703125" style="593" customWidth="1"/>
    <col min="8961" max="8961" width="7.140625" style="593" customWidth="1"/>
    <col min="8962" max="8962" width="21.5703125" style="593" customWidth="1"/>
    <col min="8963" max="8963" width="9.7109375" style="593" customWidth="1"/>
    <col min="8964" max="8964" width="4.7109375" style="593" customWidth="1"/>
    <col min="8965" max="8965" width="14.42578125" style="593" customWidth="1"/>
    <col min="8966" max="8966" width="10.140625" style="593" customWidth="1"/>
    <col min="8967" max="8967" width="9.7109375" style="593" customWidth="1"/>
    <col min="8968" max="8968" width="14.42578125" style="593" customWidth="1"/>
    <col min="8969" max="8969" width="8.28515625" style="593" customWidth="1"/>
    <col min="8970" max="8970" width="3" style="593" customWidth="1"/>
    <col min="8971" max="8971" width="13.28515625" style="593" bestFit="1" customWidth="1"/>
    <col min="8972" max="8972" width="11.7109375" style="593" bestFit="1" customWidth="1"/>
    <col min="8973" max="8973" width="11.140625" style="593" bestFit="1" customWidth="1"/>
    <col min="8974" max="8975" width="10" style="593" customWidth="1"/>
    <col min="8976" max="8976" width="11.7109375" style="593" bestFit="1" customWidth="1"/>
    <col min="8977" max="9215" width="10" style="593"/>
    <col min="9216" max="9216" width="2.5703125" style="593" customWidth="1"/>
    <col min="9217" max="9217" width="7.140625" style="593" customWidth="1"/>
    <col min="9218" max="9218" width="21.5703125" style="593" customWidth="1"/>
    <col min="9219" max="9219" width="9.7109375" style="593" customWidth="1"/>
    <col min="9220" max="9220" width="4.7109375" style="593" customWidth="1"/>
    <col min="9221" max="9221" width="14.42578125" style="593" customWidth="1"/>
    <col min="9222" max="9222" width="10.140625" style="593" customWidth="1"/>
    <col min="9223" max="9223" width="9.7109375" style="593" customWidth="1"/>
    <col min="9224" max="9224" width="14.42578125" style="593" customWidth="1"/>
    <col min="9225" max="9225" width="8.28515625" style="593" customWidth="1"/>
    <col min="9226" max="9226" width="3" style="593" customWidth="1"/>
    <col min="9227" max="9227" width="13.28515625" style="593" bestFit="1" customWidth="1"/>
    <col min="9228" max="9228" width="11.7109375" style="593" bestFit="1" customWidth="1"/>
    <col min="9229" max="9229" width="11.140625" style="593" bestFit="1" customWidth="1"/>
    <col min="9230" max="9231" width="10" style="593" customWidth="1"/>
    <col min="9232" max="9232" width="11.7109375" style="593" bestFit="1" customWidth="1"/>
    <col min="9233" max="9471" width="10" style="593"/>
    <col min="9472" max="9472" width="2.5703125" style="593" customWidth="1"/>
    <col min="9473" max="9473" width="7.140625" style="593" customWidth="1"/>
    <col min="9474" max="9474" width="21.5703125" style="593" customWidth="1"/>
    <col min="9475" max="9475" width="9.7109375" style="593" customWidth="1"/>
    <col min="9476" max="9476" width="4.7109375" style="593" customWidth="1"/>
    <col min="9477" max="9477" width="14.42578125" style="593" customWidth="1"/>
    <col min="9478" max="9478" width="10.140625" style="593" customWidth="1"/>
    <col min="9479" max="9479" width="9.7109375" style="593" customWidth="1"/>
    <col min="9480" max="9480" width="14.42578125" style="593" customWidth="1"/>
    <col min="9481" max="9481" width="8.28515625" style="593" customWidth="1"/>
    <col min="9482" max="9482" width="3" style="593" customWidth="1"/>
    <col min="9483" max="9483" width="13.28515625" style="593" bestFit="1" customWidth="1"/>
    <col min="9484" max="9484" width="11.7109375" style="593" bestFit="1" customWidth="1"/>
    <col min="9485" max="9485" width="11.140625" style="593" bestFit="1" customWidth="1"/>
    <col min="9486" max="9487" width="10" style="593" customWidth="1"/>
    <col min="9488" max="9488" width="11.7109375" style="593" bestFit="1" customWidth="1"/>
    <col min="9489" max="9727" width="10" style="593"/>
    <col min="9728" max="9728" width="2.5703125" style="593" customWidth="1"/>
    <col min="9729" max="9729" width="7.140625" style="593" customWidth="1"/>
    <col min="9730" max="9730" width="21.5703125" style="593" customWidth="1"/>
    <col min="9731" max="9731" width="9.7109375" style="593" customWidth="1"/>
    <col min="9732" max="9732" width="4.7109375" style="593" customWidth="1"/>
    <col min="9733" max="9733" width="14.42578125" style="593" customWidth="1"/>
    <col min="9734" max="9734" width="10.140625" style="593" customWidth="1"/>
    <col min="9735" max="9735" width="9.7109375" style="593" customWidth="1"/>
    <col min="9736" max="9736" width="14.42578125" style="593" customWidth="1"/>
    <col min="9737" max="9737" width="8.28515625" style="593" customWidth="1"/>
    <col min="9738" max="9738" width="3" style="593" customWidth="1"/>
    <col min="9739" max="9739" width="13.28515625" style="593" bestFit="1" customWidth="1"/>
    <col min="9740" max="9740" width="11.7109375" style="593" bestFit="1" customWidth="1"/>
    <col min="9741" max="9741" width="11.140625" style="593" bestFit="1" customWidth="1"/>
    <col min="9742" max="9743" width="10" style="593" customWidth="1"/>
    <col min="9744" max="9744" width="11.7109375" style="593" bestFit="1" customWidth="1"/>
    <col min="9745" max="9983" width="10" style="593"/>
    <col min="9984" max="9984" width="2.5703125" style="593" customWidth="1"/>
    <col min="9985" max="9985" width="7.140625" style="593" customWidth="1"/>
    <col min="9986" max="9986" width="21.5703125" style="593" customWidth="1"/>
    <col min="9987" max="9987" width="9.7109375" style="593" customWidth="1"/>
    <col min="9988" max="9988" width="4.7109375" style="593" customWidth="1"/>
    <col min="9989" max="9989" width="14.42578125" style="593" customWidth="1"/>
    <col min="9990" max="9990" width="10.140625" style="593" customWidth="1"/>
    <col min="9991" max="9991" width="9.7109375" style="593" customWidth="1"/>
    <col min="9992" max="9992" width="14.42578125" style="593" customWidth="1"/>
    <col min="9993" max="9993" width="8.28515625" style="593" customWidth="1"/>
    <col min="9994" max="9994" width="3" style="593" customWidth="1"/>
    <col min="9995" max="9995" width="13.28515625" style="593" bestFit="1" customWidth="1"/>
    <col min="9996" max="9996" width="11.7109375" style="593" bestFit="1" customWidth="1"/>
    <col min="9997" max="9997" width="11.140625" style="593" bestFit="1" customWidth="1"/>
    <col min="9998" max="9999" width="10" style="593" customWidth="1"/>
    <col min="10000" max="10000" width="11.7109375" style="593" bestFit="1" customWidth="1"/>
    <col min="10001" max="10239" width="10" style="593"/>
    <col min="10240" max="10240" width="2.5703125" style="593" customWidth="1"/>
    <col min="10241" max="10241" width="7.140625" style="593" customWidth="1"/>
    <col min="10242" max="10242" width="21.5703125" style="593" customWidth="1"/>
    <col min="10243" max="10243" width="9.7109375" style="593" customWidth="1"/>
    <col min="10244" max="10244" width="4.7109375" style="593" customWidth="1"/>
    <col min="10245" max="10245" width="14.42578125" style="593" customWidth="1"/>
    <col min="10246" max="10246" width="10.140625" style="593" customWidth="1"/>
    <col min="10247" max="10247" width="9.7109375" style="593" customWidth="1"/>
    <col min="10248" max="10248" width="14.42578125" style="593" customWidth="1"/>
    <col min="10249" max="10249" width="8.28515625" style="593" customWidth="1"/>
    <col min="10250" max="10250" width="3" style="593" customWidth="1"/>
    <col min="10251" max="10251" width="13.28515625" style="593" bestFit="1" customWidth="1"/>
    <col min="10252" max="10252" width="11.7109375" style="593" bestFit="1" customWidth="1"/>
    <col min="10253" max="10253" width="11.140625" style="593" bestFit="1" customWidth="1"/>
    <col min="10254" max="10255" width="10" style="593" customWidth="1"/>
    <col min="10256" max="10256" width="11.7109375" style="593" bestFit="1" customWidth="1"/>
    <col min="10257" max="10495" width="10" style="593"/>
    <col min="10496" max="10496" width="2.5703125" style="593" customWidth="1"/>
    <col min="10497" max="10497" width="7.140625" style="593" customWidth="1"/>
    <col min="10498" max="10498" width="21.5703125" style="593" customWidth="1"/>
    <col min="10499" max="10499" width="9.7109375" style="593" customWidth="1"/>
    <col min="10500" max="10500" width="4.7109375" style="593" customWidth="1"/>
    <col min="10501" max="10501" width="14.42578125" style="593" customWidth="1"/>
    <col min="10502" max="10502" width="10.140625" style="593" customWidth="1"/>
    <col min="10503" max="10503" width="9.7109375" style="593" customWidth="1"/>
    <col min="10504" max="10504" width="14.42578125" style="593" customWidth="1"/>
    <col min="10505" max="10505" width="8.28515625" style="593" customWidth="1"/>
    <col min="10506" max="10506" width="3" style="593" customWidth="1"/>
    <col min="10507" max="10507" width="13.28515625" style="593" bestFit="1" customWidth="1"/>
    <col min="10508" max="10508" width="11.7109375" style="593" bestFit="1" customWidth="1"/>
    <col min="10509" max="10509" width="11.140625" style="593" bestFit="1" customWidth="1"/>
    <col min="10510" max="10511" width="10" style="593" customWidth="1"/>
    <col min="10512" max="10512" width="11.7109375" style="593" bestFit="1" customWidth="1"/>
    <col min="10513" max="10751" width="10" style="593"/>
    <col min="10752" max="10752" width="2.5703125" style="593" customWidth="1"/>
    <col min="10753" max="10753" width="7.140625" style="593" customWidth="1"/>
    <col min="10754" max="10754" width="21.5703125" style="593" customWidth="1"/>
    <col min="10755" max="10755" width="9.7109375" style="593" customWidth="1"/>
    <col min="10756" max="10756" width="4.7109375" style="593" customWidth="1"/>
    <col min="10757" max="10757" width="14.42578125" style="593" customWidth="1"/>
    <col min="10758" max="10758" width="10.140625" style="593" customWidth="1"/>
    <col min="10759" max="10759" width="9.7109375" style="593" customWidth="1"/>
    <col min="10760" max="10760" width="14.42578125" style="593" customWidth="1"/>
    <col min="10761" max="10761" width="8.28515625" style="593" customWidth="1"/>
    <col min="10762" max="10762" width="3" style="593" customWidth="1"/>
    <col min="10763" max="10763" width="13.28515625" style="593" bestFit="1" customWidth="1"/>
    <col min="10764" max="10764" width="11.7109375" style="593" bestFit="1" customWidth="1"/>
    <col min="10765" max="10765" width="11.140625" style="593" bestFit="1" customWidth="1"/>
    <col min="10766" max="10767" width="10" style="593" customWidth="1"/>
    <col min="10768" max="10768" width="11.7109375" style="593" bestFit="1" customWidth="1"/>
    <col min="10769" max="11007" width="10" style="593"/>
    <col min="11008" max="11008" width="2.5703125" style="593" customWidth="1"/>
    <col min="11009" max="11009" width="7.140625" style="593" customWidth="1"/>
    <col min="11010" max="11010" width="21.5703125" style="593" customWidth="1"/>
    <col min="11011" max="11011" width="9.7109375" style="593" customWidth="1"/>
    <col min="11012" max="11012" width="4.7109375" style="593" customWidth="1"/>
    <col min="11013" max="11013" width="14.42578125" style="593" customWidth="1"/>
    <col min="11014" max="11014" width="10.140625" style="593" customWidth="1"/>
    <col min="11015" max="11015" width="9.7109375" style="593" customWidth="1"/>
    <col min="11016" max="11016" width="14.42578125" style="593" customWidth="1"/>
    <col min="11017" max="11017" width="8.28515625" style="593" customWidth="1"/>
    <col min="11018" max="11018" width="3" style="593" customWidth="1"/>
    <col min="11019" max="11019" width="13.28515625" style="593" bestFit="1" customWidth="1"/>
    <col min="11020" max="11020" width="11.7109375" style="593" bestFit="1" customWidth="1"/>
    <col min="11021" max="11021" width="11.140625" style="593" bestFit="1" customWidth="1"/>
    <col min="11022" max="11023" width="10" style="593" customWidth="1"/>
    <col min="11024" max="11024" width="11.7109375" style="593" bestFit="1" customWidth="1"/>
    <col min="11025" max="11263" width="10" style="593"/>
    <col min="11264" max="11264" width="2.5703125" style="593" customWidth="1"/>
    <col min="11265" max="11265" width="7.140625" style="593" customWidth="1"/>
    <col min="11266" max="11266" width="21.5703125" style="593" customWidth="1"/>
    <col min="11267" max="11267" width="9.7109375" style="593" customWidth="1"/>
    <col min="11268" max="11268" width="4.7109375" style="593" customWidth="1"/>
    <col min="11269" max="11269" width="14.42578125" style="593" customWidth="1"/>
    <col min="11270" max="11270" width="10.140625" style="593" customWidth="1"/>
    <col min="11271" max="11271" width="9.7109375" style="593" customWidth="1"/>
    <col min="11272" max="11272" width="14.42578125" style="593" customWidth="1"/>
    <col min="11273" max="11273" width="8.28515625" style="593" customWidth="1"/>
    <col min="11274" max="11274" width="3" style="593" customWidth="1"/>
    <col min="11275" max="11275" width="13.28515625" style="593" bestFit="1" customWidth="1"/>
    <col min="11276" max="11276" width="11.7109375" style="593" bestFit="1" customWidth="1"/>
    <col min="11277" max="11277" width="11.140625" style="593" bestFit="1" customWidth="1"/>
    <col min="11278" max="11279" width="10" style="593" customWidth="1"/>
    <col min="11280" max="11280" width="11.7109375" style="593" bestFit="1" customWidth="1"/>
    <col min="11281" max="11519" width="10" style="593"/>
    <col min="11520" max="11520" width="2.5703125" style="593" customWidth="1"/>
    <col min="11521" max="11521" width="7.140625" style="593" customWidth="1"/>
    <col min="11522" max="11522" width="21.5703125" style="593" customWidth="1"/>
    <col min="11523" max="11523" width="9.7109375" style="593" customWidth="1"/>
    <col min="11524" max="11524" width="4.7109375" style="593" customWidth="1"/>
    <col min="11525" max="11525" width="14.42578125" style="593" customWidth="1"/>
    <col min="11526" max="11526" width="10.140625" style="593" customWidth="1"/>
    <col min="11527" max="11527" width="9.7109375" style="593" customWidth="1"/>
    <col min="11528" max="11528" width="14.42578125" style="593" customWidth="1"/>
    <col min="11529" max="11529" width="8.28515625" style="593" customWidth="1"/>
    <col min="11530" max="11530" width="3" style="593" customWidth="1"/>
    <col min="11531" max="11531" width="13.28515625" style="593" bestFit="1" customWidth="1"/>
    <col min="11532" max="11532" width="11.7109375" style="593" bestFit="1" customWidth="1"/>
    <col min="11533" max="11533" width="11.140625" style="593" bestFit="1" customWidth="1"/>
    <col min="11534" max="11535" width="10" style="593" customWidth="1"/>
    <col min="11536" max="11536" width="11.7109375" style="593" bestFit="1" customWidth="1"/>
    <col min="11537" max="11775" width="10" style="593"/>
    <col min="11776" max="11776" width="2.5703125" style="593" customWidth="1"/>
    <col min="11777" max="11777" width="7.140625" style="593" customWidth="1"/>
    <col min="11778" max="11778" width="21.5703125" style="593" customWidth="1"/>
    <col min="11779" max="11779" width="9.7109375" style="593" customWidth="1"/>
    <col min="11780" max="11780" width="4.7109375" style="593" customWidth="1"/>
    <col min="11781" max="11781" width="14.42578125" style="593" customWidth="1"/>
    <col min="11782" max="11782" width="10.140625" style="593" customWidth="1"/>
    <col min="11783" max="11783" width="9.7109375" style="593" customWidth="1"/>
    <col min="11784" max="11784" width="14.42578125" style="593" customWidth="1"/>
    <col min="11785" max="11785" width="8.28515625" style="593" customWidth="1"/>
    <col min="11786" max="11786" width="3" style="593" customWidth="1"/>
    <col min="11787" max="11787" width="13.28515625" style="593" bestFit="1" customWidth="1"/>
    <col min="11788" max="11788" width="11.7109375" style="593" bestFit="1" customWidth="1"/>
    <col min="11789" max="11789" width="11.140625" style="593" bestFit="1" customWidth="1"/>
    <col min="11790" max="11791" width="10" style="593" customWidth="1"/>
    <col min="11792" max="11792" width="11.7109375" style="593" bestFit="1" customWidth="1"/>
    <col min="11793" max="12031" width="10" style="593"/>
    <col min="12032" max="12032" width="2.5703125" style="593" customWidth="1"/>
    <col min="12033" max="12033" width="7.140625" style="593" customWidth="1"/>
    <col min="12034" max="12034" width="21.5703125" style="593" customWidth="1"/>
    <col min="12035" max="12035" width="9.7109375" style="593" customWidth="1"/>
    <col min="12036" max="12036" width="4.7109375" style="593" customWidth="1"/>
    <col min="12037" max="12037" width="14.42578125" style="593" customWidth="1"/>
    <col min="12038" max="12038" width="10.140625" style="593" customWidth="1"/>
    <col min="12039" max="12039" width="9.7109375" style="593" customWidth="1"/>
    <col min="12040" max="12040" width="14.42578125" style="593" customWidth="1"/>
    <col min="12041" max="12041" width="8.28515625" style="593" customWidth="1"/>
    <col min="12042" max="12042" width="3" style="593" customWidth="1"/>
    <col min="12043" max="12043" width="13.28515625" style="593" bestFit="1" customWidth="1"/>
    <col min="12044" max="12044" width="11.7109375" style="593" bestFit="1" customWidth="1"/>
    <col min="12045" max="12045" width="11.140625" style="593" bestFit="1" customWidth="1"/>
    <col min="12046" max="12047" width="10" style="593" customWidth="1"/>
    <col min="12048" max="12048" width="11.7109375" style="593" bestFit="1" customWidth="1"/>
    <col min="12049" max="12287" width="10" style="593"/>
    <col min="12288" max="12288" width="2.5703125" style="593" customWidth="1"/>
    <col min="12289" max="12289" width="7.140625" style="593" customWidth="1"/>
    <col min="12290" max="12290" width="21.5703125" style="593" customWidth="1"/>
    <col min="12291" max="12291" width="9.7109375" style="593" customWidth="1"/>
    <col min="12292" max="12292" width="4.7109375" style="593" customWidth="1"/>
    <col min="12293" max="12293" width="14.42578125" style="593" customWidth="1"/>
    <col min="12294" max="12294" width="10.140625" style="593" customWidth="1"/>
    <col min="12295" max="12295" width="9.7109375" style="593" customWidth="1"/>
    <col min="12296" max="12296" width="14.42578125" style="593" customWidth="1"/>
    <col min="12297" max="12297" width="8.28515625" style="593" customWidth="1"/>
    <col min="12298" max="12298" width="3" style="593" customWidth="1"/>
    <col min="12299" max="12299" width="13.28515625" style="593" bestFit="1" customWidth="1"/>
    <col min="12300" max="12300" width="11.7109375" style="593" bestFit="1" customWidth="1"/>
    <col min="12301" max="12301" width="11.140625" style="593" bestFit="1" customWidth="1"/>
    <col min="12302" max="12303" width="10" style="593" customWidth="1"/>
    <col min="12304" max="12304" width="11.7109375" style="593" bestFit="1" customWidth="1"/>
    <col min="12305" max="12543" width="10" style="593"/>
    <col min="12544" max="12544" width="2.5703125" style="593" customWidth="1"/>
    <col min="12545" max="12545" width="7.140625" style="593" customWidth="1"/>
    <col min="12546" max="12546" width="21.5703125" style="593" customWidth="1"/>
    <col min="12547" max="12547" width="9.7109375" style="593" customWidth="1"/>
    <col min="12548" max="12548" width="4.7109375" style="593" customWidth="1"/>
    <col min="12549" max="12549" width="14.42578125" style="593" customWidth="1"/>
    <col min="12550" max="12550" width="10.140625" style="593" customWidth="1"/>
    <col min="12551" max="12551" width="9.7109375" style="593" customWidth="1"/>
    <col min="12552" max="12552" width="14.42578125" style="593" customWidth="1"/>
    <col min="12553" max="12553" width="8.28515625" style="593" customWidth="1"/>
    <col min="12554" max="12554" width="3" style="593" customWidth="1"/>
    <col min="12555" max="12555" width="13.28515625" style="593" bestFit="1" customWidth="1"/>
    <col min="12556" max="12556" width="11.7109375" style="593" bestFit="1" customWidth="1"/>
    <col min="12557" max="12557" width="11.140625" style="593" bestFit="1" customWidth="1"/>
    <col min="12558" max="12559" width="10" style="593" customWidth="1"/>
    <col min="12560" max="12560" width="11.7109375" style="593" bestFit="1" customWidth="1"/>
    <col min="12561" max="12799" width="10" style="593"/>
    <col min="12800" max="12800" width="2.5703125" style="593" customWidth="1"/>
    <col min="12801" max="12801" width="7.140625" style="593" customWidth="1"/>
    <col min="12802" max="12802" width="21.5703125" style="593" customWidth="1"/>
    <col min="12803" max="12803" width="9.7109375" style="593" customWidth="1"/>
    <col min="12804" max="12804" width="4.7109375" style="593" customWidth="1"/>
    <col min="12805" max="12805" width="14.42578125" style="593" customWidth="1"/>
    <col min="12806" max="12806" width="10.140625" style="593" customWidth="1"/>
    <col min="12807" max="12807" width="9.7109375" style="593" customWidth="1"/>
    <col min="12808" max="12808" width="14.42578125" style="593" customWidth="1"/>
    <col min="12809" max="12809" width="8.28515625" style="593" customWidth="1"/>
    <col min="12810" max="12810" width="3" style="593" customWidth="1"/>
    <col min="12811" max="12811" width="13.28515625" style="593" bestFit="1" customWidth="1"/>
    <col min="12812" max="12812" width="11.7109375" style="593" bestFit="1" customWidth="1"/>
    <col min="12813" max="12813" width="11.140625" style="593" bestFit="1" customWidth="1"/>
    <col min="12814" max="12815" width="10" style="593" customWidth="1"/>
    <col min="12816" max="12816" width="11.7109375" style="593" bestFit="1" customWidth="1"/>
    <col min="12817" max="13055" width="10" style="593"/>
    <col min="13056" max="13056" width="2.5703125" style="593" customWidth="1"/>
    <col min="13057" max="13057" width="7.140625" style="593" customWidth="1"/>
    <col min="13058" max="13058" width="21.5703125" style="593" customWidth="1"/>
    <col min="13059" max="13059" width="9.7109375" style="593" customWidth="1"/>
    <col min="13060" max="13060" width="4.7109375" style="593" customWidth="1"/>
    <col min="13061" max="13061" width="14.42578125" style="593" customWidth="1"/>
    <col min="13062" max="13062" width="10.140625" style="593" customWidth="1"/>
    <col min="13063" max="13063" width="9.7109375" style="593" customWidth="1"/>
    <col min="13064" max="13064" width="14.42578125" style="593" customWidth="1"/>
    <col min="13065" max="13065" width="8.28515625" style="593" customWidth="1"/>
    <col min="13066" max="13066" width="3" style="593" customWidth="1"/>
    <col min="13067" max="13067" width="13.28515625" style="593" bestFit="1" customWidth="1"/>
    <col min="13068" max="13068" width="11.7109375" style="593" bestFit="1" customWidth="1"/>
    <col min="13069" max="13069" width="11.140625" style="593" bestFit="1" customWidth="1"/>
    <col min="13070" max="13071" width="10" style="593" customWidth="1"/>
    <col min="13072" max="13072" width="11.7109375" style="593" bestFit="1" customWidth="1"/>
    <col min="13073" max="13311" width="10" style="593"/>
    <col min="13312" max="13312" width="2.5703125" style="593" customWidth="1"/>
    <col min="13313" max="13313" width="7.140625" style="593" customWidth="1"/>
    <col min="13314" max="13314" width="21.5703125" style="593" customWidth="1"/>
    <col min="13315" max="13315" width="9.7109375" style="593" customWidth="1"/>
    <col min="13316" max="13316" width="4.7109375" style="593" customWidth="1"/>
    <col min="13317" max="13317" width="14.42578125" style="593" customWidth="1"/>
    <col min="13318" max="13318" width="10.140625" style="593" customWidth="1"/>
    <col min="13319" max="13319" width="9.7109375" style="593" customWidth="1"/>
    <col min="13320" max="13320" width="14.42578125" style="593" customWidth="1"/>
    <col min="13321" max="13321" width="8.28515625" style="593" customWidth="1"/>
    <col min="13322" max="13322" width="3" style="593" customWidth="1"/>
    <col min="13323" max="13323" width="13.28515625" style="593" bestFit="1" customWidth="1"/>
    <col min="13324" max="13324" width="11.7109375" style="593" bestFit="1" customWidth="1"/>
    <col min="13325" max="13325" width="11.140625" style="593" bestFit="1" customWidth="1"/>
    <col min="13326" max="13327" width="10" style="593" customWidth="1"/>
    <col min="13328" max="13328" width="11.7109375" style="593" bestFit="1" customWidth="1"/>
    <col min="13329" max="13567" width="10" style="593"/>
    <col min="13568" max="13568" width="2.5703125" style="593" customWidth="1"/>
    <col min="13569" max="13569" width="7.140625" style="593" customWidth="1"/>
    <col min="13570" max="13570" width="21.5703125" style="593" customWidth="1"/>
    <col min="13571" max="13571" width="9.7109375" style="593" customWidth="1"/>
    <col min="13572" max="13572" width="4.7109375" style="593" customWidth="1"/>
    <col min="13573" max="13573" width="14.42578125" style="593" customWidth="1"/>
    <col min="13574" max="13574" width="10.140625" style="593" customWidth="1"/>
    <col min="13575" max="13575" width="9.7109375" style="593" customWidth="1"/>
    <col min="13576" max="13576" width="14.42578125" style="593" customWidth="1"/>
    <col min="13577" max="13577" width="8.28515625" style="593" customWidth="1"/>
    <col min="13578" max="13578" width="3" style="593" customWidth="1"/>
    <col min="13579" max="13579" width="13.28515625" style="593" bestFit="1" customWidth="1"/>
    <col min="13580" max="13580" width="11.7109375" style="593" bestFit="1" customWidth="1"/>
    <col min="13581" max="13581" width="11.140625" style="593" bestFit="1" customWidth="1"/>
    <col min="13582" max="13583" width="10" style="593" customWidth="1"/>
    <col min="13584" max="13584" width="11.7109375" style="593" bestFit="1" customWidth="1"/>
    <col min="13585" max="13823" width="10" style="593"/>
    <col min="13824" max="13824" width="2.5703125" style="593" customWidth="1"/>
    <col min="13825" max="13825" width="7.140625" style="593" customWidth="1"/>
    <col min="13826" max="13826" width="21.5703125" style="593" customWidth="1"/>
    <col min="13827" max="13827" width="9.7109375" style="593" customWidth="1"/>
    <col min="13828" max="13828" width="4.7109375" style="593" customWidth="1"/>
    <col min="13829" max="13829" width="14.42578125" style="593" customWidth="1"/>
    <col min="13830" max="13830" width="10.140625" style="593" customWidth="1"/>
    <col min="13831" max="13831" width="9.7109375" style="593" customWidth="1"/>
    <col min="13832" max="13832" width="14.42578125" style="593" customWidth="1"/>
    <col min="13833" max="13833" width="8.28515625" style="593" customWidth="1"/>
    <col min="13834" max="13834" width="3" style="593" customWidth="1"/>
    <col min="13835" max="13835" width="13.28515625" style="593" bestFit="1" customWidth="1"/>
    <col min="13836" max="13836" width="11.7109375" style="593" bestFit="1" customWidth="1"/>
    <col min="13837" max="13837" width="11.140625" style="593" bestFit="1" customWidth="1"/>
    <col min="13838" max="13839" width="10" style="593" customWidth="1"/>
    <col min="13840" max="13840" width="11.7109375" style="593" bestFit="1" customWidth="1"/>
    <col min="13841" max="14079" width="10" style="593"/>
    <col min="14080" max="14080" width="2.5703125" style="593" customWidth="1"/>
    <col min="14081" max="14081" width="7.140625" style="593" customWidth="1"/>
    <col min="14082" max="14082" width="21.5703125" style="593" customWidth="1"/>
    <col min="14083" max="14083" width="9.7109375" style="593" customWidth="1"/>
    <col min="14084" max="14084" width="4.7109375" style="593" customWidth="1"/>
    <col min="14085" max="14085" width="14.42578125" style="593" customWidth="1"/>
    <col min="14086" max="14086" width="10.140625" style="593" customWidth="1"/>
    <col min="14087" max="14087" width="9.7109375" style="593" customWidth="1"/>
    <col min="14088" max="14088" width="14.42578125" style="593" customWidth="1"/>
    <col min="14089" max="14089" width="8.28515625" style="593" customWidth="1"/>
    <col min="14090" max="14090" width="3" style="593" customWidth="1"/>
    <col min="14091" max="14091" width="13.28515625" style="593" bestFit="1" customWidth="1"/>
    <col min="14092" max="14092" width="11.7109375" style="593" bestFit="1" customWidth="1"/>
    <col min="14093" max="14093" width="11.140625" style="593" bestFit="1" customWidth="1"/>
    <col min="14094" max="14095" width="10" style="593" customWidth="1"/>
    <col min="14096" max="14096" width="11.7109375" style="593" bestFit="1" customWidth="1"/>
    <col min="14097" max="14335" width="10" style="593"/>
    <col min="14336" max="14336" width="2.5703125" style="593" customWidth="1"/>
    <col min="14337" max="14337" width="7.140625" style="593" customWidth="1"/>
    <col min="14338" max="14338" width="21.5703125" style="593" customWidth="1"/>
    <col min="14339" max="14339" width="9.7109375" style="593" customWidth="1"/>
    <col min="14340" max="14340" width="4.7109375" style="593" customWidth="1"/>
    <col min="14341" max="14341" width="14.42578125" style="593" customWidth="1"/>
    <col min="14342" max="14342" width="10.140625" style="593" customWidth="1"/>
    <col min="14343" max="14343" width="9.7109375" style="593" customWidth="1"/>
    <col min="14344" max="14344" width="14.42578125" style="593" customWidth="1"/>
    <col min="14345" max="14345" width="8.28515625" style="593" customWidth="1"/>
    <col min="14346" max="14346" width="3" style="593" customWidth="1"/>
    <col min="14347" max="14347" width="13.28515625" style="593" bestFit="1" customWidth="1"/>
    <col min="14348" max="14348" width="11.7109375" style="593" bestFit="1" customWidth="1"/>
    <col min="14349" max="14349" width="11.140625" style="593" bestFit="1" customWidth="1"/>
    <col min="14350" max="14351" width="10" style="593" customWidth="1"/>
    <col min="14352" max="14352" width="11.7109375" style="593" bestFit="1" customWidth="1"/>
    <col min="14353" max="14591" width="10" style="593"/>
    <col min="14592" max="14592" width="2.5703125" style="593" customWidth="1"/>
    <col min="14593" max="14593" width="7.140625" style="593" customWidth="1"/>
    <col min="14594" max="14594" width="21.5703125" style="593" customWidth="1"/>
    <col min="14595" max="14595" width="9.7109375" style="593" customWidth="1"/>
    <col min="14596" max="14596" width="4.7109375" style="593" customWidth="1"/>
    <col min="14597" max="14597" width="14.42578125" style="593" customWidth="1"/>
    <col min="14598" max="14598" width="10.140625" style="593" customWidth="1"/>
    <col min="14599" max="14599" width="9.7109375" style="593" customWidth="1"/>
    <col min="14600" max="14600" width="14.42578125" style="593" customWidth="1"/>
    <col min="14601" max="14601" width="8.28515625" style="593" customWidth="1"/>
    <col min="14602" max="14602" width="3" style="593" customWidth="1"/>
    <col min="14603" max="14603" width="13.28515625" style="593" bestFit="1" customWidth="1"/>
    <col min="14604" max="14604" width="11.7109375" style="593" bestFit="1" customWidth="1"/>
    <col min="14605" max="14605" width="11.140625" style="593" bestFit="1" customWidth="1"/>
    <col min="14606" max="14607" width="10" style="593" customWidth="1"/>
    <col min="14608" max="14608" width="11.7109375" style="593" bestFit="1" customWidth="1"/>
    <col min="14609" max="14847" width="10" style="593"/>
    <col min="14848" max="14848" width="2.5703125" style="593" customWidth="1"/>
    <col min="14849" max="14849" width="7.140625" style="593" customWidth="1"/>
    <col min="14850" max="14850" width="21.5703125" style="593" customWidth="1"/>
    <col min="14851" max="14851" width="9.7109375" style="593" customWidth="1"/>
    <col min="14852" max="14852" width="4.7109375" style="593" customWidth="1"/>
    <col min="14853" max="14853" width="14.42578125" style="593" customWidth="1"/>
    <col min="14854" max="14854" width="10.140625" style="593" customWidth="1"/>
    <col min="14855" max="14855" width="9.7109375" style="593" customWidth="1"/>
    <col min="14856" max="14856" width="14.42578125" style="593" customWidth="1"/>
    <col min="14857" max="14857" width="8.28515625" style="593" customWidth="1"/>
    <col min="14858" max="14858" width="3" style="593" customWidth="1"/>
    <col min="14859" max="14859" width="13.28515625" style="593" bestFit="1" customWidth="1"/>
    <col min="14860" max="14860" width="11.7109375" style="593" bestFit="1" customWidth="1"/>
    <col min="14861" max="14861" width="11.140625" style="593" bestFit="1" customWidth="1"/>
    <col min="14862" max="14863" width="10" style="593" customWidth="1"/>
    <col min="14864" max="14864" width="11.7109375" style="593" bestFit="1" customWidth="1"/>
    <col min="14865" max="15103" width="10" style="593"/>
    <col min="15104" max="15104" width="2.5703125" style="593" customWidth="1"/>
    <col min="15105" max="15105" width="7.140625" style="593" customWidth="1"/>
    <col min="15106" max="15106" width="21.5703125" style="593" customWidth="1"/>
    <col min="15107" max="15107" width="9.7109375" style="593" customWidth="1"/>
    <col min="15108" max="15108" width="4.7109375" style="593" customWidth="1"/>
    <col min="15109" max="15109" width="14.42578125" style="593" customWidth="1"/>
    <col min="15110" max="15110" width="10.140625" style="593" customWidth="1"/>
    <col min="15111" max="15111" width="9.7109375" style="593" customWidth="1"/>
    <col min="15112" max="15112" width="14.42578125" style="593" customWidth="1"/>
    <col min="15113" max="15113" width="8.28515625" style="593" customWidth="1"/>
    <col min="15114" max="15114" width="3" style="593" customWidth="1"/>
    <col min="15115" max="15115" width="13.28515625" style="593" bestFit="1" customWidth="1"/>
    <col min="15116" max="15116" width="11.7109375" style="593" bestFit="1" customWidth="1"/>
    <col min="15117" max="15117" width="11.140625" style="593" bestFit="1" customWidth="1"/>
    <col min="15118" max="15119" width="10" style="593" customWidth="1"/>
    <col min="15120" max="15120" width="11.7109375" style="593" bestFit="1" customWidth="1"/>
    <col min="15121" max="15359" width="10" style="593"/>
    <col min="15360" max="15360" width="2.5703125" style="593" customWidth="1"/>
    <col min="15361" max="15361" width="7.140625" style="593" customWidth="1"/>
    <col min="15362" max="15362" width="21.5703125" style="593" customWidth="1"/>
    <col min="15363" max="15363" width="9.7109375" style="593" customWidth="1"/>
    <col min="15364" max="15364" width="4.7109375" style="593" customWidth="1"/>
    <col min="15365" max="15365" width="14.42578125" style="593" customWidth="1"/>
    <col min="15366" max="15366" width="10.140625" style="593" customWidth="1"/>
    <col min="15367" max="15367" width="9.7109375" style="593" customWidth="1"/>
    <col min="15368" max="15368" width="14.42578125" style="593" customWidth="1"/>
    <col min="15369" max="15369" width="8.28515625" style="593" customWidth="1"/>
    <col min="15370" max="15370" width="3" style="593" customWidth="1"/>
    <col min="15371" max="15371" width="13.28515625" style="593" bestFit="1" customWidth="1"/>
    <col min="15372" max="15372" width="11.7109375" style="593" bestFit="1" customWidth="1"/>
    <col min="15373" max="15373" width="11.140625" style="593" bestFit="1" customWidth="1"/>
    <col min="15374" max="15375" width="10" style="593" customWidth="1"/>
    <col min="15376" max="15376" width="11.7109375" style="593" bestFit="1" customWidth="1"/>
    <col min="15377" max="15615" width="10" style="593"/>
    <col min="15616" max="15616" width="2.5703125" style="593" customWidth="1"/>
    <col min="15617" max="15617" width="7.140625" style="593" customWidth="1"/>
    <col min="15618" max="15618" width="21.5703125" style="593" customWidth="1"/>
    <col min="15619" max="15619" width="9.7109375" style="593" customWidth="1"/>
    <col min="15620" max="15620" width="4.7109375" style="593" customWidth="1"/>
    <col min="15621" max="15621" width="14.42578125" style="593" customWidth="1"/>
    <col min="15622" max="15622" width="10.140625" style="593" customWidth="1"/>
    <col min="15623" max="15623" width="9.7109375" style="593" customWidth="1"/>
    <col min="15624" max="15624" width="14.42578125" style="593" customWidth="1"/>
    <col min="15625" max="15625" width="8.28515625" style="593" customWidth="1"/>
    <col min="15626" max="15626" width="3" style="593" customWidth="1"/>
    <col min="15627" max="15627" width="13.28515625" style="593" bestFit="1" customWidth="1"/>
    <col min="15628" max="15628" width="11.7109375" style="593" bestFit="1" customWidth="1"/>
    <col min="15629" max="15629" width="11.140625" style="593" bestFit="1" customWidth="1"/>
    <col min="15630" max="15631" width="10" style="593" customWidth="1"/>
    <col min="15632" max="15632" width="11.7109375" style="593" bestFit="1" customWidth="1"/>
    <col min="15633" max="15871" width="10" style="593"/>
    <col min="15872" max="15872" width="2.5703125" style="593" customWidth="1"/>
    <col min="15873" max="15873" width="7.140625" style="593" customWidth="1"/>
    <col min="15874" max="15874" width="21.5703125" style="593" customWidth="1"/>
    <col min="15875" max="15875" width="9.7109375" style="593" customWidth="1"/>
    <col min="15876" max="15876" width="4.7109375" style="593" customWidth="1"/>
    <col min="15877" max="15877" width="14.42578125" style="593" customWidth="1"/>
    <col min="15878" max="15878" width="10.140625" style="593" customWidth="1"/>
    <col min="15879" max="15879" width="9.7109375" style="593" customWidth="1"/>
    <col min="15880" max="15880" width="14.42578125" style="593" customWidth="1"/>
    <col min="15881" max="15881" width="8.28515625" style="593" customWidth="1"/>
    <col min="15882" max="15882" width="3" style="593" customWidth="1"/>
    <col min="15883" max="15883" width="13.28515625" style="593" bestFit="1" customWidth="1"/>
    <col min="15884" max="15884" width="11.7109375" style="593" bestFit="1" customWidth="1"/>
    <col min="15885" max="15885" width="11.140625" style="593" bestFit="1" customWidth="1"/>
    <col min="15886" max="15887" width="10" style="593" customWidth="1"/>
    <col min="15888" max="15888" width="11.7109375" style="593" bestFit="1" customWidth="1"/>
    <col min="15889" max="16127" width="10" style="593"/>
    <col min="16128" max="16128" width="2.5703125" style="593" customWidth="1"/>
    <col min="16129" max="16129" width="7.140625" style="593" customWidth="1"/>
    <col min="16130" max="16130" width="21.5703125" style="593" customWidth="1"/>
    <col min="16131" max="16131" width="9.7109375" style="593" customWidth="1"/>
    <col min="16132" max="16132" width="4.7109375" style="593" customWidth="1"/>
    <col min="16133" max="16133" width="14.42578125" style="593" customWidth="1"/>
    <col min="16134" max="16134" width="10.140625" style="593" customWidth="1"/>
    <col min="16135" max="16135" width="9.7109375" style="593" customWidth="1"/>
    <col min="16136" max="16136" width="14.42578125" style="593" customWidth="1"/>
    <col min="16137" max="16137" width="8.28515625" style="593" customWidth="1"/>
    <col min="16138" max="16138" width="3" style="593" customWidth="1"/>
    <col min="16139" max="16139" width="13.28515625" style="593" bestFit="1" customWidth="1"/>
    <col min="16140" max="16140" width="11.7109375" style="593" bestFit="1" customWidth="1"/>
    <col min="16141" max="16141" width="11.140625" style="593" bestFit="1" customWidth="1"/>
    <col min="16142" max="16143" width="10" style="593" customWidth="1"/>
    <col min="16144" max="16144" width="11.7109375" style="593" bestFit="1" customWidth="1"/>
    <col min="16145" max="16384" width="10" style="593"/>
  </cols>
  <sheetData>
    <row r="1" spans="1:19" ht="14.1" customHeight="1">
      <c r="B1" s="594" t="s">
        <v>52</v>
      </c>
      <c r="F1" s="595"/>
      <c r="G1" s="595"/>
      <c r="H1" s="595"/>
      <c r="I1" s="595"/>
    </row>
    <row r="2" spans="1:19" ht="14.1" customHeight="1">
      <c r="B2" s="594" t="s">
        <v>225</v>
      </c>
      <c r="F2" s="595"/>
      <c r="G2" s="595"/>
      <c r="H2" s="595"/>
      <c r="I2" s="595"/>
    </row>
    <row r="3" spans="1:19" ht="14.1" customHeight="1">
      <c r="B3" s="594" t="s">
        <v>603</v>
      </c>
      <c r="F3" s="595"/>
      <c r="G3" s="595"/>
      <c r="H3" s="595"/>
      <c r="I3" s="595"/>
      <c r="K3" s="596"/>
      <c r="L3" s="596"/>
      <c r="M3" s="596"/>
      <c r="N3" s="596"/>
      <c r="O3" s="596"/>
      <c r="P3" s="596"/>
      <c r="Q3" s="596"/>
      <c r="R3" s="596"/>
      <c r="S3" s="596"/>
    </row>
    <row r="4" spans="1:19" ht="14.1" customHeight="1">
      <c r="B4" s="594"/>
      <c r="F4" s="595"/>
      <c r="G4" s="595"/>
      <c r="H4" s="595"/>
      <c r="I4" s="595"/>
      <c r="K4" s="596"/>
      <c r="L4" s="596"/>
      <c r="M4" s="596"/>
      <c r="N4" s="596"/>
      <c r="O4" s="596"/>
      <c r="P4" s="596"/>
      <c r="Q4" s="596"/>
      <c r="R4" s="596"/>
      <c r="S4" s="596"/>
    </row>
    <row r="5" spans="1:19" ht="14.1" customHeight="1">
      <c r="F5" s="595"/>
      <c r="G5" s="595"/>
      <c r="H5" s="595"/>
      <c r="I5" s="595"/>
      <c r="K5" s="596"/>
      <c r="L5" s="596"/>
      <c r="M5" s="596"/>
      <c r="N5" s="596"/>
      <c r="O5" s="596"/>
      <c r="P5" s="596"/>
      <c r="Q5" s="596"/>
      <c r="R5" s="596"/>
      <c r="S5" s="596"/>
    </row>
    <row r="6" spans="1:19" ht="14.1" customHeight="1">
      <c r="F6" s="595"/>
      <c r="G6" s="595"/>
      <c r="H6" s="595"/>
      <c r="I6" s="595"/>
      <c r="K6" s="596"/>
      <c r="L6" s="596"/>
      <c r="M6" s="596"/>
      <c r="N6" s="596"/>
      <c r="O6" s="596"/>
      <c r="P6" s="596"/>
      <c r="Q6" s="596"/>
      <c r="R6" s="596"/>
      <c r="S6" s="596"/>
    </row>
    <row r="7" spans="1:19" ht="14.1" customHeight="1">
      <c r="F7" s="595" t="s">
        <v>405</v>
      </c>
      <c r="G7" s="595"/>
      <c r="H7" s="595"/>
      <c r="I7" s="595" t="s">
        <v>439</v>
      </c>
      <c r="K7" s="596"/>
      <c r="L7" s="596"/>
      <c r="M7" s="596"/>
      <c r="N7" s="596"/>
      <c r="O7" s="596"/>
      <c r="P7" s="596"/>
      <c r="Q7" s="596"/>
      <c r="R7" s="596"/>
      <c r="S7" s="596"/>
    </row>
    <row r="8" spans="1:19" ht="14.1" customHeight="1">
      <c r="D8" s="597" t="s">
        <v>407</v>
      </c>
      <c r="E8" s="597" t="s">
        <v>408</v>
      </c>
      <c r="F8" s="597" t="s">
        <v>409</v>
      </c>
      <c r="G8" s="597" t="s">
        <v>410</v>
      </c>
      <c r="H8" s="597" t="s">
        <v>411</v>
      </c>
      <c r="I8" s="597" t="s">
        <v>412</v>
      </c>
      <c r="K8" s="598"/>
      <c r="L8" s="598"/>
      <c r="M8" s="598"/>
      <c r="N8" s="598"/>
      <c r="O8" s="598"/>
      <c r="P8" s="598"/>
      <c r="Q8" s="598"/>
      <c r="R8" s="598"/>
      <c r="S8" s="598"/>
    </row>
    <row r="9" spans="1:19" ht="14.1" customHeight="1">
      <c r="A9" s="596"/>
      <c r="B9" s="599" t="s">
        <v>440</v>
      </c>
      <c r="C9" s="596"/>
      <c r="D9" s="600"/>
      <c r="E9" s="600"/>
      <c r="F9" s="600"/>
      <c r="G9" s="600"/>
      <c r="H9" s="600"/>
      <c r="I9" s="601"/>
      <c r="K9" s="596"/>
      <c r="L9" s="596"/>
      <c r="M9" s="596"/>
      <c r="N9" s="596"/>
      <c r="O9" s="596"/>
      <c r="P9" s="596"/>
      <c r="Q9" s="596"/>
      <c r="R9" s="596"/>
      <c r="S9" s="596"/>
    </row>
    <row r="10" spans="1:19" ht="14.1" customHeight="1">
      <c r="A10" s="596"/>
      <c r="B10" s="602" t="s">
        <v>441</v>
      </c>
      <c r="C10" s="603"/>
      <c r="D10" s="604">
        <v>456</v>
      </c>
      <c r="E10" s="604" t="s">
        <v>416</v>
      </c>
      <c r="F10" s="605">
        <f>-'[6]Summary WCA'!T108+'[6]Summary WCA'!H108</f>
        <v>200609.00000000006</v>
      </c>
      <c r="G10" s="605" t="s">
        <v>442</v>
      </c>
      <c r="H10" s="606">
        <v>5.9771875757014495E-2</v>
      </c>
      <c r="I10" s="607">
        <f>+F10*H10</f>
        <v>11990.776223738925</v>
      </c>
      <c r="J10" s="608"/>
      <c r="K10" s="468"/>
      <c r="L10" s="609"/>
      <c r="M10" s="609"/>
      <c r="N10" s="610"/>
      <c r="O10" s="609"/>
      <c r="P10" s="609"/>
      <c r="Q10" s="609"/>
      <c r="R10" s="609"/>
      <c r="S10" s="609"/>
    </row>
    <row r="11" spans="1:19" ht="14.1" customHeight="1">
      <c r="A11" s="596"/>
      <c r="B11" s="602" t="s">
        <v>441</v>
      </c>
      <c r="C11" s="603"/>
      <c r="D11" s="604">
        <v>456</v>
      </c>
      <c r="E11" s="604" t="s">
        <v>443</v>
      </c>
      <c r="F11" s="605">
        <f>-'[6]Summary WCA'!T110+'[6]Summary WCA'!H110</f>
        <v>-477466.15999999992</v>
      </c>
      <c r="G11" s="605" t="s">
        <v>442</v>
      </c>
      <c r="H11" s="606">
        <v>5.9771875757014495E-2</v>
      </c>
      <c r="I11" s="607">
        <f>+F11*H11</f>
        <v>-28539.047993698798</v>
      </c>
      <c r="J11" s="608"/>
      <c r="K11" s="468"/>
      <c r="L11" s="609"/>
      <c r="M11" s="609"/>
      <c r="N11" s="610"/>
      <c r="O11" s="609"/>
      <c r="P11" s="609"/>
      <c r="Q11" s="609"/>
      <c r="R11" s="609"/>
      <c r="S11" s="609"/>
    </row>
    <row r="12" spans="1:19" ht="14.1" customHeight="1">
      <c r="A12" s="596"/>
      <c r="B12" s="602" t="s">
        <v>441</v>
      </c>
      <c r="C12" s="603"/>
      <c r="D12" s="604">
        <v>456</v>
      </c>
      <c r="E12" s="604" t="s">
        <v>443</v>
      </c>
      <c r="F12" s="605">
        <f>-'[6]Summary WCA'!H110</f>
        <v>2090000</v>
      </c>
      <c r="G12" s="605" t="s">
        <v>444</v>
      </c>
      <c r="H12" s="606">
        <v>5.9373608744666351E-2</v>
      </c>
      <c r="I12" s="607">
        <f>+F12*H12</f>
        <v>124090.84227635268</v>
      </c>
      <c r="J12" s="608"/>
      <c r="K12" s="468"/>
      <c r="L12" s="609"/>
      <c r="M12" s="609"/>
      <c r="N12" s="610"/>
      <c r="O12" s="609"/>
      <c r="P12" s="609"/>
      <c r="Q12" s="609"/>
      <c r="R12" s="609"/>
      <c r="S12" s="609"/>
    </row>
    <row r="13" spans="1:19" ht="14.1" customHeight="1">
      <c r="A13" s="596"/>
      <c r="B13" s="611" t="s">
        <v>445</v>
      </c>
      <c r="C13" s="612"/>
      <c r="D13" s="613"/>
      <c r="E13" s="604"/>
      <c r="F13" s="614">
        <v>12580370</v>
      </c>
      <c r="G13" s="605"/>
      <c r="H13" s="615">
        <f>H11</f>
        <v>5.9771875757014495E-2</v>
      </c>
      <c r="I13" s="616">
        <f>H13*F13</f>
        <v>751952.31261727249</v>
      </c>
      <c r="J13" s="608"/>
      <c r="K13" s="468"/>
      <c r="L13" s="609"/>
      <c r="M13" s="609"/>
      <c r="N13" s="610"/>
      <c r="O13" s="609"/>
      <c r="P13" s="609"/>
      <c r="Q13" s="609"/>
      <c r="R13" s="609"/>
      <c r="S13" s="609"/>
    </row>
    <row r="14" spans="1:19" ht="14.1" customHeight="1">
      <c r="A14" s="596"/>
      <c r="B14" s="602"/>
      <c r="C14" s="603"/>
      <c r="D14" s="604"/>
      <c r="E14" s="604"/>
      <c r="F14" s="605"/>
      <c r="G14" s="605"/>
      <c r="H14" s="617"/>
      <c r="I14" s="607"/>
      <c r="J14" s="608"/>
      <c r="K14" s="468"/>
      <c r="L14" s="609"/>
      <c r="M14" s="609"/>
      <c r="N14" s="610"/>
      <c r="O14" s="609"/>
      <c r="P14" s="609"/>
      <c r="Q14" s="609"/>
      <c r="R14" s="609"/>
      <c r="S14" s="609"/>
    </row>
    <row r="15" spans="1:19" ht="14.1" customHeight="1" thickBot="1">
      <c r="A15" s="596"/>
      <c r="B15" s="593" t="s">
        <v>446</v>
      </c>
      <c r="F15" s="618">
        <f>SUM(F10:F14)</f>
        <v>14393512.84</v>
      </c>
      <c r="I15" s="618">
        <f>SUM(I10:I14)</f>
        <v>859494.88312366535</v>
      </c>
      <c r="K15" s="468"/>
      <c r="L15" s="609"/>
      <c r="M15" s="609"/>
      <c r="N15" s="610"/>
      <c r="O15" s="609"/>
      <c r="P15" s="609"/>
      <c r="Q15" s="609"/>
      <c r="R15" s="609"/>
      <c r="S15" s="609"/>
    </row>
    <row r="16" spans="1:19" ht="14.1" customHeight="1" thickTop="1">
      <c r="A16" s="596"/>
      <c r="K16" s="468"/>
      <c r="L16" s="609"/>
      <c r="M16" s="609"/>
      <c r="N16" s="610"/>
      <c r="O16" s="609"/>
      <c r="P16" s="609"/>
      <c r="Q16" s="609"/>
      <c r="R16" s="609"/>
      <c r="S16" s="609"/>
    </row>
    <row r="17" spans="1:19" ht="14.1" customHeight="1">
      <c r="A17" s="596"/>
      <c r="B17" s="619"/>
      <c r="C17" s="603"/>
      <c r="D17" s="604"/>
      <c r="E17" s="604"/>
      <c r="F17" s="605"/>
      <c r="G17" s="605"/>
      <c r="H17" s="620"/>
      <c r="I17" s="621"/>
      <c r="J17" s="608"/>
      <c r="K17" s="468"/>
      <c r="L17" s="609"/>
      <c r="M17" s="609"/>
      <c r="N17" s="610"/>
      <c r="O17" s="609"/>
      <c r="P17" s="609"/>
      <c r="Q17" s="609"/>
      <c r="R17" s="609"/>
      <c r="S17" s="609"/>
    </row>
    <row r="18" spans="1:19" ht="14.1" customHeight="1">
      <c r="A18" s="596"/>
      <c r="B18" s="619" t="s">
        <v>447</v>
      </c>
      <c r="C18" s="603"/>
      <c r="D18" s="604">
        <v>566</v>
      </c>
      <c r="E18" s="604" t="s">
        <v>416</v>
      </c>
      <c r="F18" s="605">
        <f>-'[6]3.6.3'!B41</f>
        <v>-800274.82000000007</v>
      </c>
      <c r="G18" s="605" t="s">
        <v>429</v>
      </c>
      <c r="H18" s="615">
        <v>8.1413745949899169E-2</v>
      </c>
      <c r="I18" s="607">
        <f>+F18*H18</f>
        <v>-65153.370885581295</v>
      </c>
      <c r="J18" s="608"/>
      <c r="K18" s="622"/>
      <c r="L18" s="623"/>
      <c r="M18" s="623"/>
      <c r="N18" s="624"/>
      <c r="O18" s="623"/>
      <c r="P18" s="623"/>
      <c r="Q18" s="623"/>
      <c r="R18" s="623"/>
      <c r="S18" s="625"/>
    </row>
    <row r="19" spans="1:19" ht="14.1" customHeight="1">
      <c r="A19" s="596"/>
      <c r="B19" s="619"/>
      <c r="C19" s="603"/>
      <c r="D19" s="604"/>
      <c r="E19" s="604"/>
      <c r="F19" s="605"/>
      <c r="G19" s="605"/>
      <c r="H19" s="620"/>
      <c r="I19" s="605"/>
      <c r="J19" s="608"/>
      <c r="K19" s="626"/>
      <c r="L19" s="625"/>
      <c r="M19" s="625"/>
      <c r="N19" s="610"/>
      <c r="O19" s="625"/>
      <c r="P19" s="625"/>
      <c r="Q19" s="625"/>
      <c r="R19" s="625"/>
      <c r="S19" s="625"/>
    </row>
    <row r="20" spans="1:19" ht="14.1" customHeight="1">
      <c r="A20" s="596"/>
      <c r="B20" s="603"/>
      <c r="C20" s="603"/>
      <c r="D20" s="604"/>
      <c r="E20" s="604"/>
      <c r="F20" s="605"/>
      <c r="G20" s="605"/>
      <c r="H20" s="620"/>
      <c r="I20" s="605"/>
      <c r="J20" s="608"/>
      <c r="K20" s="627"/>
      <c r="L20" s="628"/>
      <c r="M20" s="628"/>
      <c r="N20" s="629"/>
      <c r="O20" s="628"/>
      <c r="P20" s="628"/>
      <c r="Q20" s="628"/>
      <c r="R20" s="628"/>
      <c r="S20" s="630"/>
    </row>
    <row r="21" spans="1:19" ht="14.1" customHeight="1">
      <c r="A21" s="596"/>
      <c r="B21" s="603"/>
      <c r="C21" s="603"/>
      <c r="D21" s="604"/>
      <c r="E21" s="604"/>
      <c r="F21" s="605"/>
      <c r="G21" s="605"/>
      <c r="H21" s="620"/>
      <c r="I21" s="605"/>
      <c r="J21" s="608"/>
      <c r="K21" s="627"/>
      <c r="L21" s="628"/>
      <c r="M21" s="628"/>
      <c r="N21" s="629"/>
      <c r="O21" s="628"/>
      <c r="P21" s="628"/>
      <c r="Q21" s="628"/>
      <c r="R21" s="628"/>
      <c r="S21" s="630"/>
    </row>
    <row r="22" spans="1:19" ht="14.1" customHeight="1">
      <c r="A22" s="596"/>
      <c r="B22" s="631" t="s">
        <v>448</v>
      </c>
      <c r="C22" s="603"/>
      <c r="D22" s="604"/>
      <c r="E22" s="604"/>
      <c r="F22" s="605"/>
      <c r="G22" s="605"/>
      <c r="H22" s="620"/>
      <c r="I22" s="605"/>
      <c r="J22" s="608"/>
      <c r="K22" s="632"/>
      <c r="L22" s="633"/>
      <c r="M22" s="633"/>
      <c r="N22" s="634"/>
      <c r="O22" s="633"/>
      <c r="P22" s="633"/>
      <c r="Q22" s="633"/>
      <c r="R22" s="633"/>
      <c r="S22" s="625"/>
    </row>
    <row r="23" spans="1:19" ht="14.1" customHeight="1">
      <c r="A23" s="596"/>
      <c r="B23" s="619" t="s">
        <v>449</v>
      </c>
      <c r="C23" s="603"/>
      <c r="D23" s="604"/>
      <c r="E23" s="604"/>
      <c r="F23" s="605">
        <f>-'[6]Summary WCA'!T74</f>
        <v>67812114.889999986</v>
      </c>
      <c r="G23" s="605"/>
      <c r="H23" s="620"/>
      <c r="I23" s="605"/>
      <c r="J23" s="608"/>
      <c r="K23" s="627"/>
      <c r="L23" s="628"/>
      <c r="M23" s="628"/>
      <c r="N23" s="629"/>
      <c r="O23" s="628"/>
      <c r="P23" s="628"/>
      <c r="Q23" s="628"/>
      <c r="R23" s="628"/>
      <c r="S23" s="630"/>
    </row>
    <row r="24" spans="1:19" ht="14.1" customHeight="1">
      <c r="A24" s="596"/>
      <c r="B24" s="619" t="s">
        <v>450</v>
      </c>
      <c r="C24" s="603"/>
      <c r="D24" s="604"/>
      <c r="E24" s="604"/>
      <c r="F24" s="605">
        <f>+F15</f>
        <v>14393512.84</v>
      </c>
      <c r="G24" s="605"/>
      <c r="H24" s="620"/>
      <c r="I24" s="605"/>
      <c r="J24" s="608"/>
      <c r="K24" s="632"/>
      <c r="L24" s="633"/>
      <c r="M24" s="633"/>
      <c r="N24" s="634"/>
      <c r="O24" s="633"/>
      <c r="P24" s="633"/>
      <c r="Q24" s="633"/>
      <c r="R24" s="633"/>
      <c r="S24" s="625"/>
    </row>
    <row r="25" spans="1:19" ht="14.1" customHeight="1">
      <c r="A25" s="596"/>
      <c r="B25" s="635" t="s">
        <v>451</v>
      </c>
      <c r="C25" s="603"/>
      <c r="D25" s="604"/>
      <c r="E25" s="604"/>
      <c r="F25" s="636">
        <f>SUM(F23:F24)</f>
        <v>82205627.729999989</v>
      </c>
      <c r="G25" s="605"/>
      <c r="H25" s="620"/>
      <c r="I25" s="605"/>
      <c r="J25" s="608"/>
      <c r="K25" s="637"/>
      <c r="L25" s="638"/>
      <c r="M25" s="638"/>
      <c r="N25" s="639"/>
      <c r="O25" s="638"/>
      <c r="P25" s="638"/>
      <c r="Q25" s="638"/>
      <c r="R25" s="638"/>
      <c r="S25" s="638"/>
    </row>
    <row r="26" spans="1:19" ht="14.1" customHeight="1">
      <c r="A26" s="596"/>
      <c r="B26" s="603"/>
      <c r="C26" s="603"/>
      <c r="D26" s="604"/>
      <c r="E26" s="604"/>
      <c r="F26" s="605"/>
      <c r="G26" s="605"/>
      <c r="H26" s="620"/>
      <c r="I26" s="605"/>
      <c r="J26" s="608"/>
      <c r="K26" s="608"/>
    </row>
    <row r="27" spans="1:19" ht="14.1" customHeight="1">
      <c r="A27" s="596"/>
      <c r="B27" s="619"/>
      <c r="C27" s="603"/>
      <c r="D27" s="604"/>
      <c r="E27" s="604"/>
      <c r="F27" s="605"/>
      <c r="G27" s="605"/>
      <c r="H27" s="620"/>
      <c r="I27" s="621"/>
      <c r="J27" s="608"/>
      <c r="K27" s="608"/>
    </row>
    <row r="28" spans="1:19" ht="14.1" customHeight="1">
      <c r="A28" s="596"/>
      <c r="B28" s="619"/>
      <c r="C28" s="603"/>
      <c r="D28" s="604"/>
      <c r="E28" s="604"/>
      <c r="F28" s="605"/>
      <c r="G28" s="605"/>
      <c r="H28" s="620"/>
      <c r="I28" s="621"/>
      <c r="J28" s="608"/>
      <c r="K28" s="608"/>
    </row>
    <row r="29" spans="1:19" ht="14.1" customHeight="1">
      <c r="A29" s="596"/>
      <c r="B29" s="619"/>
      <c r="C29" s="603"/>
      <c r="D29" s="604"/>
      <c r="E29" s="604"/>
      <c r="F29" s="605"/>
      <c r="G29" s="605"/>
      <c r="H29" s="620"/>
      <c r="I29" s="621"/>
      <c r="J29" s="608"/>
      <c r="K29" s="608"/>
    </row>
    <row r="30" spans="1:19" ht="12" customHeight="1">
      <c r="A30" s="596"/>
      <c r="B30" s="619"/>
      <c r="C30" s="603"/>
      <c r="D30" s="604"/>
      <c r="E30" s="604"/>
      <c r="F30" s="605"/>
      <c r="G30" s="605"/>
      <c r="H30" s="620"/>
      <c r="I30" s="621"/>
      <c r="J30" s="608"/>
      <c r="K30" s="608"/>
    </row>
    <row r="31" spans="1:19" ht="12" customHeight="1">
      <c r="A31" s="596"/>
      <c r="B31" s="619"/>
      <c r="C31" s="603"/>
      <c r="D31" s="604"/>
      <c r="E31" s="604"/>
      <c r="F31" s="605"/>
      <c r="G31" s="605"/>
      <c r="H31" s="620"/>
      <c r="I31" s="621"/>
      <c r="J31" s="608"/>
      <c r="K31" s="608"/>
    </row>
    <row r="32" spans="1:19" ht="12" customHeight="1">
      <c r="A32" s="596"/>
      <c r="B32" s="619"/>
      <c r="C32" s="603"/>
      <c r="D32" s="604"/>
      <c r="E32" s="604"/>
      <c r="F32" s="605"/>
      <c r="G32" s="605"/>
      <c r="H32" s="620"/>
      <c r="I32" s="621"/>
      <c r="J32" s="608"/>
      <c r="K32" s="608"/>
    </row>
    <row r="33" spans="1:11" ht="12" customHeight="1">
      <c r="A33" s="596"/>
      <c r="B33" s="619"/>
      <c r="C33" s="603"/>
      <c r="D33" s="604"/>
      <c r="E33" s="604"/>
      <c r="F33" s="605"/>
      <c r="G33" s="605"/>
      <c r="H33" s="620"/>
      <c r="I33" s="621"/>
      <c r="J33" s="608"/>
      <c r="K33" s="608"/>
    </row>
    <row r="34" spans="1:11" ht="12" customHeight="1">
      <c r="A34" s="596"/>
      <c r="B34" s="619"/>
      <c r="C34" s="603"/>
      <c r="D34" s="604"/>
      <c r="E34" s="604"/>
      <c r="F34" s="605"/>
      <c r="G34" s="605"/>
      <c r="H34" s="620"/>
      <c r="I34" s="621"/>
      <c r="J34" s="608"/>
      <c r="K34" s="608"/>
    </row>
    <row r="35" spans="1:11" ht="12" customHeight="1">
      <c r="A35" s="596"/>
      <c r="B35" s="619"/>
      <c r="C35" s="603"/>
      <c r="D35" s="604"/>
      <c r="E35" s="604"/>
      <c r="F35" s="605"/>
      <c r="G35" s="605"/>
      <c r="H35" s="615"/>
      <c r="I35" s="621"/>
      <c r="J35" s="608"/>
      <c r="K35" s="608"/>
    </row>
    <row r="36" spans="1:11" ht="12" customHeight="1">
      <c r="B36" s="619"/>
      <c r="C36" s="603"/>
      <c r="D36" s="604"/>
      <c r="E36" s="604"/>
      <c r="F36" s="605"/>
      <c r="G36" s="605"/>
      <c r="H36" s="620"/>
      <c r="I36" s="621"/>
      <c r="J36" s="608"/>
      <c r="K36" s="608"/>
    </row>
    <row r="37" spans="1:11" ht="12" customHeight="1">
      <c r="B37" s="619"/>
      <c r="C37" s="603"/>
      <c r="D37" s="604"/>
      <c r="E37" s="604"/>
      <c r="F37" s="605"/>
      <c r="G37" s="605"/>
      <c r="H37" s="620"/>
      <c r="I37" s="621"/>
      <c r="J37" s="608"/>
      <c r="K37" s="608"/>
    </row>
    <row r="38" spans="1:11" ht="12" customHeight="1">
      <c r="B38" s="619"/>
      <c r="C38" s="603"/>
      <c r="D38" s="604"/>
      <c r="E38" s="604"/>
      <c r="F38" s="605"/>
      <c r="G38" s="605"/>
      <c r="H38" s="620"/>
      <c r="I38" s="621"/>
      <c r="J38" s="608"/>
      <c r="K38" s="608"/>
    </row>
    <row r="39" spans="1:11" ht="12" customHeight="1">
      <c r="B39" s="619"/>
      <c r="C39" s="603"/>
      <c r="D39" s="604"/>
      <c r="E39" s="604"/>
      <c r="F39" s="605"/>
      <c r="G39" s="605"/>
      <c r="H39" s="615"/>
      <c r="I39" s="621"/>
      <c r="J39" s="608"/>
      <c r="K39" s="608"/>
    </row>
    <row r="40" spans="1:11" ht="12" customHeight="1">
      <c r="B40" s="619"/>
      <c r="C40" s="603"/>
      <c r="D40" s="604"/>
      <c r="E40" s="604"/>
      <c r="F40" s="605"/>
      <c r="G40" s="605"/>
      <c r="H40" s="620"/>
      <c r="I40" s="621"/>
      <c r="J40" s="608"/>
      <c r="K40" s="608"/>
    </row>
    <row r="41" spans="1:11" ht="12" customHeight="1">
      <c r="B41" s="619"/>
      <c r="C41" s="640"/>
      <c r="D41" s="640"/>
      <c r="E41" s="640"/>
      <c r="F41" s="640"/>
      <c r="G41" s="640"/>
      <c r="H41" s="640"/>
      <c r="I41" s="640"/>
      <c r="J41" s="608"/>
      <c r="K41" s="608"/>
    </row>
    <row r="42" spans="1:11" ht="12" customHeight="1">
      <c r="B42" s="619"/>
      <c r="C42" s="640"/>
      <c r="D42" s="640"/>
      <c r="E42" s="640"/>
      <c r="F42" s="640"/>
      <c r="G42" s="640"/>
      <c r="H42" s="640"/>
      <c r="I42" s="640"/>
      <c r="J42" s="608"/>
      <c r="K42" s="608"/>
    </row>
    <row r="43" spans="1:11" ht="12" customHeight="1">
      <c r="B43" s="641"/>
      <c r="C43" s="640"/>
      <c r="D43" s="640"/>
      <c r="E43" s="640"/>
      <c r="F43" s="640"/>
      <c r="G43" s="640"/>
      <c r="H43" s="640"/>
      <c r="I43" s="605"/>
      <c r="J43" s="608"/>
      <c r="K43" s="608"/>
    </row>
    <row r="44" spans="1:11" ht="12" customHeight="1">
      <c r="B44" s="641"/>
      <c r="C44" s="603"/>
      <c r="D44" s="604"/>
      <c r="E44" s="604"/>
      <c r="F44" s="605"/>
      <c r="G44" s="605"/>
      <c r="H44" s="615"/>
      <c r="I44" s="605"/>
      <c r="J44" s="608"/>
      <c r="K44" s="608"/>
    </row>
    <row r="45" spans="1:11" ht="12" customHeight="1">
      <c r="A45" s="596"/>
      <c r="B45" s="641"/>
      <c r="C45" s="603"/>
      <c r="D45" s="604"/>
      <c r="E45" s="604"/>
      <c r="F45" s="605"/>
      <c r="G45" s="605"/>
      <c r="H45" s="606"/>
      <c r="I45" s="642"/>
      <c r="J45" s="608"/>
      <c r="K45" s="608"/>
    </row>
    <row r="46" spans="1:11" ht="12" customHeight="1">
      <c r="A46" s="596"/>
      <c r="B46" s="641"/>
      <c r="C46" s="603"/>
      <c r="D46" s="604"/>
      <c r="E46" s="604"/>
      <c r="F46" s="605"/>
      <c r="G46" s="605"/>
      <c r="H46" s="606"/>
      <c r="I46" s="642"/>
      <c r="J46" s="608"/>
      <c r="K46" s="608"/>
    </row>
    <row r="47" spans="1:11" ht="12" customHeight="1">
      <c r="A47" s="596"/>
      <c r="B47" s="602"/>
      <c r="C47" s="603"/>
      <c r="D47" s="604"/>
      <c r="E47" s="604"/>
      <c r="F47" s="605"/>
      <c r="G47" s="605"/>
      <c r="H47" s="617"/>
      <c r="I47" s="607"/>
      <c r="J47" s="608"/>
      <c r="K47" s="608"/>
    </row>
    <row r="48" spans="1:11">
      <c r="B48" s="608"/>
      <c r="C48" s="608"/>
      <c r="D48" s="604"/>
      <c r="E48" s="604"/>
      <c r="F48" s="608"/>
      <c r="G48" s="605"/>
      <c r="H48" s="608"/>
      <c r="I48" s="608"/>
      <c r="J48" s="608"/>
      <c r="K48" s="608"/>
    </row>
    <row r="49" spans="2:11">
      <c r="B49" s="608"/>
      <c r="C49" s="608"/>
      <c r="D49" s="604"/>
      <c r="E49" s="604"/>
      <c r="F49" s="608"/>
      <c r="G49" s="605"/>
      <c r="H49" s="608"/>
      <c r="I49" s="608"/>
      <c r="J49" s="608"/>
      <c r="K49" s="608"/>
    </row>
    <row r="50" spans="2:11">
      <c r="B50" s="608"/>
      <c r="C50" s="608"/>
      <c r="D50" s="604"/>
      <c r="E50" s="604"/>
      <c r="F50" s="608"/>
      <c r="G50" s="605"/>
      <c r="H50" s="608"/>
      <c r="I50" s="608"/>
      <c r="J50" s="608"/>
      <c r="K50" s="608"/>
    </row>
    <row r="51" spans="2:11">
      <c r="B51" s="608"/>
      <c r="C51" s="608"/>
      <c r="D51" s="604"/>
      <c r="E51" s="604"/>
      <c r="F51" s="608"/>
      <c r="G51" s="605"/>
      <c r="H51" s="608"/>
      <c r="I51" s="608"/>
      <c r="J51" s="608"/>
      <c r="K51" s="608"/>
    </row>
    <row r="52" spans="2:11">
      <c r="B52" s="608"/>
      <c r="C52" s="608"/>
      <c r="D52" s="604"/>
      <c r="E52" s="604"/>
      <c r="F52" s="608"/>
      <c r="G52" s="605"/>
      <c r="H52" s="608"/>
      <c r="I52" s="608"/>
      <c r="J52" s="608"/>
      <c r="K52" s="608"/>
    </row>
    <row r="53" spans="2:11">
      <c r="B53" s="608"/>
      <c r="C53" s="608"/>
      <c r="D53" s="604"/>
      <c r="E53" s="604"/>
      <c r="F53" s="608"/>
      <c r="G53" s="605"/>
      <c r="H53" s="608"/>
      <c r="I53" s="608"/>
      <c r="J53" s="608"/>
      <c r="K53" s="608"/>
    </row>
    <row r="54" spans="2:11">
      <c r="B54" s="608"/>
      <c r="C54" s="608"/>
      <c r="D54" s="604"/>
      <c r="E54" s="604"/>
      <c r="F54" s="608"/>
      <c r="G54" s="605"/>
      <c r="H54" s="608"/>
      <c r="I54" s="608"/>
      <c r="J54" s="608"/>
      <c r="K54" s="608"/>
    </row>
    <row r="55" spans="2:11">
      <c r="B55" s="608"/>
      <c r="C55" s="608"/>
      <c r="D55" s="604"/>
      <c r="E55" s="604"/>
      <c r="F55" s="608"/>
      <c r="G55" s="605"/>
      <c r="H55" s="608"/>
      <c r="I55" s="608"/>
      <c r="J55" s="608"/>
      <c r="K55" s="608"/>
    </row>
    <row r="56" spans="2:11">
      <c r="B56" s="608"/>
      <c r="C56" s="608"/>
      <c r="D56" s="604"/>
      <c r="E56" s="604"/>
      <c r="F56" s="608"/>
      <c r="G56" s="605"/>
      <c r="H56" s="608"/>
      <c r="I56" s="608"/>
      <c r="J56" s="608"/>
      <c r="K56" s="608"/>
    </row>
    <row r="57" spans="2:11">
      <c r="B57" s="608"/>
      <c r="C57" s="608"/>
      <c r="D57" s="604"/>
      <c r="E57" s="604"/>
      <c r="F57" s="608"/>
      <c r="G57" s="605"/>
      <c r="H57" s="608"/>
      <c r="I57" s="608"/>
      <c r="J57" s="608"/>
      <c r="K57" s="608"/>
    </row>
    <row r="58" spans="2:11">
      <c r="B58" s="608"/>
      <c r="C58" s="608"/>
      <c r="D58" s="604"/>
      <c r="E58" s="604"/>
      <c r="F58" s="608"/>
      <c r="G58" s="605"/>
      <c r="H58" s="608"/>
      <c r="I58" s="608"/>
      <c r="J58" s="608"/>
      <c r="K58" s="608"/>
    </row>
    <row r="59" spans="2:11">
      <c r="B59" s="608"/>
      <c r="C59" s="608"/>
      <c r="D59" s="604"/>
      <c r="E59" s="604"/>
      <c r="F59" s="608"/>
      <c r="G59" s="605"/>
      <c r="H59" s="608"/>
      <c r="I59" s="608"/>
      <c r="J59" s="608"/>
      <c r="K59" s="608"/>
    </row>
    <row r="60" spans="2:11">
      <c r="B60" s="608"/>
      <c r="C60" s="608"/>
      <c r="D60" s="604"/>
      <c r="E60" s="604"/>
      <c r="F60" s="608"/>
      <c r="G60" s="605"/>
      <c r="H60" s="608"/>
      <c r="I60" s="608"/>
      <c r="J60" s="608"/>
      <c r="K60" s="608"/>
    </row>
    <row r="61" spans="2:11">
      <c r="B61" s="608"/>
      <c r="C61" s="608"/>
      <c r="D61" s="604"/>
      <c r="E61" s="604"/>
      <c r="F61" s="608"/>
      <c r="G61" s="605"/>
      <c r="H61" s="608"/>
      <c r="I61" s="608"/>
      <c r="J61" s="608"/>
      <c r="K61" s="608"/>
    </row>
    <row r="62" spans="2:11">
      <c r="B62" s="608"/>
      <c r="C62" s="608"/>
      <c r="D62" s="604"/>
      <c r="E62" s="604"/>
      <c r="F62" s="608"/>
      <c r="G62" s="605"/>
      <c r="H62" s="608"/>
      <c r="I62" s="608"/>
      <c r="J62" s="608"/>
      <c r="K62" s="608"/>
    </row>
    <row r="63" spans="2:11">
      <c r="B63" s="608"/>
      <c r="C63" s="608"/>
      <c r="D63" s="604"/>
      <c r="E63" s="604"/>
      <c r="F63" s="608"/>
      <c r="G63" s="605"/>
      <c r="H63" s="608"/>
      <c r="I63" s="608"/>
      <c r="J63" s="608"/>
      <c r="K63" s="608"/>
    </row>
    <row r="64" spans="2:11">
      <c r="B64" s="608"/>
      <c r="C64" s="608"/>
      <c r="D64" s="604"/>
      <c r="E64" s="604"/>
      <c r="F64" s="608"/>
      <c r="G64" s="605"/>
      <c r="H64" s="608"/>
      <c r="I64" s="608"/>
      <c r="J64" s="608"/>
      <c r="K64" s="608"/>
    </row>
    <row r="65" spans="2:11">
      <c r="B65" s="608"/>
      <c r="C65" s="608"/>
      <c r="D65" s="604"/>
      <c r="E65" s="604"/>
      <c r="F65" s="608"/>
      <c r="G65" s="605"/>
      <c r="H65" s="608"/>
      <c r="I65" s="608"/>
      <c r="J65" s="608"/>
      <c r="K65" s="608"/>
    </row>
    <row r="66" spans="2:11">
      <c r="B66" s="608"/>
      <c r="C66" s="608"/>
      <c r="D66" s="604"/>
      <c r="E66" s="604"/>
      <c r="F66" s="608"/>
      <c r="G66" s="605"/>
      <c r="H66" s="608"/>
      <c r="I66" s="608"/>
      <c r="J66" s="608"/>
      <c r="K66" s="608"/>
    </row>
    <row r="67" spans="2:11">
      <c r="B67" s="608"/>
      <c r="C67" s="608"/>
      <c r="D67" s="604"/>
      <c r="E67" s="604"/>
      <c r="F67" s="608"/>
      <c r="G67" s="605"/>
      <c r="H67" s="608"/>
      <c r="I67" s="608"/>
      <c r="J67" s="608"/>
      <c r="K67" s="608"/>
    </row>
    <row r="68" spans="2:11">
      <c r="B68" s="608"/>
      <c r="C68" s="608"/>
      <c r="D68" s="604"/>
      <c r="E68" s="604"/>
      <c r="F68" s="608"/>
      <c r="G68" s="605"/>
      <c r="H68" s="608"/>
      <c r="I68" s="608"/>
      <c r="J68" s="608"/>
      <c r="K68" s="608"/>
    </row>
    <row r="69" spans="2:11">
      <c r="B69" s="608"/>
      <c r="C69" s="608"/>
      <c r="D69" s="604"/>
      <c r="E69" s="604"/>
      <c r="F69" s="608"/>
      <c r="G69" s="605"/>
      <c r="H69" s="608"/>
      <c r="I69" s="608"/>
      <c r="J69" s="608"/>
      <c r="K69" s="608"/>
    </row>
    <row r="70" spans="2:11">
      <c r="B70" s="608"/>
      <c r="C70" s="608"/>
      <c r="D70" s="604"/>
      <c r="E70" s="604"/>
      <c r="F70" s="608"/>
      <c r="G70" s="605"/>
      <c r="H70" s="608"/>
      <c r="I70" s="608"/>
      <c r="J70" s="608"/>
      <c r="K70" s="608"/>
    </row>
    <row r="71" spans="2:11">
      <c r="B71" s="608"/>
      <c r="C71" s="608"/>
      <c r="D71" s="604"/>
      <c r="E71" s="604"/>
      <c r="F71" s="608"/>
      <c r="G71" s="605"/>
      <c r="H71" s="608"/>
      <c r="I71" s="608"/>
      <c r="J71" s="608"/>
      <c r="K71" s="608"/>
    </row>
    <row r="72" spans="2:11">
      <c r="B72" s="608"/>
      <c r="C72" s="608"/>
      <c r="D72" s="604"/>
      <c r="E72" s="604"/>
      <c r="F72" s="608"/>
      <c r="G72" s="605"/>
      <c r="H72" s="608"/>
      <c r="I72" s="608"/>
      <c r="J72" s="608"/>
      <c r="K72" s="608"/>
    </row>
    <row r="73" spans="2:11">
      <c r="B73" s="608"/>
      <c r="C73" s="608"/>
      <c r="D73" s="604"/>
      <c r="E73" s="604"/>
      <c r="F73" s="608"/>
      <c r="G73" s="605"/>
      <c r="H73" s="608"/>
      <c r="I73" s="608"/>
      <c r="J73" s="608"/>
      <c r="K73" s="608"/>
    </row>
    <row r="74" spans="2:11">
      <c r="B74" s="608"/>
      <c r="C74" s="608"/>
      <c r="D74" s="604"/>
      <c r="E74" s="604"/>
      <c r="F74" s="608"/>
      <c r="G74" s="605"/>
      <c r="H74" s="608"/>
      <c r="I74" s="608"/>
      <c r="J74" s="608"/>
      <c r="K74" s="608"/>
    </row>
    <row r="75" spans="2:11">
      <c r="B75" s="608"/>
      <c r="C75" s="608"/>
      <c r="D75" s="604"/>
      <c r="E75" s="604"/>
      <c r="F75" s="608"/>
      <c r="G75" s="605"/>
      <c r="H75" s="608"/>
      <c r="I75" s="608"/>
      <c r="J75" s="608"/>
      <c r="K75" s="608"/>
    </row>
    <row r="76" spans="2:11">
      <c r="B76" s="608"/>
      <c r="C76" s="608"/>
      <c r="D76" s="604"/>
      <c r="E76" s="604"/>
      <c r="F76" s="608"/>
      <c r="G76" s="605"/>
      <c r="H76" s="608"/>
      <c r="I76" s="608"/>
      <c r="J76" s="608"/>
      <c r="K76" s="608"/>
    </row>
    <row r="77" spans="2:11">
      <c r="B77" s="608"/>
      <c r="C77" s="608"/>
      <c r="D77" s="604"/>
      <c r="E77" s="604"/>
      <c r="F77" s="608"/>
      <c r="G77" s="605"/>
      <c r="H77" s="608"/>
      <c r="I77" s="608"/>
      <c r="J77" s="608"/>
      <c r="K77" s="608"/>
    </row>
    <row r="78" spans="2:11">
      <c r="B78" s="608"/>
      <c r="C78" s="608"/>
      <c r="D78" s="604"/>
      <c r="E78" s="604"/>
      <c r="F78" s="608"/>
      <c r="G78" s="605"/>
      <c r="H78" s="608"/>
      <c r="I78" s="608"/>
      <c r="J78" s="608"/>
      <c r="K78" s="608"/>
    </row>
    <row r="79" spans="2:11">
      <c r="B79" s="608"/>
      <c r="C79" s="608"/>
      <c r="D79" s="604"/>
      <c r="E79" s="604"/>
      <c r="F79" s="608"/>
      <c r="G79" s="605"/>
      <c r="H79" s="608"/>
      <c r="I79" s="608"/>
      <c r="J79" s="608"/>
      <c r="K79" s="608"/>
    </row>
    <row r="80" spans="2:11">
      <c r="B80" s="608"/>
      <c r="C80" s="608"/>
      <c r="D80" s="604"/>
      <c r="E80" s="604"/>
      <c r="F80" s="608"/>
      <c r="G80" s="605"/>
      <c r="H80" s="608"/>
      <c r="I80" s="608"/>
      <c r="J80" s="608"/>
      <c r="K80" s="608"/>
    </row>
    <row r="81" spans="2:11">
      <c r="B81" s="608"/>
      <c r="C81" s="608"/>
      <c r="D81" s="604"/>
      <c r="E81" s="604"/>
      <c r="F81" s="608"/>
      <c r="G81" s="605"/>
      <c r="H81" s="608"/>
      <c r="I81" s="608"/>
      <c r="J81" s="608"/>
      <c r="K81" s="608"/>
    </row>
    <row r="82" spans="2:11">
      <c r="B82" s="608"/>
      <c r="C82" s="608"/>
      <c r="D82" s="604"/>
      <c r="E82" s="604"/>
      <c r="F82" s="608"/>
      <c r="G82" s="605"/>
      <c r="H82" s="608"/>
      <c r="I82" s="608"/>
      <c r="J82" s="608"/>
      <c r="K82" s="608"/>
    </row>
    <row r="83" spans="2:11">
      <c r="B83" s="608"/>
      <c r="C83" s="608"/>
      <c r="D83" s="604"/>
      <c r="E83" s="604"/>
      <c r="F83" s="608"/>
      <c r="G83" s="605"/>
      <c r="H83" s="608"/>
      <c r="I83" s="608"/>
      <c r="J83" s="608"/>
      <c r="K83" s="608"/>
    </row>
    <row r="84" spans="2:11">
      <c r="B84" s="608"/>
      <c r="C84" s="608"/>
      <c r="D84" s="604"/>
      <c r="E84" s="604"/>
      <c r="F84" s="608"/>
      <c r="G84" s="605"/>
      <c r="H84" s="608"/>
      <c r="I84" s="608"/>
      <c r="J84" s="608"/>
      <c r="K84" s="608"/>
    </row>
    <row r="85" spans="2:11">
      <c r="B85" s="608"/>
      <c r="C85" s="608"/>
      <c r="D85" s="604"/>
      <c r="E85" s="604"/>
      <c r="F85" s="608"/>
      <c r="G85" s="605"/>
      <c r="H85" s="608"/>
      <c r="I85" s="608"/>
      <c r="J85" s="608"/>
      <c r="K85" s="608"/>
    </row>
    <row r="86" spans="2:11">
      <c r="B86" s="608"/>
      <c r="C86" s="608"/>
      <c r="D86" s="604"/>
      <c r="E86" s="604"/>
      <c r="F86" s="608"/>
      <c r="G86" s="605"/>
      <c r="H86" s="608"/>
      <c r="I86" s="608"/>
      <c r="J86" s="608"/>
      <c r="K86" s="608"/>
    </row>
    <row r="87" spans="2:11">
      <c r="B87" s="608"/>
      <c r="C87" s="608"/>
      <c r="D87" s="604"/>
      <c r="E87" s="604"/>
      <c r="F87" s="608"/>
      <c r="G87" s="605"/>
      <c r="H87" s="608"/>
      <c r="I87" s="608"/>
      <c r="J87" s="608"/>
      <c r="K87" s="608"/>
    </row>
    <row r="88" spans="2:11">
      <c r="D88" s="600"/>
      <c r="E88" s="600"/>
      <c r="G88" s="643"/>
    </row>
    <row r="89" spans="2:11">
      <c r="D89" s="600"/>
      <c r="E89" s="600"/>
      <c r="G89" s="643"/>
    </row>
    <row r="90" spans="2:11">
      <c r="D90" s="600"/>
      <c r="E90" s="600"/>
      <c r="G90" s="643"/>
    </row>
    <row r="91" spans="2:11">
      <c r="D91" s="600"/>
      <c r="E91" s="600"/>
      <c r="G91" s="643"/>
    </row>
    <row r="92" spans="2:11">
      <c r="D92" s="600"/>
      <c r="E92" s="600"/>
      <c r="G92" s="643"/>
    </row>
    <row r="93" spans="2:11">
      <c r="G93" s="643"/>
    </row>
    <row r="94" spans="2:11">
      <c r="G94" s="643"/>
    </row>
    <row r="95" spans="2:11">
      <c r="G95" s="643"/>
    </row>
    <row r="96" spans="2:11">
      <c r="G96" s="643"/>
    </row>
    <row r="97" spans="7:7">
      <c r="G97" s="643"/>
    </row>
    <row r="98" spans="7:7">
      <c r="G98" s="643"/>
    </row>
    <row r="99" spans="7:7">
      <c r="G99" s="643"/>
    </row>
  </sheetData>
  <conditionalFormatting sqref="B25:B26">
    <cfRule type="cellIs" dxfId="15" priority="3" stopIfTrue="1" operator="equal">
      <formula>"Title"</formula>
    </cfRule>
  </conditionalFormatting>
  <conditionalFormatting sqref="B9">
    <cfRule type="cellIs" dxfId="14" priority="2" stopIfTrue="1" operator="equal">
      <formula>"Adjustment to Income/Expense/Rate Base:"</formula>
    </cfRule>
  </conditionalFormatting>
  <pageMargins left="0.44" right="0.21"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tabColor rgb="FFFFFF00"/>
    <pageSetUpPr fitToPage="1"/>
  </sheetPr>
  <dimension ref="A1:I35"/>
  <sheetViews>
    <sheetView workbookViewId="0">
      <selection activeCell="B9" sqref="B9"/>
    </sheetView>
  </sheetViews>
  <sheetFormatPr defaultColWidth="10" defaultRowHeight="14.1" customHeight="1"/>
  <cols>
    <col min="1" max="1" width="2.5703125" style="644" customWidth="1"/>
    <col min="2" max="2" width="7.140625" style="644" customWidth="1"/>
    <col min="3" max="3" width="20.85546875" style="644" customWidth="1"/>
    <col min="4" max="4" width="12.42578125" style="644" customWidth="1"/>
    <col min="5" max="5" width="6.28515625" style="644" customWidth="1"/>
    <col min="6" max="6" width="12.85546875" style="644" customWidth="1"/>
    <col min="7" max="7" width="8.7109375" style="644" customWidth="1"/>
    <col min="8" max="8" width="13.42578125" style="644" customWidth="1"/>
    <col min="9" max="9" width="14.42578125" style="644" customWidth="1"/>
    <col min="10" max="16384" width="10" style="644"/>
  </cols>
  <sheetData>
    <row r="1" spans="1:9" ht="14.1" customHeight="1">
      <c r="B1" s="645" t="s">
        <v>52</v>
      </c>
      <c r="D1" s="646"/>
      <c r="E1" s="646"/>
      <c r="F1" s="646"/>
      <c r="G1" s="646"/>
      <c r="H1" s="646"/>
      <c r="I1" s="646"/>
    </row>
    <row r="2" spans="1:9" ht="14.1" customHeight="1">
      <c r="B2" s="645" t="s">
        <v>225</v>
      </c>
      <c r="D2" s="646"/>
      <c r="E2" s="646"/>
      <c r="F2" s="646"/>
      <c r="G2" s="646"/>
      <c r="H2" s="646"/>
      <c r="I2" s="646"/>
    </row>
    <row r="3" spans="1:9" ht="14.1" customHeight="1">
      <c r="B3" s="645" t="s">
        <v>605</v>
      </c>
      <c r="D3" s="646"/>
      <c r="E3" s="646"/>
      <c r="F3" s="646"/>
      <c r="G3" s="646"/>
      <c r="H3" s="646"/>
      <c r="I3" s="646"/>
    </row>
    <row r="4" spans="1:9" ht="14.1" customHeight="1">
      <c r="D4" s="646"/>
      <c r="E4" s="646"/>
      <c r="F4" s="646"/>
      <c r="G4" s="646"/>
      <c r="H4" s="646"/>
      <c r="I4" s="646"/>
    </row>
    <row r="5" spans="1:9" ht="14.1" customHeight="1">
      <c r="D5" s="646"/>
      <c r="E5" s="646"/>
      <c r="F5" s="646"/>
      <c r="G5" s="646"/>
      <c r="H5" s="646"/>
      <c r="I5" s="646"/>
    </row>
    <row r="6" spans="1:9" ht="14.1" customHeight="1">
      <c r="D6" s="646"/>
      <c r="E6" s="646"/>
      <c r="F6" s="646" t="s">
        <v>405</v>
      </c>
      <c r="G6" s="646" t="s">
        <v>453</v>
      </c>
      <c r="H6" s="646"/>
      <c r="I6" s="646" t="s">
        <v>406</v>
      </c>
    </row>
    <row r="7" spans="1:9" ht="14.1" customHeight="1">
      <c r="D7" s="647" t="s">
        <v>407</v>
      </c>
      <c r="E7" s="647" t="s">
        <v>408</v>
      </c>
      <c r="F7" s="647" t="s">
        <v>409</v>
      </c>
      <c r="G7" s="647" t="s">
        <v>410</v>
      </c>
      <c r="H7" s="647" t="s">
        <v>411</v>
      </c>
      <c r="I7" s="647" t="s">
        <v>412</v>
      </c>
    </row>
    <row r="8" spans="1:9" ht="14.1" customHeight="1">
      <c r="A8" s="648"/>
      <c r="B8" s="649" t="s">
        <v>454</v>
      </c>
      <c r="C8" s="648"/>
      <c r="D8" s="650"/>
      <c r="E8" s="650"/>
      <c r="F8" s="650"/>
      <c r="G8" s="650"/>
      <c r="H8" s="650"/>
      <c r="I8" s="651"/>
    </row>
    <row r="9" spans="1:9" ht="14.1" customHeight="1">
      <c r="A9" s="648"/>
      <c r="B9" s="644" t="s">
        <v>455</v>
      </c>
      <c r="C9" s="648"/>
      <c r="D9" s="650">
        <v>456</v>
      </c>
      <c r="E9" s="650" t="s">
        <v>443</v>
      </c>
      <c r="F9" s="652">
        <f>'[7]3.7.1'!G9</f>
        <v>4483245</v>
      </c>
      <c r="G9" s="650" t="s">
        <v>456</v>
      </c>
      <c r="H9" s="653">
        <v>0.22474202685414957</v>
      </c>
      <c r="I9" s="660">
        <f>F9*H9</f>
        <v>1007573.5681837318</v>
      </c>
    </row>
    <row r="10" spans="1:9" ht="14.1" customHeight="1">
      <c r="A10" s="648"/>
      <c r="B10" s="649"/>
      <c r="C10" s="648"/>
      <c r="D10" s="650"/>
      <c r="E10" s="650"/>
      <c r="F10" s="655"/>
      <c r="G10" s="650"/>
      <c r="H10" s="656"/>
      <c r="I10" s="660"/>
    </row>
    <row r="11" spans="1:9" ht="14.1" customHeight="1">
      <c r="A11" s="648"/>
      <c r="B11" s="648"/>
      <c r="C11" s="648"/>
      <c r="D11" s="650"/>
      <c r="E11" s="650"/>
      <c r="F11" s="655"/>
      <c r="G11" s="650"/>
      <c r="H11" s="656"/>
      <c r="I11" s="660"/>
    </row>
    <row r="12" spans="1:9" ht="14.1" customHeight="1">
      <c r="A12" s="648"/>
      <c r="B12" s="657"/>
      <c r="C12" s="648"/>
      <c r="D12" s="650"/>
      <c r="E12" s="650"/>
      <c r="F12" s="655"/>
      <c r="G12" s="650"/>
      <c r="H12" s="656"/>
      <c r="I12" s="660"/>
    </row>
    <row r="13" spans="1:9" ht="14.1" customHeight="1">
      <c r="A13" s="648"/>
      <c r="B13" s="657" t="s">
        <v>457</v>
      </c>
      <c r="C13" s="648"/>
      <c r="D13" s="650"/>
      <c r="E13" s="650"/>
      <c r="F13" s="655"/>
      <c r="G13" s="650"/>
      <c r="H13" s="656"/>
      <c r="I13" s="660"/>
    </row>
    <row r="14" spans="1:9" ht="14.1" customHeight="1">
      <c r="A14" s="648"/>
      <c r="B14" s="649" t="s">
        <v>454</v>
      </c>
      <c r="C14" s="648"/>
      <c r="D14" s="650"/>
      <c r="E14" s="650"/>
      <c r="F14" s="650"/>
      <c r="G14" s="650"/>
      <c r="H14" s="650"/>
      <c r="I14" s="661"/>
    </row>
    <row r="15" spans="1:9" ht="14.1" customHeight="1">
      <c r="A15" s="648"/>
      <c r="B15" s="644" t="s">
        <v>455</v>
      </c>
      <c r="C15" s="648"/>
      <c r="D15" s="650">
        <v>456</v>
      </c>
      <c r="E15" s="650" t="s">
        <v>443</v>
      </c>
      <c r="F15" s="652">
        <v>-4935949.8899999997</v>
      </c>
      <c r="G15" s="650" t="s">
        <v>456</v>
      </c>
      <c r="H15" s="653">
        <v>0.22474202685414957</v>
      </c>
      <c r="I15" s="660">
        <v>-1109315.3827291166</v>
      </c>
    </row>
    <row r="16" spans="1:9" ht="14.1" customHeight="1">
      <c r="A16" s="648"/>
      <c r="B16" s="648"/>
      <c r="C16" s="648"/>
      <c r="D16" s="650"/>
      <c r="E16" s="650"/>
      <c r="F16" s="655"/>
      <c r="G16" s="650"/>
      <c r="H16" s="656"/>
      <c r="I16" s="660"/>
    </row>
    <row r="17" spans="1:9" ht="14.1" customHeight="1">
      <c r="A17" s="648"/>
      <c r="B17" s="658"/>
      <c r="C17" s="648"/>
      <c r="D17" s="650"/>
      <c r="E17" s="650"/>
      <c r="F17" s="655"/>
      <c r="G17" s="650"/>
      <c r="H17" s="656"/>
      <c r="I17" s="660"/>
    </row>
    <row r="18" spans="1:9" ht="14.1" customHeight="1">
      <c r="A18" s="648"/>
      <c r="B18" s="649" t="s">
        <v>458</v>
      </c>
      <c r="C18" s="648"/>
      <c r="D18" s="650"/>
      <c r="E18" s="650"/>
      <c r="F18" s="655">
        <f>F9-F15</f>
        <v>9419194.8900000006</v>
      </c>
      <c r="G18" s="650"/>
      <c r="H18" s="656"/>
      <c r="I18" s="660">
        <f>I9-I15</f>
        <v>2116888.9509128481</v>
      </c>
    </row>
    <row r="19" spans="1:9" ht="14.1" customHeight="1">
      <c r="A19" s="648"/>
      <c r="B19" s="659"/>
      <c r="C19" s="648"/>
      <c r="D19" s="650"/>
      <c r="E19" s="650"/>
      <c r="F19" s="655"/>
      <c r="G19" s="650"/>
      <c r="H19" s="656"/>
      <c r="I19" s="660"/>
    </row>
    <row r="20" spans="1:9" ht="14.1" customHeight="1">
      <c r="A20" s="648"/>
      <c r="B20" s="659" t="s">
        <v>604</v>
      </c>
      <c r="C20" s="648"/>
      <c r="D20" s="650"/>
      <c r="E20" s="650"/>
      <c r="F20" s="655"/>
      <c r="G20" s="650"/>
      <c r="H20" s="656"/>
      <c r="I20" s="660">
        <f>I18*1.048</f>
        <v>2218499.6205566651</v>
      </c>
    </row>
    <row r="21" spans="1:9" ht="14.1" customHeight="1">
      <c r="A21" s="648"/>
      <c r="B21" s="658"/>
      <c r="C21" s="648"/>
      <c r="D21" s="650"/>
      <c r="E21" s="650"/>
      <c r="F21" s="655"/>
      <c r="G21" s="650"/>
      <c r="H21" s="656"/>
      <c r="I21" s="660"/>
    </row>
    <row r="22" spans="1:9" ht="14.1" customHeight="1">
      <c r="A22" s="648"/>
      <c r="B22" s="658"/>
      <c r="C22" s="648"/>
      <c r="D22" s="650"/>
      <c r="E22" s="650"/>
      <c r="F22" s="655"/>
      <c r="G22" s="650"/>
      <c r="H22" s="656"/>
      <c r="I22" s="654"/>
    </row>
    <row r="23" spans="1:9" ht="14.1" customHeight="1">
      <c r="A23" s="648"/>
      <c r="B23" s="658"/>
      <c r="C23" s="648"/>
      <c r="D23" s="650"/>
      <c r="E23" s="650"/>
      <c r="F23" s="655"/>
      <c r="G23" s="650"/>
      <c r="H23" s="656"/>
      <c r="I23" s="654"/>
    </row>
    <row r="24" spans="1:9" ht="14.1" customHeight="1">
      <c r="A24" s="648" t="s">
        <v>452</v>
      </c>
      <c r="B24" s="658"/>
      <c r="C24" s="648"/>
      <c r="D24" s="650"/>
      <c r="E24" s="650"/>
      <c r="F24" s="655"/>
      <c r="G24" s="650"/>
      <c r="H24" s="656"/>
      <c r="I24" s="654"/>
    </row>
    <row r="25" spans="1:9" ht="14.1" customHeight="1">
      <c r="A25" s="648"/>
      <c r="B25" s="658"/>
      <c r="C25" s="648"/>
      <c r="D25" s="650"/>
      <c r="E25" s="650"/>
      <c r="F25" s="655"/>
      <c r="G25" s="650"/>
      <c r="H25" s="656"/>
      <c r="I25" s="654"/>
    </row>
    <row r="26" spans="1:9" ht="14.1" customHeight="1">
      <c r="B26" s="658"/>
      <c r="C26" s="648"/>
      <c r="D26" s="650"/>
      <c r="E26" s="650"/>
      <c r="F26" s="655"/>
      <c r="G26" s="650"/>
      <c r="H26" s="656"/>
      <c r="I26" s="654"/>
    </row>
    <row r="27" spans="1:9" ht="14.1" customHeight="1">
      <c r="B27" s="658"/>
      <c r="C27" s="648"/>
      <c r="D27" s="650"/>
      <c r="E27" s="650"/>
      <c r="F27" s="655"/>
      <c r="G27" s="650"/>
      <c r="H27" s="656"/>
      <c r="I27" s="654"/>
    </row>
    <row r="28" spans="1:9" ht="14.1" customHeight="1">
      <c r="B28" s="658"/>
      <c r="C28" s="648"/>
      <c r="D28" s="650"/>
      <c r="E28" s="650"/>
      <c r="F28" s="655"/>
      <c r="G28" s="650"/>
      <c r="H28" s="656"/>
      <c r="I28" s="654"/>
    </row>
    <row r="29" spans="1:9" ht="14.1" customHeight="1">
      <c r="B29" s="658"/>
      <c r="C29" s="648"/>
      <c r="D29" s="650"/>
      <c r="E29" s="650"/>
      <c r="F29" s="655"/>
      <c r="G29" s="650"/>
      <c r="H29" s="656"/>
      <c r="I29" s="654"/>
    </row>
    <row r="30" spans="1:9" ht="14.1" customHeight="1">
      <c r="B30" s="659"/>
      <c r="C30" s="648"/>
      <c r="D30" s="650"/>
      <c r="E30" s="650"/>
      <c r="F30" s="655"/>
      <c r="G30" s="650"/>
      <c r="H30" s="656"/>
      <c r="I30" s="654"/>
    </row>
    <row r="31" spans="1:9" ht="14.1" customHeight="1">
      <c r="B31" s="658"/>
      <c r="C31" s="648"/>
      <c r="D31" s="650"/>
      <c r="E31" s="650"/>
      <c r="F31" s="655"/>
      <c r="G31" s="650"/>
      <c r="H31" s="656"/>
      <c r="I31" s="654"/>
    </row>
    <row r="32" spans="1:9" ht="14.1" customHeight="1">
      <c r="B32" s="658"/>
      <c r="C32" s="648"/>
      <c r="D32" s="650"/>
      <c r="E32" s="650"/>
      <c r="F32" s="655"/>
      <c r="G32" s="650"/>
      <c r="H32" s="656"/>
      <c r="I32" s="654"/>
    </row>
    <row r="33" spans="2:9" ht="14.1" customHeight="1">
      <c r="B33" s="658"/>
      <c r="C33" s="648"/>
      <c r="D33" s="650"/>
      <c r="E33" s="650"/>
      <c r="F33" s="655"/>
      <c r="G33" s="650"/>
      <c r="H33" s="656"/>
      <c r="I33" s="654"/>
    </row>
    <row r="34" spans="2:9" ht="14.1" customHeight="1">
      <c r="B34" s="658"/>
      <c r="C34" s="648"/>
      <c r="D34" s="650"/>
      <c r="E34" s="650"/>
      <c r="F34" s="655"/>
      <c r="G34" s="650"/>
      <c r="H34" s="656"/>
      <c r="I34" s="654"/>
    </row>
    <row r="35" spans="2:9" ht="14.1" customHeight="1">
      <c r="B35" s="658"/>
      <c r="C35" s="648"/>
      <c r="D35" s="650"/>
      <c r="E35" s="650"/>
      <c r="F35" s="655"/>
      <c r="G35" s="650"/>
      <c r="H35" s="656"/>
      <c r="I35" s="654"/>
    </row>
  </sheetData>
  <conditionalFormatting sqref="B9 B15">
    <cfRule type="cellIs" dxfId="13" priority="4" stopIfTrue="1" operator="equal">
      <formula>"Title"</formula>
    </cfRule>
  </conditionalFormatting>
  <conditionalFormatting sqref="B8 B14">
    <cfRule type="cellIs" dxfId="12" priority="3" stopIfTrue="1" operator="equal">
      <formula>"Adjustment to Income/Expense/Rate Base:"</formula>
    </cfRule>
  </conditionalFormatting>
  <dataValidations count="4">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 E15"/>
    <dataValidation type="list" errorStyle="warning" allowBlank="1" showInputMessage="1" showErrorMessage="1" errorTitle="FERC ACCOUNT" error="This FERC Account is not included in the drop-down list. Is this the account you want to use?" sqref="D9:D13 D15:D35">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13 E16:E35">
      <formula1>"1, 2, 3"</formula1>
    </dataValidation>
    <dataValidation type="list" errorStyle="warning" allowBlank="1" showInputMessage="1" showErrorMessage="1" errorTitle="Factor" error="This factor is not included in the drop-down list. Is this the factor you want to use?" sqref="G9:G13 G15:G35">
      <formula1>#REF!</formula1>
    </dataValidation>
  </dataValidations>
  <pageMargins left="0.48" right="0.23"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tabColor rgb="FFFFFF00"/>
    <pageSetUpPr fitToPage="1"/>
  </sheetPr>
  <dimension ref="A1:J28"/>
  <sheetViews>
    <sheetView workbookViewId="0">
      <selection activeCell="B4" sqref="B4"/>
    </sheetView>
  </sheetViews>
  <sheetFormatPr defaultColWidth="11.85546875" defaultRowHeight="14.1" customHeight="1"/>
  <cols>
    <col min="1" max="1" width="1.28515625" style="458" customWidth="1"/>
    <col min="2" max="2" width="11.85546875" style="458"/>
    <col min="3" max="3" width="21.28515625" style="458" customWidth="1"/>
    <col min="4" max="8" width="11.85546875" style="458"/>
    <col min="9" max="9" width="14.28515625" style="458" customWidth="1"/>
    <col min="10" max="16384" width="11.85546875" style="458"/>
  </cols>
  <sheetData>
    <row r="1" spans="1:10" ht="14.1" customHeight="1">
      <c r="B1" s="662" t="s">
        <v>52</v>
      </c>
      <c r="D1" s="663"/>
      <c r="E1" s="663"/>
      <c r="F1" s="663"/>
      <c r="G1" s="663"/>
      <c r="H1" s="663"/>
      <c r="I1" s="663"/>
    </row>
    <row r="2" spans="1:10" ht="14.1" customHeight="1">
      <c r="B2" s="662" t="s">
        <v>225</v>
      </c>
      <c r="D2" s="663"/>
      <c r="E2" s="663"/>
      <c r="F2" s="663"/>
      <c r="G2" s="663"/>
      <c r="H2" s="663"/>
      <c r="I2" s="663"/>
    </row>
    <row r="3" spans="1:10" ht="14.1" customHeight="1">
      <c r="B3" s="662" t="s">
        <v>606</v>
      </c>
      <c r="D3" s="663"/>
      <c r="E3" s="663"/>
      <c r="F3" s="663"/>
      <c r="G3" s="663"/>
      <c r="H3" s="663"/>
      <c r="I3" s="663"/>
    </row>
    <row r="4" spans="1:10" ht="14.1" customHeight="1">
      <c r="D4" s="663"/>
      <c r="E4" s="663"/>
      <c r="F4" s="663"/>
      <c r="G4" s="663"/>
      <c r="H4" s="663"/>
      <c r="I4" s="663"/>
    </row>
    <row r="5" spans="1:10" ht="14.1" customHeight="1">
      <c r="D5" s="663"/>
      <c r="E5" s="663"/>
      <c r="F5" s="663"/>
      <c r="G5" s="663"/>
      <c r="H5" s="663"/>
      <c r="I5" s="663"/>
    </row>
    <row r="6" spans="1:10" ht="14.1" customHeight="1">
      <c r="D6" s="663"/>
      <c r="E6" s="663"/>
      <c r="F6" s="663" t="s">
        <v>405</v>
      </c>
      <c r="G6" s="663"/>
      <c r="H6" s="663"/>
      <c r="I6" s="663" t="s">
        <v>406</v>
      </c>
    </row>
    <row r="7" spans="1:10" ht="14.1" customHeight="1">
      <c r="B7" s="664"/>
      <c r="D7" s="665" t="s">
        <v>407</v>
      </c>
      <c r="E7" s="665" t="s">
        <v>408</v>
      </c>
      <c r="F7" s="665" t="s">
        <v>409</v>
      </c>
      <c r="G7" s="665" t="s">
        <v>410</v>
      </c>
      <c r="H7" s="665" t="s">
        <v>411</v>
      </c>
      <c r="I7" s="665" t="s">
        <v>412</v>
      </c>
    </row>
    <row r="8" spans="1:10" ht="14.1" customHeight="1">
      <c r="A8" s="666"/>
      <c r="B8" s="662" t="s">
        <v>459</v>
      </c>
      <c r="C8" s="666"/>
      <c r="D8" s="667"/>
      <c r="E8" s="667"/>
      <c r="F8" s="651"/>
      <c r="G8" s="667"/>
      <c r="H8" s="667"/>
      <c r="I8" s="651"/>
    </row>
    <row r="9" spans="1:10" ht="14.1" customHeight="1">
      <c r="A9" s="666"/>
      <c r="B9" s="458" t="s">
        <v>460</v>
      </c>
      <c r="D9" s="663">
        <v>921</v>
      </c>
      <c r="E9" s="663" t="s">
        <v>416</v>
      </c>
      <c r="F9" s="668">
        <f>-'[8]4.1.1'!F8</f>
        <v>-3260.470113130862</v>
      </c>
      <c r="G9" s="663" t="s">
        <v>431</v>
      </c>
      <c r="H9" s="669">
        <v>7.2043717522988007E-2</v>
      </c>
      <c r="I9" s="654">
        <f>+F9*H9</f>
        <v>-234.89638782254457</v>
      </c>
      <c r="J9" s="670"/>
    </row>
    <row r="10" spans="1:10" ht="14.1" customHeight="1">
      <c r="A10" s="666"/>
      <c r="B10" s="458" t="s">
        <v>460</v>
      </c>
      <c r="D10" s="663">
        <v>901</v>
      </c>
      <c r="E10" s="663" t="s">
        <v>416</v>
      </c>
      <c r="F10" s="668">
        <f>-'[8]4.1.1'!F9</f>
        <v>-991.05465747438905</v>
      </c>
      <c r="G10" s="663" t="s">
        <v>433</v>
      </c>
      <c r="H10" s="669">
        <v>7.0289076871698261E-2</v>
      </c>
      <c r="I10" s="654">
        <f t="shared" ref="I10:I26" si="0">+F10*H10</f>
        <v>-69.660317003271928</v>
      </c>
      <c r="J10" s="670"/>
    </row>
    <row r="11" spans="1:10" ht="14.1" customHeight="1">
      <c r="A11" s="666"/>
      <c r="B11" s="458" t="s">
        <v>460</v>
      </c>
      <c r="D11" s="663">
        <v>560</v>
      </c>
      <c r="E11" s="663" t="s">
        <v>416</v>
      </c>
      <c r="F11" s="668">
        <f>-'[8]4.1.1'!F10</f>
        <v>-184.55348837209286</v>
      </c>
      <c r="G11" s="663" t="s">
        <v>429</v>
      </c>
      <c r="H11" s="669">
        <v>8.1413745949899169E-2</v>
      </c>
      <c r="I11" s="654">
        <f t="shared" si="0"/>
        <v>-15.025190816493238</v>
      </c>
      <c r="J11" s="670"/>
    </row>
    <row r="12" spans="1:10" ht="14.1" customHeight="1">
      <c r="A12" s="666"/>
      <c r="B12" s="458" t="s">
        <v>460</v>
      </c>
      <c r="D12" s="663">
        <v>580</v>
      </c>
      <c r="E12" s="663" t="s">
        <v>416</v>
      </c>
      <c r="F12" s="668">
        <f>-'[8]4.1.1'!F11</f>
        <v>-726.28661960132865</v>
      </c>
      <c r="G12" s="663" t="s">
        <v>432</v>
      </c>
      <c r="H12" s="669">
        <v>6.549584753778967E-2</v>
      </c>
      <c r="I12" s="654">
        <f t="shared" si="0"/>
        <v>-47.568757706145263</v>
      </c>
      <c r="J12" s="670"/>
    </row>
    <row r="13" spans="1:10" ht="14.1" customHeight="1">
      <c r="A13" s="666"/>
      <c r="B13" s="458" t="s">
        <v>461</v>
      </c>
      <c r="D13" s="663">
        <v>903</v>
      </c>
      <c r="E13" s="663" t="s">
        <v>416</v>
      </c>
      <c r="F13" s="668">
        <f>-'[8]4.1.1'!F15</f>
        <v>-13261.959999999994</v>
      </c>
      <c r="G13" s="663" t="s">
        <v>433</v>
      </c>
      <c r="H13" s="669">
        <v>7.0289076871698261E-2</v>
      </c>
      <c r="I13" s="654">
        <f t="shared" si="0"/>
        <v>-932.17092590938705</v>
      </c>
      <c r="J13" s="670"/>
    </row>
    <row r="14" spans="1:10" ht="14.1" customHeight="1">
      <c r="A14" s="666"/>
      <c r="B14" s="458" t="s">
        <v>200</v>
      </c>
      <c r="D14" s="667">
        <v>909</v>
      </c>
      <c r="E14" s="663" t="s">
        <v>416</v>
      </c>
      <c r="F14" s="668">
        <f>-'[8]4.1.1'!F18-'[8]4.1.1'!F21-'[8]4.1.1'!F22</f>
        <v>15727.369999999986</v>
      </c>
      <c r="G14" s="667" t="s">
        <v>433</v>
      </c>
      <c r="H14" s="669">
        <v>7.0289076871698261E-2</v>
      </c>
      <c r="I14" s="654">
        <f t="shared" si="0"/>
        <v>1105.4623189196402</v>
      </c>
      <c r="J14" s="671"/>
    </row>
    <row r="15" spans="1:10" ht="14.1" customHeight="1">
      <c r="A15" s="666"/>
      <c r="B15" s="458" t="s">
        <v>200</v>
      </c>
      <c r="D15" s="667">
        <v>909</v>
      </c>
      <c r="E15" s="663" t="s">
        <v>416</v>
      </c>
      <c r="F15" s="668">
        <f>-'[8]4.1.1'!F19</f>
        <v>3571.01</v>
      </c>
      <c r="G15" s="387" t="s">
        <v>462</v>
      </c>
      <c r="H15" s="669">
        <v>0</v>
      </c>
      <c r="I15" s="654">
        <f t="shared" si="0"/>
        <v>0</v>
      </c>
      <c r="J15" s="671"/>
    </row>
    <row r="16" spans="1:10" ht="14.1" customHeight="1">
      <c r="A16" s="666"/>
      <c r="B16" s="458" t="s">
        <v>200</v>
      </c>
      <c r="D16" s="667">
        <v>909</v>
      </c>
      <c r="E16" s="663" t="s">
        <v>416</v>
      </c>
      <c r="F16" s="668">
        <f>-'[8]4.1.1'!F20</f>
        <v>-84092.83</v>
      </c>
      <c r="G16" s="387" t="s">
        <v>434</v>
      </c>
      <c r="H16" s="669">
        <v>0</v>
      </c>
      <c r="I16" s="654">
        <f t="shared" si="0"/>
        <v>0</v>
      </c>
    </row>
    <row r="17" spans="1:10" ht="14.1" customHeight="1">
      <c r="A17" s="666"/>
      <c r="B17" s="458" t="s">
        <v>463</v>
      </c>
      <c r="C17" s="666"/>
      <c r="D17" s="667">
        <v>921</v>
      </c>
      <c r="E17" s="663" t="s">
        <v>416</v>
      </c>
      <c r="F17" s="651">
        <f>-'[8]4.1.1'!F33</f>
        <v>-26840.690000000002</v>
      </c>
      <c r="G17" s="667" t="s">
        <v>431</v>
      </c>
      <c r="H17" s="669">
        <v>7.2043717522988007E-2</v>
      </c>
      <c r="I17" s="654">
        <f t="shared" si="0"/>
        <v>-1933.7030884820892</v>
      </c>
      <c r="J17" s="672"/>
    </row>
    <row r="18" spans="1:10" ht="14.1" customHeight="1">
      <c r="A18" s="666"/>
      <c r="B18" s="458" t="s">
        <v>464</v>
      </c>
      <c r="C18" s="666"/>
      <c r="D18" s="667">
        <v>923</v>
      </c>
      <c r="E18" s="663" t="s">
        <v>416</v>
      </c>
      <c r="F18" s="651">
        <f>-'[8]4.1.1'!F37</f>
        <v>-1360</v>
      </c>
      <c r="G18" s="667" t="s">
        <v>431</v>
      </c>
      <c r="H18" s="669">
        <v>7.2043717522988007E-2</v>
      </c>
      <c r="I18" s="654">
        <f t="shared" si="0"/>
        <v>-97.979455831263692</v>
      </c>
      <c r="J18" s="672"/>
    </row>
    <row r="19" spans="1:10" ht="14.1" customHeight="1">
      <c r="A19" s="666"/>
      <c r="B19" s="673" t="s">
        <v>465</v>
      </c>
      <c r="C19" s="674"/>
      <c r="D19" s="667">
        <v>923</v>
      </c>
      <c r="E19" s="663"/>
      <c r="F19" s="651"/>
      <c r="G19" s="667"/>
      <c r="H19" s="669"/>
      <c r="I19" s="654">
        <v>-128350</v>
      </c>
      <c r="J19" s="672"/>
    </row>
    <row r="20" spans="1:10" ht="14.1" customHeight="1">
      <c r="A20" s="666"/>
      <c r="B20" s="458" t="s">
        <v>362</v>
      </c>
      <c r="C20" s="666"/>
      <c r="D20" s="667">
        <v>930</v>
      </c>
      <c r="E20" s="663" t="s">
        <v>416</v>
      </c>
      <c r="F20" s="675">
        <f>-'[8]4.1.1'!F40</f>
        <v>-12950</v>
      </c>
      <c r="G20" s="387" t="s">
        <v>462</v>
      </c>
      <c r="H20" s="669">
        <v>0</v>
      </c>
      <c r="I20" s="654">
        <f t="shared" si="0"/>
        <v>0</v>
      </c>
      <c r="J20" s="672"/>
    </row>
    <row r="21" spans="1:10" ht="14.1" customHeight="1">
      <c r="A21" s="666"/>
      <c r="B21" s="458" t="s">
        <v>362</v>
      </c>
      <c r="C21" s="666"/>
      <c r="D21" s="667">
        <v>930</v>
      </c>
      <c r="E21" s="663" t="s">
        <v>416</v>
      </c>
      <c r="F21" s="675">
        <f>-'[8]4.1.1'!F41</f>
        <v>-38850</v>
      </c>
      <c r="G21" s="387" t="s">
        <v>434</v>
      </c>
      <c r="H21" s="669">
        <v>0</v>
      </c>
      <c r="I21" s="654">
        <f t="shared" si="0"/>
        <v>0</v>
      </c>
      <c r="J21" s="672"/>
    </row>
    <row r="22" spans="1:10" ht="14.1" customHeight="1">
      <c r="A22" s="666"/>
      <c r="B22" s="458" t="s">
        <v>362</v>
      </c>
      <c r="C22" s="666"/>
      <c r="D22" s="667">
        <v>930</v>
      </c>
      <c r="E22" s="663" t="s">
        <v>416</v>
      </c>
      <c r="F22" s="675">
        <f>-SUM('[8]4.1.1'!F42:F44)</f>
        <v>-148553.32</v>
      </c>
      <c r="G22" s="387" t="s">
        <v>435</v>
      </c>
      <c r="H22" s="669">
        <v>0</v>
      </c>
      <c r="I22" s="654">
        <f t="shared" si="0"/>
        <v>0</v>
      </c>
      <c r="J22" s="672"/>
    </row>
    <row r="23" spans="1:10" ht="14.1" customHeight="1">
      <c r="A23" s="666"/>
      <c r="B23" s="458" t="s">
        <v>362</v>
      </c>
      <c r="D23" s="667">
        <v>930</v>
      </c>
      <c r="E23" s="663" t="s">
        <v>416</v>
      </c>
      <c r="F23" s="668">
        <f>-'[8]4.1.1'!F45</f>
        <v>-638.79999999999995</v>
      </c>
      <c r="G23" s="387" t="s">
        <v>431</v>
      </c>
      <c r="H23" s="669">
        <v>7.2043717522988007E-2</v>
      </c>
      <c r="I23" s="654">
        <f>+F23*H23</f>
        <v>-46.021526753684739</v>
      </c>
    </row>
    <row r="24" spans="1:10" ht="14.1" customHeight="1">
      <c r="A24" s="666"/>
      <c r="B24" s="458" t="s">
        <v>466</v>
      </c>
      <c r="C24" s="666"/>
      <c r="D24" s="667">
        <v>909</v>
      </c>
      <c r="E24" s="663" t="s">
        <v>416</v>
      </c>
      <c r="F24" s="675">
        <f>-'[8]4.1.1'!F48</f>
        <v>-12212.070000000003</v>
      </c>
      <c r="G24" s="387" t="s">
        <v>433</v>
      </c>
      <c r="H24" s="669">
        <v>7.0289076871698261E-2</v>
      </c>
      <c r="I24" s="654">
        <f t="shared" si="0"/>
        <v>-858.37512699256047</v>
      </c>
      <c r="J24" s="672"/>
    </row>
    <row r="25" spans="1:10" ht="14.1" customHeight="1">
      <c r="A25" s="666"/>
      <c r="B25" s="458" t="s">
        <v>466</v>
      </c>
      <c r="C25" s="666"/>
      <c r="D25" s="667">
        <v>921</v>
      </c>
      <c r="E25" s="663" t="s">
        <v>416</v>
      </c>
      <c r="F25" s="675">
        <f>-'[8]4.1.1'!F49</f>
        <v>-11443.249999999998</v>
      </c>
      <c r="G25" s="387" t="s">
        <v>431</v>
      </c>
      <c r="H25" s="669">
        <v>7.2043717522988007E-2</v>
      </c>
      <c r="I25" s="654">
        <f t="shared" si="0"/>
        <v>-824.41427054493238</v>
      </c>
      <c r="J25" s="676"/>
    </row>
    <row r="26" spans="1:10" ht="14.1" customHeight="1">
      <c r="A26" s="666"/>
      <c r="B26" s="458" t="s">
        <v>466</v>
      </c>
      <c r="C26" s="666"/>
      <c r="D26" s="667">
        <v>931</v>
      </c>
      <c r="E26" s="663" t="s">
        <v>416</v>
      </c>
      <c r="F26" s="675">
        <f>-'[8]4.1.1'!F50</f>
        <v>-582.5</v>
      </c>
      <c r="G26" s="387" t="s">
        <v>431</v>
      </c>
      <c r="H26" s="669">
        <v>7.2043717522988007E-2</v>
      </c>
      <c r="I26" s="654">
        <f t="shared" si="0"/>
        <v>-41.965465457140517</v>
      </c>
      <c r="J26" s="677"/>
    </row>
    <row r="27" spans="1:10" ht="14.1" customHeight="1" thickBot="1">
      <c r="A27" s="666"/>
      <c r="B27" s="678" t="s">
        <v>467</v>
      </c>
      <c r="C27" s="666"/>
      <c r="D27" s="667"/>
      <c r="E27" s="667"/>
      <c r="F27" s="679">
        <f>SUM(F9:F26)</f>
        <v>-336649.40487857867</v>
      </c>
      <c r="G27" s="667"/>
      <c r="H27" s="680"/>
      <c r="I27" s="679">
        <f>SUM(I9:I26)</f>
        <v>-132346.31819439988</v>
      </c>
    </row>
    <row r="28" spans="1:10" ht="14.1" customHeight="1" thickTop="1">
      <c r="A28" s="666"/>
      <c r="B28" s="678"/>
      <c r="C28" s="666"/>
      <c r="D28" s="667"/>
      <c r="E28" s="667"/>
      <c r="F28" s="681"/>
      <c r="G28" s="667"/>
      <c r="H28" s="680"/>
      <c r="I28" s="654"/>
    </row>
  </sheetData>
  <conditionalFormatting sqref="B9:B13 B17:B26">
    <cfRule type="cellIs" dxfId="11" priority="3" stopIfTrue="1" operator="equal">
      <formula>"Title"</formula>
    </cfRule>
  </conditionalFormatting>
  <conditionalFormatting sqref="B7">
    <cfRule type="cellIs" dxfId="10" priority="2" stopIfTrue="1" operator="equal">
      <formula>"Adjustment to Income/Expense/Rate Base:"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7:E28">
      <formula1>"1, 2, 3"</formula1>
    </dataValidation>
    <dataValidation type="list" errorStyle="warning" allowBlank="1" showInputMessage="1" showErrorMessage="1" errorTitle="FERC ACCOUNT" error="This FERC Account is not included in the drop-down list. Is this the account you want to use?" sqref="D14:D28">
      <formula1>#REF!</formula1>
    </dataValidation>
    <dataValidation type="list" errorStyle="warning" allowBlank="1" showInputMessage="1" showErrorMessage="1" errorTitle="Factor" error="This factor is not included in the drop-down list. Is this the factor you want to use?" sqref="G22:G28 G14:G20">
      <formula1>#REF!</formula1>
    </dataValidation>
  </dataValidations>
  <pageMargins left="0.5" right="0.21" top="0.75" bottom="0.75" header="0.3" footer="0.3"/>
  <pageSetup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Motion</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2011-07-01T07:00:00+00:00</OpenedDate>
    <Date1 xmlns="dc463f71-b30c-4ab2-9473-d307f9d35888">2012-01-13T08:00:00+00:00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111190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7CE28074734D4792DBD415A4708DE0" ma:contentTypeVersion="143" ma:contentTypeDescription="" ma:contentTypeScope="" ma:versionID="a3dd2b48c08cc92b7c987e6cb8a261d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7F21FE-7242-4BAE-A9BD-E075FB76C6AD}"/>
</file>

<file path=customXml/itemProps2.xml><?xml version="1.0" encoding="utf-8"?>
<ds:datastoreItem xmlns:ds="http://schemas.openxmlformats.org/officeDocument/2006/customXml" ds:itemID="{0F7E5EEA-8DE6-43AD-9A06-BF463223A2DF}"/>
</file>

<file path=customXml/itemProps3.xml><?xml version="1.0" encoding="utf-8"?>
<ds:datastoreItem xmlns:ds="http://schemas.openxmlformats.org/officeDocument/2006/customXml" ds:itemID="{94C07AC0-7560-4D69-B0EE-4E7B927BFD2E}"/>
</file>

<file path=customXml/itemProps4.xml><?xml version="1.0" encoding="utf-8"?>
<ds:datastoreItem xmlns:ds="http://schemas.openxmlformats.org/officeDocument/2006/customXml" ds:itemID="{BDD853F4-8079-42B5-9B23-C7F0D63558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31</vt:i4>
      </vt:variant>
    </vt:vector>
  </HeadingPairs>
  <TitlesOfParts>
    <vt:vector size="59" baseType="lpstr">
      <vt:lpstr>Exhibit DWS-3</vt:lpstr>
      <vt:lpstr>Summary</vt:lpstr>
      <vt:lpstr>ICNU v Company</vt:lpstr>
      <vt:lpstr>ICNU Restating v PF</vt:lpstr>
      <vt:lpstr>ICNU Adj Summary</vt:lpstr>
      <vt:lpstr>ICNU 3.2</vt:lpstr>
      <vt:lpstr>ICNU 3.6</vt:lpstr>
      <vt:lpstr>ICNU 3.7</vt:lpstr>
      <vt:lpstr>ICNU 4.1</vt:lpstr>
      <vt:lpstr>ICNU 4.3</vt:lpstr>
      <vt:lpstr>ICNU 4.11</vt:lpstr>
      <vt:lpstr>ICNU 4.11.1</vt:lpstr>
      <vt:lpstr>ICNU 4.11.2</vt:lpstr>
      <vt:lpstr>ICNU 4.11.3</vt:lpstr>
      <vt:lpstr>ICNU 4.11.4</vt:lpstr>
      <vt:lpstr>ICNU 5.1.1</vt:lpstr>
      <vt:lpstr>ICNU 9.1</vt:lpstr>
      <vt:lpstr>Total Adj</vt:lpstr>
      <vt:lpstr>Restating Adj</vt:lpstr>
      <vt:lpstr>Pro Forma Adj</vt:lpstr>
      <vt:lpstr>Interest Calc</vt:lpstr>
      <vt:lpstr>Variables</vt:lpstr>
      <vt:lpstr>Check Sheet</vt:lpstr>
      <vt:lpstr>Exhibit No.__(RBD-2) pg 1</vt:lpstr>
      <vt:lpstr>Exhibit No.__(RBD-2) pg 2-3</vt:lpstr>
      <vt:lpstr>Page 1.4</vt:lpstr>
      <vt:lpstr>Page 1.5</vt:lpstr>
      <vt:lpstr>Page 1.6</vt:lpstr>
      <vt:lpstr>Cost_Debt</vt:lpstr>
      <vt:lpstr>Cost_equity</vt:lpstr>
      <vt:lpstr>Cost_pref</vt:lpstr>
      <vt:lpstr>gross_up_factor</vt:lpstr>
      <vt:lpstr>Overall_ROR</vt:lpstr>
      <vt:lpstr>Percent_common</vt:lpstr>
      <vt:lpstr>Percent_debt</vt:lpstr>
      <vt:lpstr>Percent_pref</vt:lpstr>
      <vt:lpstr>'ICNU Restating v PF'!Print_Area</vt:lpstr>
      <vt:lpstr>'Page 1.4'!Print_Area</vt:lpstr>
      <vt:lpstr>'Page 1.5'!Print_Area</vt:lpstr>
      <vt:lpstr>'Page 1.6'!Print_Area</vt:lpstr>
      <vt:lpstr>'Pro Forma Adj'!Print_Area</vt:lpstr>
      <vt:lpstr>'Restating Adj'!Print_Area</vt:lpstr>
      <vt:lpstr>'Total Adj'!Print_Area</vt:lpstr>
      <vt:lpstr>'Exhibit No.__(RBD-2) pg 2-3'!Print_Titles</vt:lpstr>
      <vt:lpstr>'Pro Forma Adj'!Print_Titles</vt:lpstr>
      <vt:lpstr>'Restating Adj'!Print_Titles</vt:lpstr>
      <vt:lpstr>'Total Adj'!Print_Titles</vt:lpstr>
      <vt:lpstr>Restated_Op_revenue</vt:lpstr>
      <vt:lpstr>Restated_rate_base</vt:lpstr>
      <vt:lpstr>Restated_ROE</vt:lpstr>
      <vt:lpstr>Unadj_Op_revenue</vt:lpstr>
      <vt:lpstr>Unadj_rate_base</vt:lpstr>
      <vt:lpstr>Unadj_ROE</vt:lpstr>
      <vt:lpstr>uncollectible_perc</vt:lpstr>
      <vt:lpstr>WA_rev_tax_perc</vt:lpstr>
      <vt:lpstr>Weighted_cost_debt</vt:lpstr>
      <vt:lpstr>Weighted_cost_equity</vt:lpstr>
      <vt:lpstr>Weighted_cost_pref</vt:lpstr>
      <vt:lpstr>WUTC_reg_fee_perc</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SOWMYA SUNDARAM</dc:creator>
  <cp:lastModifiedBy>Don Schoenbeck</cp:lastModifiedBy>
  <cp:lastPrinted>2012-01-13T19:11:52Z</cp:lastPrinted>
  <dcterms:created xsi:type="dcterms:W3CDTF">2009-02-17T19:17:29Z</dcterms:created>
  <dcterms:modified xsi:type="dcterms:W3CDTF">2012-01-13T19:19:43Z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0x0101006E56B4D1795A2E4DB2F0B01679ED314A00D17CE28074734D4792DBD415A4708DE0</vt:lpwstr>
  </property>
  <property fmtid="{D5CDD505-2E9C-101B-9397-08002B2CF9AE}" pid="3" name="_docset_NoMedatataSyncRequired">
    <vt:lpwstr>False</vt:lpwstr>
  </property>
</Properties>
</file>