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 windowWidth="14265" windowHeight="7515" activeTab="2"/>
  </bookViews>
  <sheets>
    <sheet name="01.01.10 Base" sheetId="2" r:id="rId1"/>
    <sheet name="UG-100468 Base" sheetId="6" r:id="rId2"/>
    <sheet name="2011" sheetId="1" r:id="rId3"/>
    <sheet name="GL Accounts" sheetId="5" r:id="rId4"/>
  </sheets>
  <definedNames>
    <definedName name="_xlnm.Print_Area" localSheetId="3">'GL Accounts'!$A$1:$E$82</definedName>
    <definedName name="_xlnm.Print_Titles" localSheetId="0">'01.01.10 Base'!$1:$3</definedName>
    <definedName name="_xlnm.Print_Titles" localSheetId="1">'UG-100468 Base'!$1:$3</definedName>
    <definedName name="Revenue_Run_Customers" localSheetId="0">#REF!</definedName>
    <definedName name="Revenue_Run_Customers" localSheetId="2">#REF!</definedName>
    <definedName name="Revenue_Run_Customers" localSheetId="1">#REF!</definedName>
    <definedName name="Revenue_Run_Customers">#REF!</definedName>
    <definedName name="Revenue_Run_Therms" localSheetId="0">#REF!</definedName>
    <definedName name="Revenue_Run_Therms" localSheetId="2">#REF!</definedName>
    <definedName name="Revenue_Run_Therms" localSheetId="1">#REF!</definedName>
    <definedName name="Revenue_Run_Therms">#REF!</definedName>
    <definedName name="WC_Unb_Calc" localSheetId="0">#REF!</definedName>
    <definedName name="WC_Unb_Calc" localSheetId="2">#REF!</definedName>
    <definedName name="WC_Unb_Calc" localSheetId="1">#REF!</definedName>
    <definedName name="WC_Unb_Calc">#REF!</definedName>
  </definedNames>
  <calcPr calcId="125725"/>
</workbook>
</file>

<file path=xl/calcChain.xml><?xml version="1.0" encoding="utf-8"?>
<calcChain xmlns="http://schemas.openxmlformats.org/spreadsheetml/2006/main">
  <c r="P16" i="1"/>
  <c r="P44"/>
  <c r="P66" i="6"/>
  <c r="O66"/>
  <c r="N66"/>
  <c r="M66"/>
  <c r="L66"/>
  <c r="K66"/>
  <c r="J66"/>
  <c r="I66"/>
  <c r="H66"/>
  <c r="G66"/>
  <c r="F66"/>
  <c r="E66"/>
  <c r="Q65"/>
  <c r="Q64"/>
  <c r="Q63"/>
  <c r="Q62"/>
  <c r="Q66" s="1"/>
  <c r="O57"/>
  <c r="M57"/>
  <c r="K57"/>
  <c r="I57"/>
  <c r="G57"/>
  <c r="E57"/>
  <c r="Q57" s="1"/>
  <c r="O55"/>
  <c r="M55"/>
  <c r="K55"/>
  <c r="I55"/>
  <c r="G55"/>
  <c r="E55"/>
  <c r="P48"/>
  <c r="P57" s="1"/>
  <c r="O48"/>
  <c r="O56" s="1"/>
  <c r="N48"/>
  <c r="N57" s="1"/>
  <c r="M48"/>
  <c r="M56" s="1"/>
  <c r="L48"/>
  <c r="L57" s="1"/>
  <c r="K48"/>
  <c r="K56" s="1"/>
  <c r="J48"/>
  <c r="J57" s="1"/>
  <c r="I48"/>
  <c r="I56" s="1"/>
  <c r="H48"/>
  <c r="H57" s="1"/>
  <c r="G48"/>
  <c r="G56" s="1"/>
  <c r="F48"/>
  <c r="F57" s="1"/>
  <c r="E48"/>
  <c r="E56" s="1"/>
  <c r="Q47"/>
  <c r="Q46"/>
  <c r="Q42"/>
  <c r="F24"/>
  <c r="F26" s="1"/>
  <c r="Q18"/>
  <c r="P18"/>
  <c r="O18"/>
  <c r="N18"/>
  <c r="M18"/>
  <c r="L18"/>
  <c r="K18"/>
  <c r="J18"/>
  <c r="I18"/>
  <c r="H18"/>
  <c r="G18"/>
  <c r="F18"/>
  <c r="E18"/>
  <c r="D14"/>
  <c r="Q12"/>
  <c r="P12"/>
  <c r="O12"/>
  <c r="N12"/>
  <c r="M12"/>
  <c r="L12"/>
  <c r="K12"/>
  <c r="J12"/>
  <c r="I12"/>
  <c r="H12"/>
  <c r="G12"/>
  <c r="F12"/>
  <c r="E12"/>
  <c r="Q11"/>
  <c r="P11"/>
  <c r="O11"/>
  <c r="N11"/>
  <c r="M11"/>
  <c r="L11"/>
  <c r="K11"/>
  <c r="J11"/>
  <c r="I11"/>
  <c r="H11"/>
  <c r="G11"/>
  <c r="F11"/>
  <c r="E11" s="1"/>
  <c r="Q10"/>
  <c r="P10"/>
  <c r="O10"/>
  <c r="N10"/>
  <c r="M10"/>
  <c r="L10"/>
  <c r="K10"/>
  <c r="J10"/>
  <c r="I10"/>
  <c r="H10"/>
  <c r="G10"/>
  <c r="F10"/>
  <c r="P89" i="2"/>
  <c r="O89"/>
  <c r="N89"/>
  <c r="M89"/>
  <c r="L89"/>
  <c r="K89"/>
  <c r="J89"/>
  <c r="I89"/>
  <c r="H89"/>
  <c r="G89"/>
  <c r="F89"/>
  <c r="E89"/>
  <c r="D89"/>
  <c r="Q88"/>
  <c r="Q87"/>
  <c r="Q86"/>
  <c r="Q89" s="1"/>
  <c r="Q85"/>
  <c r="Q80"/>
  <c r="E80"/>
  <c r="P76"/>
  <c r="N76"/>
  <c r="L76"/>
  <c r="J76"/>
  <c r="H76"/>
  <c r="F76"/>
  <c r="Q75"/>
  <c r="O75"/>
  <c r="M75"/>
  <c r="K75"/>
  <c r="I75"/>
  <c r="G75"/>
  <c r="E75"/>
  <c r="P74"/>
  <c r="N74"/>
  <c r="L74"/>
  <c r="J74"/>
  <c r="H74"/>
  <c r="F74"/>
  <c r="Q71"/>
  <c r="Q76" s="1"/>
  <c r="P71"/>
  <c r="O71"/>
  <c r="O76" s="1"/>
  <c r="N71"/>
  <c r="M71"/>
  <c r="M76" s="1"/>
  <c r="L71"/>
  <c r="K71"/>
  <c r="K76" s="1"/>
  <c r="J71"/>
  <c r="I71"/>
  <c r="I76" s="1"/>
  <c r="H71"/>
  <c r="G71"/>
  <c r="G76" s="1"/>
  <c r="F71"/>
  <c r="E71"/>
  <c r="E76" s="1"/>
  <c r="Q70"/>
  <c r="P70"/>
  <c r="P75" s="1"/>
  <c r="O70"/>
  <c r="N70"/>
  <c r="N75" s="1"/>
  <c r="M70"/>
  <c r="L70"/>
  <c r="L75" s="1"/>
  <c r="K70"/>
  <c r="J70"/>
  <c r="J75" s="1"/>
  <c r="I70"/>
  <c r="H70"/>
  <c r="H75" s="1"/>
  <c r="G70"/>
  <c r="F70"/>
  <c r="F75" s="1"/>
  <c r="E70"/>
  <c r="Q69"/>
  <c r="Q74" s="1"/>
  <c r="Q77" s="1"/>
  <c r="Q79" s="1"/>
  <c r="P69"/>
  <c r="O69"/>
  <c r="O74" s="1"/>
  <c r="O77" s="1"/>
  <c r="N69"/>
  <c r="M69"/>
  <c r="M74" s="1"/>
  <c r="M77" s="1"/>
  <c r="L69"/>
  <c r="K69"/>
  <c r="K74" s="1"/>
  <c r="K77" s="1"/>
  <c r="J69"/>
  <c r="I69"/>
  <c r="I74" s="1"/>
  <c r="I77" s="1"/>
  <c r="H69"/>
  <c r="G69"/>
  <c r="G74" s="1"/>
  <c r="G77" s="1"/>
  <c r="F69"/>
  <c r="E69"/>
  <c r="E74" s="1"/>
  <c r="E77" s="1"/>
  <c r="E79" s="1"/>
  <c r="O60"/>
  <c r="M60"/>
  <c r="K60"/>
  <c r="I60"/>
  <c r="G60"/>
  <c r="E60"/>
  <c r="Q60" s="1"/>
  <c r="O58"/>
  <c r="M58"/>
  <c r="K58"/>
  <c r="I58"/>
  <c r="G58"/>
  <c r="E58"/>
  <c r="P51"/>
  <c r="P60" s="1"/>
  <c r="O51"/>
  <c r="O59" s="1"/>
  <c r="N51"/>
  <c r="N60" s="1"/>
  <c r="M51"/>
  <c r="M59" s="1"/>
  <c r="L51"/>
  <c r="L60" s="1"/>
  <c r="K51"/>
  <c r="K59" s="1"/>
  <c r="J51"/>
  <c r="J60" s="1"/>
  <c r="I51"/>
  <c r="I59" s="1"/>
  <c r="H51"/>
  <c r="H60" s="1"/>
  <c r="G51"/>
  <c r="G59" s="1"/>
  <c r="F51"/>
  <c r="F60" s="1"/>
  <c r="E51"/>
  <c r="E59" s="1"/>
  <c r="Q50"/>
  <c r="Q49"/>
  <c r="Q45"/>
  <c r="E27"/>
  <c r="E29" s="1"/>
  <c r="F25"/>
  <c r="F27" s="1"/>
  <c r="E25"/>
  <c r="G25" s="1"/>
  <c r="G27" s="1"/>
  <c r="Q21"/>
  <c r="P21"/>
  <c r="O21"/>
  <c r="N21"/>
  <c r="M21"/>
  <c r="L21"/>
  <c r="K21"/>
  <c r="J21"/>
  <c r="I21"/>
  <c r="H21"/>
  <c r="G21"/>
  <c r="F21"/>
  <c r="E21" s="1"/>
  <c r="N12"/>
  <c r="D12"/>
  <c r="N16" s="1"/>
  <c r="O11"/>
  <c r="D11"/>
  <c r="O16" s="1"/>
  <c r="Q10"/>
  <c r="P10"/>
  <c r="O10"/>
  <c r="N10"/>
  <c r="M10"/>
  <c r="L10"/>
  <c r="K10"/>
  <c r="J10"/>
  <c r="I10"/>
  <c r="H10"/>
  <c r="G10"/>
  <c r="F10"/>
  <c r="O118" i="1"/>
  <c r="O120" s="1"/>
  <c r="O18" s="1"/>
  <c r="N118"/>
  <c r="N120" s="1"/>
  <c r="M118"/>
  <c r="M120" s="1"/>
  <c r="L118"/>
  <c r="L120" s="1"/>
  <c r="K118"/>
  <c r="K120" s="1"/>
  <c r="J118"/>
  <c r="I118"/>
  <c r="I120" s="1"/>
  <c r="H118"/>
  <c r="H120" s="1"/>
  <c r="I17" s="1"/>
  <c r="O111"/>
  <c r="N111"/>
  <c r="M111"/>
  <c r="L111"/>
  <c r="K111"/>
  <c r="J111"/>
  <c r="I111"/>
  <c r="H111"/>
  <c r="G111"/>
  <c r="F111"/>
  <c r="E111"/>
  <c r="D111"/>
  <c r="P110"/>
  <c r="P109"/>
  <c r="P108"/>
  <c r="P107"/>
  <c r="P111" s="1"/>
  <c r="O93"/>
  <c r="O102" s="1"/>
  <c r="N93"/>
  <c r="N101" s="1"/>
  <c r="M93"/>
  <c r="M102" s="1"/>
  <c r="L93"/>
  <c r="L101" s="1"/>
  <c r="K93"/>
  <c r="K102" s="1"/>
  <c r="J93"/>
  <c r="J101" s="1"/>
  <c r="I93"/>
  <c r="I102" s="1"/>
  <c r="H93"/>
  <c r="H101" s="1"/>
  <c r="G93"/>
  <c r="G102" s="1"/>
  <c r="F93"/>
  <c r="F101" s="1"/>
  <c r="E93"/>
  <c r="E102" s="1"/>
  <c r="D93"/>
  <c r="D101" s="1"/>
  <c r="P92"/>
  <c r="P91"/>
  <c r="O82"/>
  <c r="N82"/>
  <c r="M82"/>
  <c r="L82"/>
  <c r="K82"/>
  <c r="J82"/>
  <c r="I82"/>
  <c r="H82"/>
  <c r="G82"/>
  <c r="F82"/>
  <c r="E82"/>
  <c r="D82"/>
  <c r="C82"/>
  <c r="P81"/>
  <c r="P80"/>
  <c r="P79"/>
  <c r="P82" s="1"/>
  <c r="P78"/>
  <c r="P64"/>
  <c r="O64"/>
  <c r="N64"/>
  <c r="M64"/>
  <c r="L64"/>
  <c r="L69" s="1"/>
  <c r="K64"/>
  <c r="K69" s="1"/>
  <c r="J64"/>
  <c r="J69" s="1"/>
  <c r="I64"/>
  <c r="I69" s="1"/>
  <c r="H64"/>
  <c r="H69" s="1"/>
  <c r="G64"/>
  <c r="G69" s="1"/>
  <c r="F64"/>
  <c r="F69" s="1"/>
  <c r="E64"/>
  <c r="D64"/>
  <c r="P63"/>
  <c r="O63"/>
  <c r="N63"/>
  <c r="M63"/>
  <c r="L63"/>
  <c r="L68" s="1"/>
  <c r="K63"/>
  <c r="K68" s="1"/>
  <c r="J63"/>
  <c r="J68" s="1"/>
  <c r="I63"/>
  <c r="I68" s="1"/>
  <c r="H63"/>
  <c r="H68" s="1"/>
  <c r="G63"/>
  <c r="G68" s="1"/>
  <c r="F63"/>
  <c r="F68" s="1"/>
  <c r="E63"/>
  <c r="D63"/>
  <c r="P62"/>
  <c r="O62"/>
  <c r="N62"/>
  <c r="M62"/>
  <c r="L62"/>
  <c r="L67" s="1"/>
  <c r="L70" s="1"/>
  <c r="K62"/>
  <c r="K67" s="1"/>
  <c r="J62"/>
  <c r="J67" s="1"/>
  <c r="J70" s="1"/>
  <c r="I62"/>
  <c r="I67" s="1"/>
  <c r="H62"/>
  <c r="H67" s="1"/>
  <c r="H70" s="1"/>
  <c r="G62"/>
  <c r="G67" s="1"/>
  <c r="F62"/>
  <c r="F67" s="1"/>
  <c r="F70" s="1"/>
  <c r="E62"/>
  <c r="D62"/>
  <c r="P60"/>
  <c r="O60"/>
  <c r="N60"/>
  <c r="M60"/>
  <c r="E60"/>
  <c r="D60"/>
  <c r="P59"/>
  <c r="P69" s="1"/>
  <c r="O59"/>
  <c r="O68" s="1"/>
  <c r="N59"/>
  <c r="N69" s="1"/>
  <c r="M59"/>
  <c r="M68" s="1"/>
  <c r="E59"/>
  <c r="E68" s="1"/>
  <c r="D59"/>
  <c r="D69" s="1"/>
  <c r="O44"/>
  <c r="O53" s="1"/>
  <c r="N44"/>
  <c r="N52" s="1"/>
  <c r="M44"/>
  <c r="M53" s="1"/>
  <c r="E44"/>
  <c r="E53" s="1"/>
  <c r="D44"/>
  <c r="D52" s="1"/>
  <c r="L43"/>
  <c r="L44" s="1"/>
  <c r="K43"/>
  <c r="K44" s="1"/>
  <c r="J43"/>
  <c r="J44" s="1"/>
  <c r="I43"/>
  <c r="I44" s="1"/>
  <c r="H43"/>
  <c r="H44" s="1"/>
  <c r="G43"/>
  <c r="G44" s="1"/>
  <c r="F43"/>
  <c r="F44" s="1"/>
  <c r="P42"/>
  <c r="O26"/>
  <c r="O28" s="1"/>
  <c r="N26"/>
  <c r="N28" s="1"/>
  <c r="M26"/>
  <c r="M28" s="1"/>
  <c r="L26"/>
  <c r="L28" s="1"/>
  <c r="K26"/>
  <c r="K28" s="1"/>
  <c r="J26"/>
  <c r="J28" s="1"/>
  <c r="P23"/>
  <c r="O15"/>
  <c r="N15"/>
  <c r="M15"/>
  <c r="L15"/>
  <c r="K15"/>
  <c r="J15"/>
  <c r="P14"/>
  <c r="J14" i="6" l="1"/>
  <c r="J19" s="1"/>
  <c r="G58"/>
  <c r="H13" s="1"/>
  <c r="H14" s="1"/>
  <c r="H19" s="1"/>
  <c r="K58"/>
  <c r="L13" s="1"/>
  <c r="L14" s="1"/>
  <c r="L19" s="1"/>
  <c r="O58"/>
  <c r="P13" s="1"/>
  <c r="P14" s="1"/>
  <c r="P19" s="1"/>
  <c r="E58"/>
  <c r="F13" s="1"/>
  <c r="I58"/>
  <c r="J13" s="1"/>
  <c r="M58"/>
  <c r="N13" s="1"/>
  <c r="N14" s="1"/>
  <c r="N19" s="1"/>
  <c r="E10"/>
  <c r="F14"/>
  <c r="F19" s="1"/>
  <c r="F56"/>
  <c r="Q56" s="1"/>
  <c r="H56"/>
  <c r="J56"/>
  <c r="L56"/>
  <c r="N56"/>
  <c r="P56"/>
  <c r="Q48"/>
  <c r="F55"/>
  <c r="H55"/>
  <c r="H58" s="1"/>
  <c r="I13" s="1"/>
  <c r="I14" s="1"/>
  <c r="I19" s="1"/>
  <c r="J55"/>
  <c r="L55"/>
  <c r="L58" s="1"/>
  <c r="M13" s="1"/>
  <c r="M14" s="1"/>
  <c r="M19" s="1"/>
  <c r="N55"/>
  <c r="P55"/>
  <c r="P58" s="1"/>
  <c r="Q13" s="1"/>
  <c r="Q14" s="1"/>
  <c r="Q19" s="1"/>
  <c r="Q11" i="2"/>
  <c r="P12"/>
  <c r="I11"/>
  <c r="H12"/>
  <c r="K11"/>
  <c r="J12"/>
  <c r="M11"/>
  <c r="L12"/>
  <c r="E61"/>
  <c r="O13" s="1"/>
  <c r="H77"/>
  <c r="L77"/>
  <c r="P77"/>
  <c r="F28"/>
  <c r="G28" s="1"/>
  <c r="G29" s="1"/>
  <c r="G11"/>
  <c r="F12"/>
  <c r="I61"/>
  <c r="G13" s="1"/>
  <c r="M61"/>
  <c r="K13" s="1"/>
  <c r="F29"/>
  <c r="G61"/>
  <c r="Q13" s="1"/>
  <c r="K61"/>
  <c r="I13" s="1"/>
  <c r="O61"/>
  <c r="M13" s="1"/>
  <c r="F77"/>
  <c r="J77"/>
  <c r="N77"/>
  <c r="H59"/>
  <c r="Q59" s="1"/>
  <c r="J59"/>
  <c r="L59"/>
  <c r="N59"/>
  <c r="P59"/>
  <c r="F59"/>
  <c r="E10"/>
  <c r="D14"/>
  <c r="Q51"/>
  <c r="F58"/>
  <c r="F61" s="1"/>
  <c r="P13" s="1"/>
  <c r="H58"/>
  <c r="H61" s="1"/>
  <c r="F13" s="1"/>
  <c r="J58"/>
  <c r="J61" s="1"/>
  <c r="H13" s="1"/>
  <c r="L58"/>
  <c r="L61" s="1"/>
  <c r="J13" s="1"/>
  <c r="N58"/>
  <c r="N61" s="1"/>
  <c r="L13" s="1"/>
  <c r="P58"/>
  <c r="P61" s="1"/>
  <c r="N13" s="1"/>
  <c r="H52" i="1"/>
  <c r="H53"/>
  <c r="H51"/>
  <c r="K19"/>
  <c r="G53"/>
  <c r="G51"/>
  <c r="G54" s="1"/>
  <c r="J19"/>
  <c r="G52"/>
  <c r="I53"/>
  <c r="I51"/>
  <c r="L19"/>
  <c r="L20" s="1"/>
  <c r="L22" s="1"/>
  <c r="I52"/>
  <c r="K53"/>
  <c r="K51"/>
  <c r="N19"/>
  <c r="K52"/>
  <c r="I18"/>
  <c r="J17"/>
  <c r="K18"/>
  <c r="L17"/>
  <c r="M18"/>
  <c r="N17"/>
  <c r="G70"/>
  <c r="I70"/>
  <c r="K70"/>
  <c r="F52"/>
  <c r="P52" s="1"/>
  <c r="F53"/>
  <c r="F51"/>
  <c r="F54" s="1"/>
  <c r="J52"/>
  <c r="J53"/>
  <c r="J51"/>
  <c r="M19"/>
  <c r="L52"/>
  <c r="L53"/>
  <c r="L51"/>
  <c r="O19"/>
  <c r="L18"/>
  <c r="M17"/>
  <c r="M20" s="1"/>
  <c r="M22" s="1"/>
  <c r="N18"/>
  <c r="N20" s="1"/>
  <c r="N22" s="1"/>
  <c r="O17"/>
  <c r="O20" s="1"/>
  <c r="O22" s="1"/>
  <c r="J120"/>
  <c r="P15"/>
  <c r="P43"/>
  <c r="D51"/>
  <c r="N51"/>
  <c r="N54" s="1"/>
  <c r="E19" s="1"/>
  <c r="E52"/>
  <c r="M52"/>
  <c r="O52"/>
  <c r="D53"/>
  <c r="P53" s="1"/>
  <c r="N53"/>
  <c r="E67"/>
  <c r="M67"/>
  <c r="O67"/>
  <c r="D68"/>
  <c r="N68"/>
  <c r="P68"/>
  <c r="E69"/>
  <c r="M69"/>
  <c r="O69"/>
  <c r="D100"/>
  <c r="F100"/>
  <c r="H100"/>
  <c r="J100"/>
  <c r="L100"/>
  <c r="N100"/>
  <c r="E101"/>
  <c r="P101" s="1"/>
  <c r="G101"/>
  <c r="I101"/>
  <c r="K101"/>
  <c r="M101"/>
  <c r="O101"/>
  <c r="D102"/>
  <c r="F102"/>
  <c r="H102"/>
  <c r="J102"/>
  <c r="L102"/>
  <c r="N102"/>
  <c r="E51"/>
  <c r="E54" s="1"/>
  <c r="H19" s="1"/>
  <c r="M51"/>
  <c r="M54" s="1"/>
  <c r="D19" s="1"/>
  <c r="O51"/>
  <c r="O54" s="1"/>
  <c r="F19" s="1"/>
  <c r="D67"/>
  <c r="D70" s="1"/>
  <c r="N67"/>
  <c r="P67"/>
  <c r="P70" s="1"/>
  <c r="P93"/>
  <c r="E100"/>
  <c r="E103" s="1"/>
  <c r="G100"/>
  <c r="I100"/>
  <c r="I103" s="1"/>
  <c r="K100"/>
  <c r="M100"/>
  <c r="M103" s="1"/>
  <c r="O100"/>
  <c r="N58" i="6" l="1"/>
  <c r="O13" s="1"/>
  <c r="O14" s="1"/>
  <c r="O19" s="1"/>
  <c r="J58"/>
  <c r="K13" s="1"/>
  <c r="K14" s="1"/>
  <c r="K19" s="1"/>
  <c r="F58"/>
  <c r="G13" s="1"/>
  <c r="G14" s="1"/>
  <c r="G19" s="1"/>
  <c r="Q55"/>
  <c r="Q58" s="1"/>
  <c r="E13"/>
  <c r="E14" s="1"/>
  <c r="E19" s="1"/>
  <c r="G12" i="2"/>
  <c r="H11"/>
  <c r="H14" s="1"/>
  <c r="H18" s="1"/>
  <c r="H22" s="1"/>
  <c r="I12"/>
  <c r="J11"/>
  <c r="J14" s="1"/>
  <c r="J18" s="1"/>
  <c r="J22" s="1"/>
  <c r="Q58"/>
  <c r="Q61" s="1"/>
  <c r="G14"/>
  <c r="G18" s="1"/>
  <c r="G22" s="1"/>
  <c r="K14"/>
  <c r="K18" s="1"/>
  <c r="K22" s="1"/>
  <c r="I14"/>
  <c r="I18" s="1"/>
  <c r="I22" s="1"/>
  <c r="Q14"/>
  <c r="Q18" s="1"/>
  <c r="Q22" s="1"/>
  <c r="K12"/>
  <c r="L11"/>
  <c r="L14" s="1"/>
  <c r="L18" s="1"/>
  <c r="L22" s="1"/>
  <c r="O12"/>
  <c r="O14" s="1"/>
  <c r="O18" s="1"/>
  <c r="O22" s="1"/>
  <c r="P11"/>
  <c r="P14" s="1"/>
  <c r="P18" s="1"/>
  <c r="P22" s="1"/>
  <c r="M12"/>
  <c r="M14" s="1"/>
  <c r="M18" s="1"/>
  <c r="M22" s="1"/>
  <c r="N11"/>
  <c r="N14" s="1"/>
  <c r="N18" s="1"/>
  <c r="N22" s="1"/>
  <c r="Q12"/>
  <c r="F11"/>
  <c r="E13"/>
  <c r="E12"/>
  <c r="F18" i="1"/>
  <c r="G17"/>
  <c r="D103"/>
  <c r="P100"/>
  <c r="D54"/>
  <c r="G19" s="1"/>
  <c r="P51"/>
  <c r="P54" s="1"/>
  <c r="P19"/>
  <c r="O103"/>
  <c r="I19" s="1"/>
  <c r="I20" s="1"/>
  <c r="I22" s="1"/>
  <c r="I24" s="1"/>
  <c r="I26" s="1"/>
  <c r="I28" s="1"/>
  <c r="K103"/>
  <c r="G103"/>
  <c r="N70"/>
  <c r="P102"/>
  <c r="L103"/>
  <c r="H103"/>
  <c r="M70"/>
  <c r="D17" s="1"/>
  <c r="L54"/>
  <c r="J54"/>
  <c r="K54"/>
  <c r="I54"/>
  <c r="H54"/>
  <c r="G18"/>
  <c r="H17"/>
  <c r="J18"/>
  <c r="J20" s="1"/>
  <c r="J22" s="1"/>
  <c r="K17"/>
  <c r="K20" s="1"/>
  <c r="K22" s="1"/>
  <c r="N103"/>
  <c r="J103"/>
  <c r="F103"/>
  <c r="O70"/>
  <c r="E70"/>
  <c r="H18" s="1"/>
  <c r="E11" i="2" l="1"/>
  <c r="E14" s="1"/>
  <c r="E16" s="1"/>
  <c r="F14"/>
  <c r="F18" s="1"/>
  <c r="E18" i="1"/>
  <c r="F17"/>
  <c r="F20" s="1"/>
  <c r="F22" s="1"/>
  <c r="F24" s="1"/>
  <c r="F26" s="1"/>
  <c r="F28" s="1"/>
  <c r="H20"/>
  <c r="H22" s="1"/>
  <c r="H24" s="1"/>
  <c r="H26" s="1"/>
  <c r="H28" s="1"/>
  <c r="P103"/>
  <c r="G20"/>
  <c r="G22" s="1"/>
  <c r="G24" s="1"/>
  <c r="G26" s="1"/>
  <c r="G28" s="1"/>
  <c r="D20"/>
  <c r="D22" s="1"/>
  <c r="D18"/>
  <c r="P18" s="1"/>
  <c r="E17"/>
  <c r="E20" s="1"/>
  <c r="E22" s="1"/>
  <c r="E24" s="1"/>
  <c r="E26" s="1"/>
  <c r="E28" s="1"/>
  <c r="F22" i="2" l="1"/>
  <c r="E18"/>
  <c r="E22" s="1"/>
  <c r="D24" i="1"/>
  <c r="P22"/>
  <c r="P17"/>
  <c r="P20" s="1"/>
  <c r="P24" l="1"/>
  <c r="D26"/>
  <c r="D28" l="1"/>
  <c r="P28" s="1"/>
  <c r="P26"/>
</calcChain>
</file>

<file path=xl/comments1.xml><?xml version="1.0" encoding="utf-8"?>
<comments xmlns="http://schemas.openxmlformats.org/spreadsheetml/2006/main">
  <authors>
    <author>gzhkw6</author>
    <author>Joe Miller</author>
  </authors>
  <commentList>
    <comment ref="D59" authorId="0">
      <text>
        <r>
          <rPr>
            <b/>
            <sz val="10"/>
            <color indexed="81"/>
            <rFont val="Tahoma"/>
            <family val="2"/>
          </rPr>
          <t>gzhkw6:</t>
        </r>
        <r>
          <rPr>
            <sz val="10"/>
            <color indexed="81"/>
            <rFont val="Tahoma"/>
            <family val="2"/>
          </rPr>
          <t xml:space="preserve">
Due to meter reading cycle issues booked unbilled usage was increased by 3.61% over the scheduled cycle day estimate.  The same percentage is applied to the decoupling unbilled factors.</t>
        </r>
      </text>
    </comment>
    <comment ref="E59" authorId="0">
      <text>
        <r>
          <rPr>
            <b/>
            <sz val="10"/>
            <color indexed="81"/>
            <rFont val="Tahoma"/>
            <family val="2"/>
          </rPr>
          <t>gzhkw6:</t>
        </r>
        <r>
          <rPr>
            <sz val="10"/>
            <color indexed="81"/>
            <rFont val="Tahoma"/>
            <family val="2"/>
          </rPr>
          <t xml:space="preserve">
Due to meter reading cycle issues booked unbilled usage was increased by 5.67% over the scheduled cycle day estimate.  The same percentage is applied to the decoupling unbilled factors.</t>
        </r>
      </text>
    </comment>
    <comment ref="M59" authorId="0">
      <text>
        <r>
          <rPr>
            <b/>
            <sz val="10"/>
            <color indexed="81"/>
            <rFont val="Tahoma"/>
            <family val="2"/>
          </rPr>
          <t>gzhkw6:</t>
        </r>
        <r>
          <rPr>
            <sz val="10"/>
            <color indexed="81"/>
            <rFont val="Tahoma"/>
            <family val="2"/>
          </rPr>
          <t xml:space="preserve">
Due to meter reading cycle issues booked unbilled usage was increased by 9.55% over the scheduled cycle day estimate.  The same percentage is applied to the decoupling unbilled factors.</t>
        </r>
      </text>
    </comment>
    <comment ref="N59" authorId="0">
      <text>
        <r>
          <rPr>
            <b/>
            <sz val="10"/>
            <color indexed="81"/>
            <rFont val="Tahoma"/>
            <family val="2"/>
          </rPr>
          <t>gzhkw6:</t>
        </r>
        <r>
          <rPr>
            <sz val="10"/>
            <color indexed="81"/>
            <rFont val="Tahoma"/>
            <family val="2"/>
          </rPr>
          <t xml:space="preserve">
Due to meter reading cycle issues booked unbilled usage was increased by 8.48% over the scheduled cycle day estimate.  The same percentage is applied to the decoupling unbilled factors.</t>
        </r>
      </text>
    </comment>
    <comment ref="O59" authorId="0">
      <text>
        <r>
          <rPr>
            <b/>
            <sz val="10"/>
            <color indexed="81"/>
            <rFont val="Tahoma"/>
            <family val="2"/>
          </rPr>
          <t>gzhkw6:</t>
        </r>
        <r>
          <rPr>
            <sz val="10"/>
            <color indexed="81"/>
            <rFont val="Tahoma"/>
            <family val="2"/>
          </rPr>
          <t xml:space="preserve">
Due to meter reading cycle issues booked unbilled usage was increased by 8.48% over the scheduled cycle day estimate.  The same percentage is applied to the decoupling unbilled factors.</t>
        </r>
      </text>
    </comment>
    <comment ref="P59" authorId="1">
      <text>
        <r>
          <rPr>
            <b/>
            <sz val="8"/>
            <color indexed="81"/>
            <rFont val="Tahoma"/>
            <family val="2"/>
          </rPr>
          <t>Joe Miller:</t>
        </r>
        <r>
          <rPr>
            <sz val="8"/>
            <color indexed="81"/>
            <rFont val="Tahoma"/>
            <family val="2"/>
          </rPr>
          <t xml:space="preserve">
Due to meter reading cycle issues booked unbilled usage was increased by 5.45% over the scheduled cycle day estimate.  The same percentage is applied to the decoupling unbilled factors.</t>
        </r>
      </text>
    </comment>
  </commentList>
</comments>
</file>

<file path=xl/sharedStrings.xml><?xml version="1.0" encoding="utf-8"?>
<sst xmlns="http://schemas.openxmlformats.org/spreadsheetml/2006/main" count="407" uniqueCount="170">
  <si>
    <t>AVISTA UTILITIES</t>
  </si>
  <si>
    <t>Washington - Gas</t>
  </si>
  <si>
    <t>Adjusted for Actual New Customer Usage and Schedule Shifting</t>
  </si>
  <si>
    <t>Period July 2010 - June 2011</t>
  </si>
  <si>
    <t>Period to Date</t>
  </si>
  <si>
    <t>July</t>
  </si>
  <si>
    <t>August</t>
  </si>
  <si>
    <t>September</t>
  </si>
  <si>
    <t>October</t>
  </si>
  <si>
    <t>November</t>
  </si>
  <si>
    <t>December</t>
  </si>
  <si>
    <t>January</t>
  </si>
  <si>
    <t>February</t>
  </si>
  <si>
    <t>March</t>
  </si>
  <si>
    <t>April</t>
  </si>
  <si>
    <t>May</t>
  </si>
  <si>
    <t>June</t>
  </si>
  <si>
    <t>Total</t>
  </si>
  <si>
    <t>Schedule 101</t>
  </si>
  <si>
    <t>Schedule 101 Billed Therms</t>
  </si>
  <si>
    <t>Deduct New Customer Usage(1)</t>
  </si>
  <si>
    <t>Schedule Shifting Adjustment (2)</t>
  </si>
  <si>
    <t>Deduct Prior Month Unbilled Therms</t>
  </si>
  <si>
    <t>Add Current Month Unbilled Therms</t>
  </si>
  <si>
    <t>Add Weather Adjustment</t>
  </si>
  <si>
    <t xml:space="preserve">   Weather Adj Calendar Therms</t>
  </si>
  <si>
    <t>Weather Adj Calendar Therms</t>
  </si>
  <si>
    <t>Less Test Year Therms</t>
  </si>
  <si>
    <t xml:space="preserve">      Therm Difference</t>
  </si>
  <si>
    <t xml:space="preserve">      Times Current Margin Rate per Therm</t>
  </si>
  <si>
    <t xml:space="preserve">         Revenue Excess (Shortfall)</t>
  </si>
  <si>
    <t>45% Limitation</t>
  </si>
  <si>
    <t xml:space="preserve">Deferred Revenue Account Entry </t>
  </si>
  <si>
    <t>407328 or (407428)</t>
  </si>
  <si>
    <t>2008 Test Year Factors,  2010 -2011 Actual Weather and Cycle Days</t>
  </si>
  <si>
    <t>Weather Normalization</t>
  </si>
  <si>
    <t>Normal Degree Days (30 Year Average 1979 - 2008)</t>
  </si>
  <si>
    <t>Actual Degree Days</t>
  </si>
  <si>
    <t>Degree Day Adjustment (1,6)</t>
  </si>
  <si>
    <t>Monthly</t>
  </si>
  <si>
    <t>Res 101</t>
  </si>
  <si>
    <t>Use/DD/Cust(6)</t>
  </si>
  <si>
    <t>Com 101</t>
  </si>
  <si>
    <t>Ind 101</t>
  </si>
  <si>
    <t>Sch. 101</t>
  </si>
  <si>
    <t xml:space="preserve">  Total 101</t>
  </si>
  <si>
    <t>Monthly Unbilled Calculation</t>
  </si>
  <si>
    <t>Unbilled DDH (current period cycle day worksheet)</t>
  </si>
  <si>
    <t>Unbilled Factor (current period cycle day worksheet)</t>
  </si>
  <si>
    <t>08 Baseld(6)</t>
  </si>
  <si>
    <t xml:space="preserve">   Total</t>
  </si>
  <si>
    <t>Pro Rata Adjustment to per Books Unbilled Total</t>
  </si>
  <si>
    <t>Pro Rata Adjusted Unbilled Total (1)</t>
  </si>
  <si>
    <t>Revenue Run Customers (Meters Billed)</t>
  </si>
  <si>
    <t>Class</t>
  </si>
  <si>
    <t>12 ME Sept</t>
  </si>
  <si>
    <t>Residential 101</t>
  </si>
  <si>
    <t>01</t>
  </si>
  <si>
    <t>Commercial 101</t>
  </si>
  <si>
    <t>21</t>
  </si>
  <si>
    <t>Industrial 101</t>
  </si>
  <si>
    <t>31</t>
  </si>
  <si>
    <t>Interdepartmental 101</t>
  </si>
  <si>
    <t>80</t>
  </si>
  <si>
    <t>Avista Utilities</t>
  </si>
  <si>
    <t xml:space="preserve">Washington - Gas - Test Year Calculations for Decoupling </t>
  </si>
  <si>
    <t>12 Months Ended September 2008 - Docket No. UG-090135</t>
  </si>
  <si>
    <t xml:space="preserve">12 MONTHS ENDED SEPTEMBER 2008 TEST YEAR BASE </t>
  </si>
  <si>
    <t>Allowed Docket No. UG-090135</t>
  </si>
  <si>
    <t>Per BJH(1)</t>
  </si>
  <si>
    <t>Annual Total</t>
  </si>
  <si>
    <t>Therms</t>
  </si>
  <si>
    <t>Usage from Revenue Run(2)</t>
  </si>
  <si>
    <t>Ded: Prior Mo. Unbilled(2)</t>
  </si>
  <si>
    <t>Add: Current Mo. Unbilled(2)</t>
  </si>
  <si>
    <t>Add: Weather Adjustment(2)</t>
  </si>
  <si>
    <t xml:space="preserve">   Test Year Monthly Therms</t>
  </si>
  <si>
    <t xml:space="preserve">Adjust to Annual Pro Forma </t>
  </si>
  <si>
    <t>Monthly Pro Forma Therms</t>
  </si>
  <si>
    <t>Customers / Billings</t>
  </si>
  <si>
    <t>Test Yr Customers/Billings(2)</t>
  </si>
  <si>
    <t>Test Year Average Use/Cust</t>
  </si>
  <si>
    <t>Schedule 156 (14th revision)</t>
  </si>
  <si>
    <t>Sch 101 Base Rate/therm(3)</t>
  </si>
  <si>
    <t>Times:  1 minus Revenue Related Items (4)</t>
  </si>
  <si>
    <t>Revenue prior to gross up</t>
  </si>
  <si>
    <t>Less: Weighted Average Gas Cost/therm(5)</t>
  </si>
  <si>
    <t xml:space="preserve">   Margin Rate/therm</t>
  </si>
  <si>
    <t>(1) From Hirschkorn workpapers in Docket No. UG-090135  BJH -1, BJH -11, and BJH - 18</t>
  </si>
  <si>
    <t>(2) From 12 ME September 2008 Monthly Data (below)</t>
  </si>
  <si>
    <t>(3) From Compliance Filing Schedule 101 per therm rate (with and without 11/1/2008 Schedule 156 gas cost adder)</t>
  </si>
  <si>
    <t>(4) From Andrews Compliance Revenue Requirement model, page 4, line 7</t>
  </si>
  <si>
    <t>(5) From Schedule 156 purchased gas cost per therm rate (14th revision sheet effective 11/1/2008)</t>
  </si>
  <si>
    <t>(6) From Hirschkorn workpapers in Docket No. UG-090135  BJH-12, BJH -17, BJH -19, and BJH - 20</t>
  </si>
  <si>
    <t>UG-090135 Weather Normalization and Unbilled Calculation</t>
  </si>
  <si>
    <t>12 Months Ended September 2008 Monthly Data</t>
  </si>
  <si>
    <t>Revenue Run Therms</t>
  </si>
  <si>
    <t>Total 101</t>
  </si>
  <si>
    <t>Unbilled DDH (6)</t>
  </si>
  <si>
    <t>Unbilled Factor (6)</t>
  </si>
  <si>
    <t xml:space="preserve">(1) Per monthly reports - current month usage for new services opened since that month of the test year. </t>
  </si>
  <si>
    <t xml:space="preserve">(2)  The schedule shifting adjustment adds back test year usage of customers that have shifted away from Schedule 101 and deducts the current month usage of customers that were on a different schedule during the test year and have shifted to Schedule 101. </t>
  </si>
  <si>
    <t>Balance Sheet Accounts</t>
  </si>
  <si>
    <t>Ferc Acct:186328</t>
  </si>
  <si>
    <t xml:space="preserve">Ferc Acct Desc:REG ASSET-DECOUPLING DEFERRED </t>
  </si>
  <si>
    <t>Service:GD</t>
  </si>
  <si>
    <t>Jurisdiction:WA</t>
  </si>
  <si>
    <t>Accounting Period</t>
  </si>
  <si>
    <t>Beginning Balance</t>
  </si>
  <si>
    <t>Monthly Activity</t>
  </si>
  <si>
    <t>Ending Balance</t>
  </si>
  <si>
    <t>Ferc Acct:182328</t>
  </si>
  <si>
    <t>Ferc Acct Desc:REG ASSET- DECOUPLING SURCHARG</t>
  </si>
  <si>
    <t>Ferc Acct:182329</t>
  </si>
  <si>
    <t>Ferc Acct Desc:REG ASSET- DECOUPLING PRIOR YE</t>
  </si>
  <si>
    <t>Ferc Acct:283328</t>
  </si>
  <si>
    <t>Ferc Acct Desc:ADFIT DECOUPLING DEFERRED REV</t>
  </si>
  <si>
    <t>Income Statement Accounts</t>
  </si>
  <si>
    <t>Ferc Acct:407428</t>
  </si>
  <si>
    <t>Ferc Acct Desc:REG CREDIT DECOUPLING DEF REV</t>
  </si>
  <si>
    <t>Ferc Acct:407328</t>
  </si>
  <si>
    <t>Ferc Acct Desc:REG DEBIT DECOUPLING DEF REV</t>
  </si>
  <si>
    <t>Ferc Acct:407329</t>
  </si>
  <si>
    <t>Ferc Acct Desc:REG DEBIT AMT DECOUPLING SURCH</t>
  </si>
  <si>
    <t>GL Account Balance  Accounting Period : '201010, 201011, 201012'</t>
  </si>
  <si>
    <t>201010</t>
  </si>
  <si>
    <t>201011</t>
  </si>
  <si>
    <t>201012</t>
  </si>
  <si>
    <t>Sum: -20,115.00</t>
  </si>
  <si>
    <t>Sum: 382,820.19</t>
  </si>
  <si>
    <t>Sum: -577,061.00</t>
  </si>
  <si>
    <t>Sum: 75,024.54</t>
  </si>
  <si>
    <t>Sum: -41,424.00</t>
  </si>
  <si>
    <t>Sum: 61,539.00</t>
  </si>
  <si>
    <t>Sum: 197,460.54</t>
  </si>
  <si>
    <t>Approved Decoupling Mechanism per Order No. 10 Docket No. UG-090135</t>
  </si>
  <si>
    <t>July through November 2010 compared to 12 ME September 2008 Test Year - UG-090135 rates</t>
  </si>
  <si>
    <t>December 2010 through June 2011 compared to 12 ME December 2009 Test Year - UG-100468 rates</t>
  </si>
  <si>
    <t>2009 Test Year Factors,  2010 -2011 Actual Weather and Unbilled</t>
  </si>
  <si>
    <t>12 Months Ended December 2009 Monthly Data</t>
  </si>
  <si>
    <t>Normal Degree Days (30 Year Average 1980 - 2009)</t>
  </si>
  <si>
    <t>Degree Day Adjustment (1,7)</t>
  </si>
  <si>
    <t>Use/DD/Cust(7)</t>
  </si>
  <si>
    <t>(8)</t>
  </si>
  <si>
    <t>Unbilled Sch 101 per Books</t>
  </si>
  <si>
    <t>Rev Run Customers (Meters Billed)</t>
  </si>
  <si>
    <t>Average Unbilled per Customer</t>
  </si>
  <si>
    <t>Test Year Customer Current Unbilled</t>
  </si>
  <si>
    <t>12 Months Ended December 2009 - Docket No. UG-100468</t>
  </si>
  <si>
    <t xml:space="preserve">12 MONTHS ENDED DECEMBER 2009 TEST YEAR BASE </t>
  </si>
  <si>
    <t>Settlement Docket No. UG-100468</t>
  </si>
  <si>
    <t>Per PDE(1)</t>
  </si>
  <si>
    <t>(1) From Ehrbar workpapers in Docket No. UG-100468  PDE-G -1, PDE-G-16, and PDE-G-17</t>
  </si>
  <si>
    <t xml:space="preserve">(2) From Monthly Data below </t>
  </si>
  <si>
    <t>(3) From Docket No. UG-100468 Settlement Stipulation Appendix 4, page 5</t>
  </si>
  <si>
    <t>(4) From Docket No. UG-100468 Andrews Exhibit EMA-3, page 4, line 7</t>
  </si>
  <si>
    <t>(5) From Schedule 156 purchased gas cost per therm rate (15th revision sheet effective 11/1/2009)</t>
  </si>
  <si>
    <t>UG-100468 Weather Normalization and Unbilled Calculation</t>
  </si>
  <si>
    <t>Total 101 (6)</t>
  </si>
  <si>
    <t>WA101 (9)</t>
  </si>
  <si>
    <t>(6) From Knox workpapers in Docket No. UG-100468, TLK-R-120</t>
  </si>
  <si>
    <t>(7) From Knox workpapers in Docket No. UG-100468, TLK-R-53</t>
  </si>
  <si>
    <t>(8) From Knox workpapers in Docket No. UG-100468, TLK-R-23</t>
  </si>
  <si>
    <t>(9) From Knox workpapers in Docket No. UG-100468, TLK-R-6 with monthly columns expanded</t>
  </si>
  <si>
    <t>UG-090135 Base Rates Effective January 1, 2010 through November 30, 2010</t>
  </si>
  <si>
    <t>UG-100468 Base Rates Effective 12/1/2010</t>
  </si>
  <si>
    <t>See Note 1</t>
  </si>
  <si>
    <t>Note 1</t>
  </si>
  <si>
    <t>At this point in time three successive surcharges have been collected with rates each determined based on estimated usage and interest rates.   Any over- or under-collection of prior surcharges automatically rolls over as the following surcharge balance is transferred into the 182328 general ledger account in November.  The $57,630 balance in this account at the end of October 2010 reflects the net under-recovery of the three surcharges (excluding true-up of unbilled October therms billed in November and December).  Lower than expected consumption due to considerably warmer than normal weather January through March of 2010 contributed to this outstanding balance.  The 11/2007 - 10/2008 surcharge over-collected by approximately $10,500, the 11/2008 - 10/2009 surcharge over-collected by approximately $17,000, and the 11/2009 - 10/2010 surcharge under-collected by approximately $82,000 for a net roll-over at November 2010 of approximately $54,500.</t>
  </si>
  <si>
    <t>12 Months Ended June 2011 Forecast</t>
  </si>
</sst>
</file>

<file path=xl/styles.xml><?xml version="1.0" encoding="utf-8"?>
<styleSheet xmlns="http://schemas.openxmlformats.org/spreadsheetml/2006/main">
  <numFmts count="13">
    <numFmt numFmtId="5" formatCode="&quot;$&quot;#,##0_);\(&quot;$&quot;#,##0\)"/>
    <numFmt numFmtId="44" formatCode="_(&quot;$&quot;* #,##0.00_);_(&quot;$&quot;* \(#,##0.00\);_(&quot;$&quot;* &quot;-&quot;??_);_(@_)"/>
    <numFmt numFmtId="43" formatCode="_(* #,##0.00_);_(* \(#,##0.00\);_(* &quot;-&quot;??_);_(@_)"/>
    <numFmt numFmtId="164" formatCode="_(* #,##0_);_(* \(#,##0\);_(* &quot;-&quot;??_);_(@_)"/>
    <numFmt numFmtId="165" formatCode="0.00000"/>
    <numFmt numFmtId="166" formatCode="0.0000"/>
    <numFmt numFmtId="167" formatCode="0.0"/>
    <numFmt numFmtId="168" formatCode="&quot;$&quot;#,##0.00000_);\(&quot;$&quot;#,##0.00000\)"/>
    <numFmt numFmtId="169" formatCode="0.0000%"/>
    <numFmt numFmtId="170" formatCode="#,###,###,##0.00"/>
    <numFmt numFmtId="171" formatCode="###,###,##0.00"/>
    <numFmt numFmtId="172" formatCode="_(* #,##0.00000_);_(* \(#,##0.00000\);_(* &quot;-&quot;??_);_(@_)"/>
    <numFmt numFmtId="173" formatCode="&quot;$&quot;#,##0.000000_);\(&quot;$&quot;#,##0.000000\)"/>
  </numFmts>
  <fonts count="22">
    <font>
      <sz val="10"/>
      <name val="Arial"/>
    </font>
    <font>
      <sz val="10"/>
      <name val="Arial"/>
      <family val="2"/>
    </font>
    <font>
      <b/>
      <sz val="10"/>
      <name val="Arial"/>
      <family val="2"/>
    </font>
    <font>
      <sz val="10"/>
      <name val="Arial"/>
      <family val="2"/>
    </font>
    <font>
      <b/>
      <u/>
      <sz val="10"/>
      <name val="Arial"/>
      <family val="2"/>
    </font>
    <font>
      <sz val="10"/>
      <color indexed="12"/>
      <name val="Arial"/>
      <family val="2"/>
    </font>
    <font>
      <b/>
      <i/>
      <sz val="10"/>
      <name val="Arial"/>
      <family val="2"/>
    </font>
    <font>
      <u/>
      <sz val="10"/>
      <name val="Arial"/>
      <family val="2"/>
    </font>
    <font>
      <sz val="9"/>
      <name val="Arial"/>
      <family val="2"/>
    </font>
    <font>
      <sz val="20"/>
      <name val="Arial"/>
      <family val="2"/>
    </font>
    <font>
      <sz val="16"/>
      <name val="Arial"/>
      <family val="2"/>
    </font>
    <font>
      <u val="singleAccounting"/>
      <sz val="10"/>
      <name val="Arial"/>
      <family val="2"/>
    </font>
    <font>
      <sz val="10"/>
      <color rgb="FF002060"/>
      <name val="Arial"/>
      <family val="2"/>
    </font>
    <font>
      <b/>
      <sz val="10"/>
      <color indexed="81"/>
      <name val="Tahoma"/>
      <family val="2"/>
    </font>
    <font>
      <sz val="10"/>
      <color indexed="81"/>
      <name val="Tahoma"/>
      <family val="2"/>
    </font>
    <font>
      <sz val="8"/>
      <color indexed="81"/>
      <name val="Tahoma"/>
      <family val="2"/>
    </font>
    <font>
      <b/>
      <sz val="8"/>
      <color indexed="81"/>
      <name val="Tahoma"/>
      <family val="2"/>
    </font>
    <font>
      <sz val="10"/>
      <color indexed="8"/>
      <name val="Times New Roman"/>
      <family val="1"/>
    </font>
    <font>
      <sz val="10"/>
      <color indexed="8"/>
      <name val="Arial"/>
      <family val="2"/>
    </font>
    <font>
      <b/>
      <sz val="10"/>
      <color indexed="8"/>
      <name val="Arial"/>
      <family val="2"/>
    </font>
    <font>
      <sz val="11"/>
      <color theme="1"/>
      <name val="Calibri"/>
      <family val="2"/>
      <scheme val="minor"/>
    </font>
    <font>
      <sz val="11"/>
      <color theme="1"/>
      <name val="Calibri"/>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8"/>
      </top>
      <bottom style="thin">
        <color indexed="8"/>
      </bottom>
      <diagonal/>
    </border>
    <border>
      <left style="thick">
        <color indexed="64"/>
      </left>
      <right/>
      <top/>
      <bottom/>
      <diagonal/>
    </border>
    <border>
      <left style="thick">
        <color indexed="64"/>
      </left>
      <right/>
      <top style="thin">
        <color indexed="64"/>
      </top>
      <bottom/>
      <diagonal/>
    </border>
  </borders>
  <cellStyleXfs count="2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0" fillId="0" borderId="0"/>
    <xf numFmtId="44" fontId="1" fillId="0" borderId="0" applyFont="0" applyFill="0" applyBorder="0" applyAlignment="0" applyProtection="0"/>
  </cellStyleXfs>
  <cellXfs count="164">
    <xf numFmtId="0" fontId="0" fillId="0" borderId="0" xfId="0"/>
    <xf numFmtId="0" fontId="3" fillId="0" borderId="0" xfId="0" applyFont="1"/>
    <xf numFmtId="0" fontId="2" fillId="0" borderId="0" xfId="0" applyFont="1"/>
    <xf numFmtId="0" fontId="2" fillId="0" borderId="0" xfId="0" applyFont="1" applyBorder="1" applyAlignment="1">
      <alignment horizontal="center"/>
    </xf>
    <xf numFmtId="0" fontId="4" fillId="0" borderId="0" xfId="0" applyFont="1" applyAlignment="1">
      <alignment horizontal="center"/>
    </xf>
    <xf numFmtId="0" fontId="4" fillId="0" borderId="0" xfId="0" applyFont="1" applyBorder="1" applyAlignment="1">
      <alignment horizontal="center"/>
    </xf>
    <xf numFmtId="0" fontId="4" fillId="0" borderId="0" xfId="0" applyFont="1"/>
    <xf numFmtId="164" fontId="3" fillId="0" borderId="0" xfId="1" applyNumberFormat="1" applyFont="1"/>
    <xf numFmtId="164" fontId="5" fillId="0" borderId="0" xfId="1" applyNumberFormat="1" applyFont="1" applyFill="1"/>
    <xf numFmtId="164" fontId="5" fillId="0" borderId="0" xfId="1" applyNumberFormat="1" applyFont="1" applyFill="1" applyBorder="1"/>
    <xf numFmtId="164" fontId="3" fillId="0" borderId="0" xfId="0" applyNumberFormat="1" applyFont="1"/>
    <xf numFmtId="0" fontId="6" fillId="0" borderId="0" xfId="0" applyFont="1"/>
    <xf numFmtId="164" fontId="0" fillId="0" borderId="0" xfId="0" applyNumberFormat="1" applyBorder="1"/>
    <xf numFmtId="164" fontId="0" fillId="0" borderId="1" xfId="0" applyNumberFormat="1" applyBorder="1"/>
    <xf numFmtId="165" fontId="7" fillId="0" borderId="0" xfId="0" applyNumberFormat="1" applyFont="1" applyBorder="1"/>
    <xf numFmtId="5" fontId="2" fillId="0" borderId="0" xfId="2" applyNumberFormat="1" applyFont="1"/>
    <xf numFmtId="5" fontId="2" fillId="0" borderId="0" xfId="2" applyNumberFormat="1" applyFont="1" applyFill="1"/>
    <xf numFmtId="5" fontId="2" fillId="0" borderId="0" xfId="2" applyNumberFormat="1" applyFont="1" applyBorder="1"/>
    <xf numFmtId="5" fontId="2" fillId="0" borderId="0" xfId="0" applyNumberFormat="1" applyFont="1"/>
    <xf numFmtId="164" fontId="2" fillId="0" borderId="0" xfId="1" applyNumberFormat="1" applyFont="1" applyBorder="1"/>
    <xf numFmtId="164" fontId="5" fillId="0" borderId="0" xfId="1" applyNumberFormat="1" applyFont="1"/>
    <xf numFmtId="164" fontId="0" fillId="0" borderId="0" xfId="0" applyNumberFormat="1"/>
    <xf numFmtId="17" fontId="7" fillId="0" borderId="0" xfId="0" applyNumberFormat="1" applyFont="1" applyAlignment="1">
      <alignment horizontal="right"/>
    </xf>
    <xf numFmtId="0" fontId="7" fillId="0" borderId="0" xfId="0" applyFont="1" applyAlignment="1">
      <alignment horizontal="right"/>
    </xf>
    <xf numFmtId="0" fontId="8" fillId="0" borderId="0" xfId="0" applyFont="1"/>
    <xf numFmtId="164" fontId="1" fillId="0" borderId="0" xfId="1" applyNumberFormat="1"/>
    <xf numFmtId="0" fontId="0" fillId="0" borderId="1" xfId="0" applyBorder="1"/>
    <xf numFmtId="0" fontId="7" fillId="0" borderId="0" xfId="0" quotePrefix="1" applyFont="1" applyAlignment="1">
      <alignment horizontal="right"/>
    </xf>
    <xf numFmtId="166" fontId="0" fillId="0" borderId="0" xfId="0" applyNumberFormat="1"/>
    <xf numFmtId="0" fontId="7" fillId="0" borderId="0" xfId="0" applyFont="1"/>
    <xf numFmtId="164" fontId="1" fillId="0" borderId="1" xfId="1" applyNumberFormat="1" applyBorder="1"/>
    <xf numFmtId="164" fontId="1" fillId="0" borderId="0" xfId="1" applyNumberFormat="1" applyBorder="1"/>
    <xf numFmtId="0" fontId="0" fillId="0" borderId="0" xfId="0" applyAlignment="1">
      <alignment horizontal="left"/>
    </xf>
    <xf numFmtId="17" fontId="7" fillId="0" borderId="0" xfId="0" applyNumberFormat="1" applyFont="1"/>
    <xf numFmtId="10" fontId="1" fillId="0" borderId="0" xfId="3" applyNumberFormat="1"/>
    <xf numFmtId="164" fontId="1" fillId="0" borderId="0" xfId="1" applyNumberFormat="1" applyFont="1"/>
    <xf numFmtId="17" fontId="7" fillId="0" borderId="0" xfId="0" applyNumberFormat="1" applyFont="1" applyAlignment="1">
      <alignment horizontal="center"/>
    </xf>
    <xf numFmtId="0" fontId="0" fillId="0" borderId="0" xfId="0" quotePrefix="1" applyAlignment="1">
      <alignment horizontal="center"/>
    </xf>
    <xf numFmtId="0" fontId="7" fillId="0" borderId="0" xfId="0" applyFont="1" applyAlignment="1">
      <alignment horizontal="center"/>
    </xf>
    <xf numFmtId="164" fontId="11" fillId="0" borderId="0" xfId="1" applyNumberFormat="1" applyFont="1"/>
    <xf numFmtId="164" fontId="11" fillId="0" borderId="0" xfId="0" applyNumberFormat="1" applyFont="1"/>
    <xf numFmtId="164" fontId="11" fillId="0" borderId="0" xfId="0" applyNumberFormat="1" applyFont="1" applyBorder="1"/>
    <xf numFmtId="164" fontId="0" fillId="0" borderId="0" xfId="1" applyNumberFormat="1" applyFont="1" applyAlignment="1">
      <alignment horizontal="center"/>
    </xf>
    <xf numFmtId="165" fontId="0" fillId="0" borderId="0" xfId="0" applyNumberFormat="1"/>
    <xf numFmtId="168" fontId="0" fillId="0" borderId="0" xfId="0" applyNumberFormat="1"/>
    <xf numFmtId="168" fontId="2" fillId="0" borderId="1" xfId="0" applyNumberFormat="1" applyFont="1" applyFill="1" applyBorder="1"/>
    <xf numFmtId="169" fontId="1" fillId="0" borderId="0" xfId="3" applyNumberFormat="1" applyFont="1"/>
    <xf numFmtId="164" fontId="1" fillId="0" borderId="1" xfId="1" applyNumberFormat="1" applyFont="1" applyBorder="1"/>
    <xf numFmtId="164" fontId="1" fillId="0" borderId="0" xfId="1" applyNumberFormat="1" applyFont="1" applyBorder="1"/>
    <xf numFmtId="10" fontId="1" fillId="0" borderId="0" xfId="3" applyNumberFormat="1" applyFont="1"/>
    <xf numFmtId="164" fontId="0" fillId="0" borderId="0" xfId="1" applyNumberFormat="1" applyFont="1"/>
    <xf numFmtId="167" fontId="12" fillId="0" borderId="0" xfId="0" applyNumberFormat="1" applyFont="1" applyFill="1"/>
    <xf numFmtId="10" fontId="12" fillId="0" borderId="0" xfId="3" applyNumberFormat="1" applyFont="1" applyFill="1"/>
    <xf numFmtId="0" fontId="0" fillId="0" borderId="0" xfId="0" applyFill="1"/>
    <xf numFmtId="0" fontId="17" fillId="0" borderId="2" xfId="0" applyFont="1" applyFill="1" applyBorder="1" applyAlignment="1">
      <alignment horizontal="left" vertical="center" wrapText="1"/>
    </xf>
    <xf numFmtId="0" fontId="18" fillId="0" borderId="2" xfId="0" applyFont="1" applyFill="1" applyBorder="1" applyAlignment="1">
      <alignment horizontal="left" vertical="top"/>
    </xf>
    <xf numFmtId="0" fontId="17" fillId="0" borderId="2" xfId="0" applyFont="1" applyFill="1" applyBorder="1" applyAlignment="1">
      <alignment horizontal="left" vertical="top"/>
    </xf>
    <xf numFmtId="0" fontId="17" fillId="0" borderId="2" xfId="0" applyFont="1" applyFill="1" applyBorder="1" applyAlignment="1">
      <alignment horizontal="left" vertical="center"/>
    </xf>
    <xf numFmtId="170" fontId="17" fillId="0" borderId="2" xfId="0" applyNumberFormat="1" applyFont="1" applyFill="1" applyBorder="1" applyAlignment="1">
      <alignment horizontal="right" vertical="center"/>
    </xf>
    <xf numFmtId="171" fontId="17" fillId="0" borderId="2" xfId="0" applyNumberFormat="1" applyFont="1" applyFill="1" applyBorder="1" applyAlignment="1">
      <alignment horizontal="right" vertical="center"/>
    </xf>
    <xf numFmtId="0" fontId="19" fillId="0" borderId="2" xfId="0" applyFont="1" applyFill="1" applyBorder="1" applyAlignment="1">
      <alignment horizontal="left" vertical="top"/>
    </xf>
    <xf numFmtId="170" fontId="19" fillId="0" borderId="2" xfId="0" applyNumberFormat="1" applyFont="1" applyFill="1" applyBorder="1" applyAlignment="1">
      <alignment horizontal="left" vertical="top"/>
    </xf>
    <xf numFmtId="171" fontId="19" fillId="0" borderId="2" xfId="0" applyNumberFormat="1" applyFont="1" applyFill="1" applyBorder="1" applyAlignment="1">
      <alignment horizontal="left" vertical="top"/>
    </xf>
    <xf numFmtId="0" fontId="17" fillId="0" borderId="2" xfId="0" applyFont="1" applyFill="1" applyBorder="1" applyAlignment="1">
      <alignment horizontal="right" vertical="center" wrapText="1"/>
    </xf>
    <xf numFmtId="0" fontId="19" fillId="0" borderId="0" xfId="0" applyFont="1" applyFill="1" applyBorder="1" applyAlignment="1">
      <alignment horizontal="left" vertical="top"/>
    </xf>
    <xf numFmtId="170" fontId="19" fillId="0" borderId="0" xfId="0" applyNumberFormat="1" applyFont="1" applyFill="1" applyBorder="1" applyAlignment="1">
      <alignment horizontal="left" vertical="top"/>
    </xf>
    <xf numFmtId="171" fontId="19" fillId="0" borderId="0" xfId="0" applyNumberFormat="1" applyFont="1" applyFill="1" applyBorder="1" applyAlignment="1">
      <alignment horizontal="left" vertical="top"/>
    </xf>
    <xf numFmtId="0" fontId="17" fillId="0" borderId="2" xfId="0" applyFont="1" applyFill="1" applyBorder="1" applyAlignment="1">
      <alignment horizontal="center" vertical="center" wrapText="1"/>
    </xf>
    <xf numFmtId="0" fontId="1" fillId="0" borderId="0" xfId="0" applyFont="1"/>
    <xf numFmtId="0" fontId="1" fillId="0" borderId="0" xfId="0" applyFont="1" applyBorder="1"/>
    <xf numFmtId="0" fontId="1" fillId="0" borderId="3" xfId="0" applyFont="1" applyBorder="1"/>
    <xf numFmtId="0" fontId="2" fillId="0" borderId="3" xfId="0" applyFont="1" applyBorder="1" applyAlignment="1">
      <alignment horizontal="center"/>
    </xf>
    <xf numFmtId="0" fontId="2" fillId="0" borderId="0" xfId="0" applyFont="1" applyAlignment="1">
      <alignment horizontal="right"/>
    </xf>
    <xf numFmtId="0" fontId="4" fillId="0" borderId="3" xfId="0" applyFont="1" applyBorder="1" applyAlignment="1">
      <alignment horizontal="center"/>
    </xf>
    <xf numFmtId="164" fontId="1" fillId="0" borderId="0" xfId="1" applyNumberFormat="1" applyFont="1" applyFill="1"/>
    <xf numFmtId="164" fontId="1" fillId="0" borderId="0" xfId="1" applyNumberFormat="1" applyFont="1" applyFill="1" applyBorder="1"/>
    <xf numFmtId="164" fontId="1" fillId="0" borderId="3" xfId="1" applyNumberFormat="1" applyFont="1" applyFill="1" applyBorder="1"/>
    <xf numFmtId="164" fontId="1" fillId="0" borderId="0" xfId="0" applyNumberFormat="1" applyFont="1"/>
    <xf numFmtId="164" fontId="1" fillId="0" borderId="3" xfId="1" applyNumberFormat="1" applyFont="1" applyBorder="1"/>
    <xf numFmtId="164" fontId="1" fillId="0" borderId="1" xfId="0" applyNumberFormat="1" applyFont="1" applyBorder="1"/>
    <xf numFmtId="164" fontId="1" fillId="0" borderId="4" xfId="0" applyNumberFormat="1" applyFont="1" applyBorder="1"/>
    <xf numFmtId="164" fontId="1" fillId="0" borderId="0" xfId="0" applyNumberFormat="1" applyFont="1" applyBorder="1"/>
    <xf numFmtId="164" fontId="1" fillId="0" borderId="3" xfId="0" applyNumberFormat="1" applyFont="1" applyBorder="1"/>
    <xf numFmtId="164" fontId="0" fillId="0" borderId="3" xfId="0" applyNumberFormat="1" applyBorder="1"/>
    <xf numFmtId="164" fontId="0" fillId="0" borderId="4" xfId="0" applyNumberFormat="1" applyBorder="1"/>
    <xf numFmtId="165" fontId="7" fillId="0" borderId="3" xfId="0" applyNumberFormat="1" applyFont="1" applyBorder="1"/>
    <xf numFmtId="5" fontId="2" fillId="0" borderId="3" xfId="2" applyNumberFormat="1" applyFont="1" applyBorder="1"/>
    <xf numFmtId="0" fontId="1" fillId="0" borderId="0" xfId="0" applyFont="1" applyAlignment="1">
      <alignment horizontal="right"/>
    </xf>
    <xf numFmtId="9" fontId="1" fillId="0" borderId="0" xfId="3" applyFont="1" applyBorder="1"/>
    <xf numFmtId="9" fontId="1" fillId="0" borderId="3" xfId="3" applyFont="1" applyBorder="1"/>
    <xf numFmtId="0" fontId="2" fillId="0" borderId="0" xfId="4" applyFont="1"/>
    <xf numFmtId="0" fontId="1" fillId="0" borderId="0" xfId="4"/>
    <xf numFmtId="0" fontId="4" fillId="0" borderId="0" xfId="4" applyFont="1"/>
    <xf numFmtId="17" fontId="7" fillId="0" borderId="0" xfId="4" applyNumberFormat="1" applyFont="1" applyAlignment="1">
      <alignment horizontal="right"/>
    </xf>
    <xf numFmtId="0" fontId="7" fillId="0" borderId="0" xfId="4" applyFont="1" applyAlignment="1">
      <alignment horizontal="right"/>
    </xf>
    <xf numFmtId="0" fontId="8" fillId="0" borderId="0" xfId="4" applyFont="1"/>
    <xf numFmtId="164" fontId="1" fillId="0" borderId="0" xfId="16" applyNumberFormat="1" applyFont="1"/>
    <xf numFmtId="164" fontId="1" fillId="0" borderId="1" xfId="16" applyNumberFormat="1" applyFont="1" applyBorder="1"/>
    <xf numFmtId="0" fontId="7" fillId="0" borderId="0" xfId="4" quotePrefix="1" applyFont="1" applyAlignment="1">
      <alignment horizontal="right"/>
    </xf>
    <xf numFmtId="0" fontId="7" fillId="0" borderId="0" xfId="4" applyFont="1" applyAlignment="1">
      <alignment horizontal="center"/>
    </xf>
    <xf numFmtId="166" fontId="1" fillId="0" borderId="0" xfId="4" applyNumberFormat="1"/>
    <xf numFmtId="0" fontId="7" fillId="0" borderId="0" xfId="4" applyFont="1"/>
    <xf numFmtId="164" fontId="1" fillId="0" borderId="0" xfId="17" applyNumberFormat="1" applyFont="1"/>
    <xf numFmtId="164" fontId="1" fillId="0" borderId="1" xfId="17" applyNumberFormat="1" applyFont="1" applyBorder="1"/>
    <xf numFmtId="164" fontId="1" fillId="0" borderId="0" xfId="17" applyNumberFormat="1" applyFont="1" applyBorder="1"/>
    <xf numFmtId="17" fontId="7" fillId="0" borderId="0" xfId="4" applyNumberFormat="1" applyFont="1"/>
    <xf numFmtId="17" fontId="7" fillId="0" borderId="0" xfId="4" applyNumberFormat="1" applyFont="1" applyAlignment="1">
      <alignment horizontal="center"/>
    </xf>
    <xf numFmtId="0" fontId="1" fillId="0" borderId="0" xfId="4" quotePrefix="1" applyAlignment="1">
      <alignment horizontal="center"/>
    </xf>
    <xf numFmtId="164" fontId="1" fillId="0" borderId="0" xfId="17" quotePrefix="1" applyNumberFormat="1" applyFont="1"/>
    <xf numFmtId="164" fontId="1" fillId="0" borderId="1" xfId="4" applyNumberFormat="1" applyBorder="1"/>
    <xf numFmtId="0" fontId="1" fillId="0" borderId="0" xfId="4" applyAlignment="1">
      <alignment horizontal="left"/>
    </xf>
    <xf numFmtId="0" fontId="1" fillId="0" borderId="0" xfId="4" applyBorder="1"/>
    <xf numFmtId="167" fontId="1" fillId="0" borderId="0" xfId="4" applyNumberFormat="1" applyFont="1" applyBorder="1"/>
    <xf numFmtId="0" fontId="1" fillId="0" borderId="0" xfId="4" applyFont="1" applyBorder="1"/>
    <xf numFmtId="3" fontId="1" fillId="0" borderId="0" xfId="4" applyNumberFormat="1" applyBorder="1"/>
    <xf numFmtId="164" fontId="1" fillId="0" borderId="0" xfId="18" applyNumberFormat="1" applyFont="1" applyBorder="1"/>
    <xf numFmtId="164" fontId="1" fillId="0" borderId="0" xfId="18" applyNumberFormat="1" applyFont="1" applyFill="1" applyBorder="1"/>
    <xf numFmtId="43" fontId="1" fillId="0" borderId="0" xfId="1" applyFont="1"/>
    <xf numFmtId="167" fontId="1" fillId="0" borderId="0" xfId="0" applyNumberFormat="1" applyFont="1" applyFill="1"/>
    <xf numFmtId="10" fontId="1" fillId="0" borderId="0" xfId="3" applyNumberFormat="1" applyFont="1" applyFill="1"/>
    <xf numFmtId="0" fontId="4" fillId="0" borderId="0" xfId="4" applyFont="1" applyAlignment="1">
      <alignment horizontal="center"/>
    </xf>
    <xf numFmtId="164" fontId="1" fillId="0" borderId="0" xfId="17" applyNumberFormat="1" applyFont="1" applyFill="1"/>
    <xf numFmtId="164" fontId="21" fillId="0" borderId="0" xfId="16" applyNumberFormat="1" applyFont="1" applyBorder="1"/>
    <xf numFmtId="164" fontId="11" fillId="0" borderId="0" xfId="17" applyNumberFormat="1" applyFont="1" applyFill="1"/>
    <xf numFmtId="164" fontId="1" fillId="0" borderId="0" xfId="4" applyNumberFormat="1" applyBorder="1"/>
    <xf numFmtId="164" fontId="1" fillId="0" borderId="0" xfId="4" applyNumberFormat="1"/>
    <xf numFmtId="0" fontId="20" fillId="0" borderId="0" xfId="19"/>
    <xf numFmtId="0" fontId="1" fillId="0" borderId="0" xfId="4" applyFont="1"/>
    <xf numFmtId="168" fontId="1" fillId="0" borderId="0" xfId="20" applyNumberFormat="1" applyFont="1" applyFill="1" applyBorder="1"/>
    <xf numFmtId="172" fontId="1" fillId="0" borderId="0" xfId="16" applyNumberFormat="1" applyFont="1"/>
    <xf numFmtId="0" fontId="1" fillId="0" borderId="0" xfId="4" applyFont="1" applyFill="1"/>
    <xf numFmtId="168" fontId="1" fillId="0" borderId="1" xfId="20" applyNumberFormat="1" applyFont="1" applyFill="1" applyBorder="1"/>
    <xf numFmtId="168" fontId="1" fillId="0" borderId="0" xfId="4" applyNumberFormat="1"/>
    <xf numFmtId="172" fontId="1" fillId="0" borderId="0" xfId="4" applyNumberFormat="1"/>
    <xf numFmtId="168" fontId="2" fillId="0" borderId="1" xfId="4" applyNumberFormat="1" applyFont="1" applyFill="1" applyBorder="1"/>
    <xf numFmtId="173" fontId="1" fillId="0" borderId="0" xfId="4" applyNumberFormat="1"/>
    <xf numFmtId="169" fontId="1" fillId="0" borderId="0" xfId="18" applyNumberFormat="1" applyFont="1"/>
    <xf numFmtId="0" fontId="1" fillId="0" borderId="0" xfId="4" applyFill="1"/>
    <xf numFmtId="10" fontId="1" fillId="0" borderId="0" xfId="18" applyNumberFormat="1" applyFont="1" applyBorder="1"/>
    <xf numFmtId="0" fontId="1" fillId="0" borderId="0" xfId="4" applyBorder="1" applyAlignment="1">
      <alignment horizontal="center"/>
    </xf>
    <xf numFmtId="0" fontId="7" fillId="0" borderId="0" xfId="4" applyFont="1" applyBorder="1" applyAlignment="1">
      <alignment horizontal="right"/>
    </xf>
    <xf numFmtId="166" fontId="1" fillId="0" borderId="0" xfId="4" applyNumberFormat="1" applyBorder="1"/>
    <xf numFmtId="0" fontId="7" fillId="0" borderId="0" xfId="4" applyFont="1" applyBorder="1"/>
    <xf numFmtId="0" fontId="4" fillId="0" borderId="0" xfId="4" applyFont="1" applyBorder="1"/>
    <xf numFmtId="0" fontId="7" fillId="0" borderId="0" xfId="4" quotePrefix="1" applyFont="1" applyBorder="1" applyAlignment="1">
      <alignment horizontal="right"/>
    </xf>
    <xf numFmtId="164" fontId="0" fillId="0" borderId="0" xfId="17" applyNumberFormat="1" applyFont="1" applyBorder="1"/>
    <xf numFmtId="0" fontId="1" fillId="0" borderId="0" xfId="0" applyFont="1" applyAlignment="1">
      <alignment vertical="top"/>
    </xf>
    <xf numFmtId="0" fontId="0" fillId="0" borderId="0" xfId="0" applyAlignment="1">
      <alignment horizontal="center"/>
    </xf>
    <xf numFmtId="0" fontId="2" fillId="0" borderId="0" xfId="0" applyFont="1" applyAlignment="1">
      <alignment horizontal="center"/>
    </xf>
    <xf numFmtId="165" fontId="1" fillId="0" borderId="0" xfId="0" applyNumberFormat="1" applyFont="1"/>
    <xf numFmtId="0" fontId="1" fillId="0" borderId="0" xfId="0" applyFont="1" applyFill="1"/>
    <xf numFmtId="168" fontId="1" fillId="0" borderId="1" xfId="2" applyNumberFormat="1" applyFont="1" applyFill="1" applyBorder="1"/>
    <xf numFmtId="168" fontId="1" fillId="0" borderId="0" xfId="2" applyNumberFormat="1" applyFont="1" applyFill="1" applyBorder="1"/>
    <xf numFmtId="167" fontId="1" fillId="0" borderId="0" xfId="0" applyNumberFormat="1" applyFont="1"/>
    <xf numFmtId="0" fontId="9" fillId="0" borderId="0" xfId="0" applyFont="1" applyAlignment="1">
      <alignment horizontal="center"/>
    </xf>
    <xf numFmtId="0" fontId="10" fillId="0" borderId="0" xfId="0" applyFont="1" applyAlignment="1">
      <alignment horizontal="center" vertical="top"/>
    </xf>
    <xf numFmtId="0" fontId="9" fillId="0" borderId="0" xfId="4" applyFont="1" applyAlignment="1">
      <alignment horizontal="center"/>
    </xf>
    <xf numFmtId="0" fontId="10" fillId="0" borderId="0" xfId="4" applyFont="1" applyAlignment="1">
      <alignment horizontal="center" vertical="top"/>
    </xf>
    <xf numFmtId="0" fontId="2" fillId="2" borderId="0" xfId="0" applyFont="1" applyFill="1" applyAlignment="1">
      <alignment horizontal="center"/>
    </xf>
    <xf numFmtId="0" fontId="2" fillId="3" borderId="0" xfId="0" applyFont="1" applyFill="1" applyAlignment="1">
      <alignment horizontal="center"/>
    </xf>
    <xf numFmtId="0" fontId="6" fillId="0" borderId="0" xfId="0" applyFont="1" applyAlignment="1">
      <alignment wrapText="1"/>
    </xf>
    <xf numFmtId="0" fontId="2" fillId="0" borderId="0" xfId="0" applyFont="1" applyAlignment="1">
      <alignment horizontal="center"/>
    </xf>
    <xf numFmtId="0" fontId="1" fillId="0" borderId="0" xfId="0" applyFont="1" applyAlignment="1">
      <alignment horizontal="justify" vertical="top" wrapText="1"/>
    </xf>
    <xf numFmtId="0" fontId="0" fillId="0" borderId="0" xfId="0" applyAlignment="1">
      <alignment horizontal="justify" vertical="top" wrapText="1"/>
    </xf>
  </cellXfs>
  <cellStyles count="21">
    <cellStyle name="Comma" xfId="1" builtinId="3"/>
    <cellStyle name="Comma 2" xfId="17"/>
    <cellStyle name="Comma 3" xfId="16"/>
    <cellStyle name="Currency" xfId="2" builtinId="4"/>
    <cellStyle name="Currency 2" xfId="20"/>
    <cellStyle name="Normal" xfId="0" builtinId="0"/>
    <cellStyle name="Normal 10" xfId="6"/>
    <cellStyle name="Normal 11" xfId="7"/>
    <cellStyle name="Normal 12" xfId="8"/>
    <cellStyle name="Normal 2" xfId="4"/>
    <cellStyle name="Normal 2 2" xfId="5"/>
    <cellStyle name="Normal 3" xfId="9"/>
    <cellStyle name="Normal 3 2" xfId="19"/>
    <cellStyle name="Normal 4" xfId="10"/>
    <cellStyle name="Normal 5" xfId="11"/>
    <cellStyle name="Normal 6" xfId="12"/>
    <cellStyle name="Normal 7" xfId="13"/>
    <cellStyle name="Normal 8" xfId="14"/>
    <cellStyle name="Normal 9" xfId="15"/>
    <cellStyle name="Percent" xfId="3" builtinId="5"/>
    <cellStyle name="Percent 2" xfId="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indexed="35"/>
  </sheetPr>
  <dimension ref="A1:Q89"/>
  <sheetViews>
    <sheetView topLeftCell="A54" zoomScaleNormal="100" workbookViewId="0">
      <selection sqref="A1:Q89"/>
    </sheetView>
  </sheetViews>
  <sheetFormatPr defaultRowHeight="12.75"/>
  <cols>
    <col min="1" max="1" width="2.85546875" customWidth="1"/>
    <col min="2" max="2" width="19.5703125" customWidth="1"/>
    <col min="3" max="3" width="6.42578125" customWidth="1"/>
    <col min="4" max="4" width="13.5703125" customWidth="1"/>
    <col min="5" max="5" width="12.85546875" customWidth="1"/>
    <col min="6" max="6" width="13.140625" customWidth="1"/>
    <col min="7" max="7" width="12.5703125" customWidth="1"/>
    <col min="8" max="8" width="12.7109375" customWidth="1"/>
    <col min="9" max="9" width="12.140625" customWidth="1"/>
    <col min="10" max="10" width="12.7109375" customWidth="1"/>
    <col min="11" max="11" width="11.5703125" customWidth="1"/>
    <col min="12" max="13" width="11.42578125" customWidth="1"/>
    <col min="14" max="14" width="11.28515625" customWidth="1"/>
    <col min="15" max="15" width="11.42578125" customWidth="1"/>
    <col min="16" max="16" width="11.85546875" customWidth="1"/>
    <col min="17" max="17" width="12.7109375" customWidth="1"/>
    <col min="18" max="18" width="14" bestFit="1" customWidth="1"/>
    <col min="19" max="19" width="12.85546875" bestFit="1" customWidth="1"/>
    <col min="20" max="20" width="14" bestFit="1" customWidth="1"/>
  </cols>
  <sheetData>
    <row r="1" spans="1:17">
      <c r="A1" s="2" t="s">
        <v>64</v>
      </c>
    </row>
    <row r="2" spans="1:17">
      <c r="A2" s="2" t="s">
        <v>65</v>
      </c>
    </row>
    <row r="3" spans="1:17">
      <c r="A3" s="2" t="s">
        <v>66</v>
      </c>
    </row>
    <row r="4" spans="1:17" ht="25.5">
      <c r="A4" s="154" t="s">
        <v>67</v>
      </c>
      <c r="B4" s="154"/>
      <c r="C4" s="154"/>
      <c r="D4" s="154"/>
      <c r="E4" s="154"/>
      <c r="F4" s="154"/>
      <c r="G4" s="154"/>
      <c r="H4" s="154"/>
      <c r="I4" s="154"/>
      <c r="J4" s="154"/>
      <c r="K4" s="154"/>
      <c r="L4" s="154"/>
      <c r="M4" s="154"/>
      <c r="N4" s="154"/>
      <c r="O4" s="154"/>
      <c r="P4" s="154"/>
      <c r="Q4" s="154"/>
    </row>
    <row r="5" spans="1:17" ht="20.25">
      <c r="A5" s="155" t="s">
        <v>68</v>
      </c>
      <c r="B5" s="155"/>
      <c r="C5" s="155"/>
      <c r="D5" s="155"/>
      <c r="E5" s="155"/>
      <c r="F5" s="155"/>
      <c r="G5" s="155"/>
      <c r="H5" s="155"/>
      <c r="I5" s="155"/>
      <c r="J5" s="155"/>
      <c r="K5" s="155"/>
      <c r="L5" s="155"/>
      <c r="M5" s="155"/>
      <c r="N5" s="155"/>
      <c r="O5" s="155"/>
      <c r="P5" s="155"/>
      <c r="Q5" s="155"/>
    </row>
    <row r="6" spans="1:17">
      <c r="A6" s="2"/>
    </row>
    <row r="8" spans="1:17">
      <c r="A8" s="6" t="s">
        <v>18</v>
      </c>
      <c r="D8" s="38" t="s">
        <v>69</v>
      </c>
      <c r="E8" s="6" t="s">
        <v>70</v>
      </c>
      <c r="F8" s="4" t="s">
        <v>11</v>
      </c>
      <c r="G8" s="4" t="s">
        <v>12</v>
      </c>
      <c r="H8" s="4" t="s">
        <v>13</v>
      </c>
      <c r="I8" s="4" t="s">
        <v>14</v>
      </c>
      <c r="J8" s="4" t="s">
        <v>15</v>
      </c>
      <c r="K8" s="4" t="s">
        <v>16</v>
      </c>
      <c r="L8" s="4" t="s">
        <v>5</v>
      </c>
      <c r="M8" s="4" t="s">
        <v>6</v>
      </c>
      <c r="N8" s="4" t="s">
        <v>7</v>
      </c>
      <c r="O8" s="4" t="s">
        <v>8</v>
      </c>
      <c r="P8" s="4" t="s">
        <v>9</v>
      </c>
      <c r="Q8" s="4" t="s">
        <v>10</v>
      </c>
    </row>
    <row r="9" spans="1:17">
      <c r="A9" s="6" t="s">
        <v>71</v>
      </c>
    </row>
    <row r="10" spans="1:17">
      <c r="A10" t="s">
        <v>72</v>
      </c>
      <c r="D10" s="35">
        <v>124456548</v>
      </c>
      <c r="E10" s="35">
        <f>SUM(F10:Q10)</f>
        <v>124456548</v>
      </c>
      <c r="F10" s="35">
        <f t="shared" ref="F10:N10" si="0">H45</f>
        <v>20755627</v>
      </c>
      <c r="G10" s="35">
        <f t="shared" si="0"/>
        <v>22514347</v>
      </c>
      <c r="H10" s="35">
        <f t="shared" si="0"/>
        <v>14859076</v>
      </c>
      <c r="I10" s="35">
        <f t="shared" si="0"/>
        <v>13629159</v>
      </c>
      <c r="J10" s="35">
        <f t="shared" si="0"/>
        <v>8714627</v>
      </c>
      <c r="K10" s="35">
        <f t="shared" si="0"/>
        <v>4232714</v>
      </c>
      <c r="L10" s="35">
        <f t="shared" si="0"/>
        <v>2763613</v>
      </c>
      <c r="M10" s="35">
        <f t="shared" si="0"/>
        <v>2223233</v>
      </c>
      <c r="N10" s="35">
        <f t="shared" si="0"/>
        <v>2487966</v>
      </c>
      <c r="O10" s="35">
        <f>E45</f>
        <v>4484817</v>
      </c>
      <c r="P10" s="35">
        <f>F45</f>
        <v>9398517</v>
      </c>
      <c r="Q10" s="35">
        <f>G45</f>
        <v>18392852</v>
      </c>
    </row>
    <row r="11" spans="1:17">
      <c r="A11" t="s">
        <v>73</v>
      </c>
      <c r="D11" s="35">
        <f>-2516904-0.49</f>
        <v>-2516904.4900000002</v>
      </c>
      <c r="E11" s="35">
        <f>SUM(F11:Q11)</f>
        <v>-79369540.49000001</v>
      </c>
      <c r="F11" s="35">
        <f>-H77</f>
        <v>-12430831</v>
      </c>
      <c r="G11" s="35">
        <f t="shared" ref="G11:N11" si="1">-I77</f>
        <v>-13260094</v>
      </c>
      <c r="H11" s="35">
        <f t="shared" si="1"/>
        <v>-10089194</v>
      </c>
      <c r="I11" s="35">
        <f t="shared" si="1"/>
        <v>-9329893</v>
      </c>
      <c r="J11" s="35">
        <f t="shared" si="1"/>
        <v>-7012777</v>
      </c>
      <c r="K11" s="35">
        <f t="shared" si="1"/>
        <v>-3198435</v>
      </c>
      <c r="L11" s="35">
        <f t="shared" si="1"/>
        <v>-1795216</v>
      </c>
      <c r="M11" s="35">
        <f t="shared" si="1"/>
        <v>-1318706</v>
      </c>
      <c r="N11" s="35">
        <f t="shared" si="1"/>
        <v>-1383090</v>
      </c>
      <c r="O11" s="35">
        <f>-E80</f>
        <v>-2516904.4900000002</v>
      </c>
      <c r="P11" s="35">
        <f>-F77</f>
        <v>-6292391</v>
      </c>
      <c r="Q11" s="35">
        <f>-G77</f>
        <v>-10742009</v>
      </c>
    </row>
    <row r="12" spans="1:17">
      <c r="A12" t="s">
        <v>74</v>
      </c>
      <c r="D12" s="35">
        <f>1974771-0.49</f>
        <v>1974770.51</v>
      </c>
      <c r="E12" s="35">
        <f>SUM(F12:Q12)</f>
        <v>78827406.50999999</v>
      </c>
      <c r="F12" s="35">
        <f>I77</f>
        <v>13260094</v>
      </c>
      <c r="G12" s="35">
        <f t="shared" ref="G12:M12" si="2">J77</f>
        <v>10089194</v>
      </c>
      <c r="H12" s="35">
        <f t="shared" si="2"/>
        <v>9329893</v>
      </c>
      <c r="I12" s="35">
        <f t="shared" si="2"/>
        <v>7012777</v>
      </c>
      <c r="J12" s="35">
        <f t="shared" si="2"/>
        <v>3198435</v>
      </c>
      <c r="K12" s="35">
        <f t="shared" si="2"/>
        <v>1795216</v>
      </c>
      <c r="L12" s="35">
        <f t="shared" si="2"/>
        <v>1318706</v>
      </c>
      <c r="M12" s="35">
        <f t="shared" si="2"/>
        <v>1383090</v>
      </c>
      <c r="N12" s="35">
        <f>Q80</f>
        <v>1974770.51</v>
      </c>
      <c r="O12" s="35">
        <f>F77</f>
        <v>6292391</v>
      </c>
      <c r="P12" s="35">
        <f>G77</f>
        <v>10742009</v>
      </c>
      <c r="Q12" s="35">
        <f>H77</f>
        <v>12430831</v>
      </c>
    </row>
    <row r="13" spans="1:17" ht="15">
      <c r="A13" t="s">
        <v>75</v>
      </c>
      <c r="D13" s="39">
        <v>-5272984</v>
      </c>
      <c r="E13" s="35">
        <f>SUM(F13:Q13)</f>
        <v>-5272984</v>
      </c>
      <c r="F13" s="35">
        <f t="shared" ref="F13:N13" si="3">H61</f>
        <v>-1704132</v>
      </c>
      <c r="G13" s="35">
        <f t="shared" si="3"/>
        <v>-605820</v>
      </c>
      <c r="H13" s="35">
        <f t="shared" si="3"/>
        <v>-1754035</v>
      </c>
      <c r="I13" s="35">
        <f t="shared" si="3"/>
        <v>-1884742</v>
      </c>
      <c r="J13" s="35">
        <f t="shared" si="3"/>
        <v>654538</v>
      </c>
      <c r="K13" s="35">
        <f t="shared" si="3"/>
        <v>-427121</v>
      </c>
      <c r="L13" s="35">
        <f t="shared" si="3"/>
        <v>0</v>
      </c>
      <c r="M13" s="35">
        <f t="shared" si="3"/>
        <v>0</v>
      </c>
      <c r="N13" s="35">
        <f t="shared" si="3"/>
        <v>0</v>
      </c>
      <c r="O13" s="35">
        <f>E61</f>
        <v>-158578</v>
      </c>
      <c r="P13" s="35">
        <f>F61</f>
        <v>66481</v>
      </c>
      <c r="Q13" s="35">
        <f>G61</f>
        <v>540425</v>
      </c>
    </row>
    <row r="14" spans="1:17">
      <c r="A14" t="s">
        <v>76</v>
      </c>
      <c r="D14" s="35">
        <f t="shared" ref="D14:Q14" si="4">SUM(D10:D13)</f>
        <v>118641430.02000001</v>
      </c>
      <c r="E14" s="13">
        <f t="shared" si="4"/>
        <v>118641430.01999998</v>
      </c>
      <c r="F14" s="13">
        <f t="shared" si="4"/>
        <v>19880758</v>
      </c>
      <c r="G14" s="13">
        <f t="shared" si="4"/>
        <v>18737627</v>
      </c>
      <c r="H14" s="13">
        <f t="shared" si="4"/>
        <v>12345740</v>
      </c>
      <c r="I14" s="13">
        <f t="shared" si="4"/>
        <v>9427301</v>
      </c>
      <c r="J14" s="13">
        <f t="shared" si="4"/>
        <v>5554823</v>
      </c>
      <c r="K14" s="13">
        <f t="shared" si="4"/>
        <v>2402374</v>
      </c>
      <c r="L14" s="13">
        <f t="shared" si="4"/>
        <v>2287103</v>
      </c>
      <c r="M14" s="13">
        <f t="shared" si="4"/>
        <v>2287617</v>
      </c>
      <c r="N14" s="13">
        <f t="shared" si="4"/>
        <v>3079646.51</v>
      </c>
      <c r="O14" s="13">
        <f t="shared" si="4"/>
        <v>8101725.5099999998</v>
      </c>
      <c r="P14" s="13">
        <f t="shared" si="4"/>
        <v>13914616</v>
      </c>
      <c r="Q14" s="13">
        <f t="shared" si="4"/>
        <v>20622099</v>
      </c>
    </row>
    <row r="15" spans="1:17">
      <c r="D15" s="35"/>
      <c r="E15" s="12"/>
      <c r="F15" s="12"/>
      <c r="G15" s="12"/>
      <c r="H15" s="12"/>
      <c r="I15" s="12"/>
      <c r="J15" s="12"/>
      <c r="K15" s="12"/>
      <c r="L15" s="12"/>
      <c r="M15" s="12"/>
      <c r="N15" s="12"/>
      <c r="O15" s="12"/>
      <c r="P15" s="12"/>
      <c r="Q15" s="12"/>
    </row>
    <row r="16" spans="1:17" ht="15">
      <c r="B16" t="s">
        <v>77</v>
      </c>
      <c r="D16" s="35"/>
      <c r="E16" s="40">
        <f>D14-E14</f>
        <v>0</v>
      </c>
      <c r="F16" s="41">
        <v>0</v>
      </c>
      <c r="G16" s="41">
        <v>0</v>
      </c>
      <c r="H16" s="41">
        <v>0</v>
      </c>
      <c r="I16" s="41">
        <v>0</v>
      </c>
      <c r="J16" s="41">
        <v>0</v>
      </c>
      <c r="K16" s="41">
        <v>0</v>
      </c>
      <c r="L16" s="41">
        <v>0</v>
      </c>
      <c r="M16" s="41">
        <v>0</v>
      </c>
      <c r="N16" s="41">
        <f>D12-N12</f>
        <v>0</v>
      </c>
      <c r="O16" s="41">
        <f>D11-O11</f>
        <v>0</v>
      </c>
      <c r="P16" s="41">
        <v>0</v>
      </c>
      <c r="Q16" s="41">
        <v>0</v>
      </c>
    </row>
    <row r="17" spans="1:17">
      <c r="D17" s="35"/>
      <c r="E17" s="35"/>
      <c r="F17" s="12"/>
      <c r="G17" s="12"/>
      <c r="H17" s="12"/>
      <c r="I17" s="12"/>
      <c r="J17" s="12"/>
      <c r="K17" s="12"/>
      <c r="L17" s="12"/>
      <c r="M17" s="12"/>
      <c r="N17" s="12"/>
      <c r="O17" s="12"/>
      <c r="P17" s="12"/>
      <c r="Q17" s="12"/>
    </row>
    <row r="18" spans="1:17">
      <c r="A18" t="s">
        <v>78</v>
      </c>
      <c r="D18" s="35"/>
      <c r="E18" s="35">
        <f>SUM(F18:Q18)</f>
        <v>118641430.02000001</v>
      </c>
      <c r="F18" s="12">
        <f t="shared" ref="F18:Q18" si="5">F14+F16</f>
        <v>19880758</v>
      </c>
      <c r="G18" s="12">
        <f t="shared" si="5"/>
        <v>18737627</v>
      </c>
      <c r="H18" s="12">
        <f t="shared" si="5"/>
        <v>12345740</v>
      </c>
      <c r="I18" s="12">
        <f t="shared" si="5"/>
        <v>9427301</v>
      </c>
      <c r="J18" s="12">
        <f t="shared" si="5"/>
        <v>5554823</v>
      </c>
      <c r="K18" s="12">
        <f t="shared" si="5"/>
        <v>2402374</v>
      </c>
      <c r="L18" s="12">
        <f t="shared" si="5"/>
        <v>2287103</v>
      </c>
      <c r="M18" s="12">
        <f t="shared" si="5"/>
        <v>2287617</v>
      </c>
      <c r="N18" s="12">
        <f t="shared" si="5"/>
        <v>3079646.51</v>
      </c>
      <c r="O18" s="12">
        <f t="shared" si="5"/>
        <v>8101725.5099999998</v>
      </c>
      <c r="P18" s="12">
        <f t="shared" si="5"/>
        <v>13914616</v>
      </c>
      <c r="Q18" s="12">
        <f t="shared" si="5"/>
        <v>20622099</v>
      </c>
    </row>
    <row r="19" spans="1:17">
      <c r="D19" s="35"/>
      <c r="E19" s="21"/>
    </row>
    <row r="20" spans="1:17">
      <c r="A20" s="6" t="s">
        <v>79</v>
      </c>
      <c r="D20" s="35"/>
    </row>
    <row r="21" spans="1:17">
      <c r="A21" t="s">
        <v>80</v>
      </c>
      <c r="D21" s="35">
        <v>1673784</v>
      </c>
      <c r="E21" s="35">
        <f>SUM(F21:Q21)</f>
        <v>1696522</v>
      </c>
      <c r="F21" s="12">
        <f>H89</f>
        <v>141580</v>
      </c>
      <c r="G21" s="12">
        <f t="shared" ref="G21:N21" si="6">I89</f>
        <v>141745</v>
      </c>
      <c r="H21" s="12">
        <f t="shared" si="6"/>
        <v>141763</v>
      </c>
      <c r="I21" s="12">
        <f t="shared" si="6"/>
        <v>141662</v>
      </c>
      <c r="J21" s="12">
        <f t="shared" si="6"/>
        <v>141566</v>
      </c>
      <c r="K21" s="12">
        <f t="shared" si="6"/>
        <v>141413</v>
      </c>
      <c r="L21" s="12">
        <f t="shared" si="6"/>
        <v>141354</v>
      </c>
      <c r="M21" s="12">
        <f t="shared" si="6"/>
        <v>141399</v>
      </c>
      <c r="N21" s="12">
        <f t="shared" si="6"/>
        <v>141829</v>
      </c>
      <c r="O21" s="12">
        <f>E89</f>
        <v>140039</v>
      </c>
      <c r="P21" s="12">
        <f>F89</f>
        <v>140930</v>
      </c>
      <c r="Q21" s="12">
        <f>G89</f>
        <v>141242</v>
      </c>
    </row>
    <row r="22" spans="1:17">
      <c r="A22" t="s">
        <v>81</v>
      </c>
      <c r="D22" s="35"/>
      <c r="E22" s="12">
        <f t="shared" ref="E22:Q22" si="7">E18/E21</f>
        <v>69.932149432780719</v>
      </c>
      <c r="F22" s="12">
        <f t="shared" si="7"/>
        <v>140.42066676084193</v>
      </c>
      <c r="G22" s="12">
        <f t="shared" si="7"/>
        <v>132.19250767222829</v>
      </c>
      <c r="H22" s="12">
        <f t="shared" si="7"/>
        <v>87.087180717112361</v>
      </c>
      <c r="I22" s="12">
        <f t="shared" si="7"/>
        <v>66.547846281995177</v>
      </c>
      <c r="J22" s="12">
        <f t="shared" si="7"/>
        <v>39.238397637850895</v>
      </c>
      <c r="K22" s="12">
        <f t="shared" si="7"/>
        <v>16.988353263137054</v>
      </c>
      <c r="L22" s="12">
        <f t="shared" si="7"/>
        <v>16.179966608656283</v>
      </c>
      <c r="M22" s="12">
        <f t="shared" si="7"/>
        <v>16.178452464303142</v>
      </c>
      <c r="N22" s="12">
        <f t="shared" si="7"/>
        <v>21.713799787067522</v>
      </c>
      <c r="O22" s="12">
        <f t="shared" si="7"/>
        <v>57.853351637758053</v>
      </c>
      <c r="P22" s="12">
        <f t="shared" si="7"/>
        <v>98.734236855176334</v>
      </c>
      <c r="Q22" s="12">
        <f t="shared" si="7"/>
        <v>146.00543039605782</v>
      </c>
    </row>
    <row r="23" spans="1:17">
      <c r="D23" s="35"/>
      <c r="E23" s="12"/>
      <c r="F23" s="12"/>
      <c r="G23" s="12"/>
      <c r="H23" s="12"/>
      <c r="I23" s="12"/>
      <c r="J23" s="12"/>
      <c r="K23" s="12"/>
      <c r="L23" s="12"/>
      <c r="M23" s="12"/>
      <c r="N23" s="12"/>
      <c r="O23" s="12"/>
      <c r="P23" s="12"/>
      <c r="Q23" s="12"/>
    </row>
    <row r="24" spans="1:17">
      <c r="D24" s="35"/>
      <c r="E24" s="42" t="s">
        <v>17</v>
      </c>
      <c r="F24" s="12" t="s">
        <v>18</v>
      </c>
      <c r="G24" s="12" t="s">
        <v>82</v>
      </c>
      <c r="H24" s="12"/>
      <c r="I24" s="12"/>
      <c r="J24" s="12"/>
      <c r="K24" s="12"/>
      <c r="L24" s="12"/>
      <c r="M24" s="12"/>
      <c r="N24" s="12"/>
      <c r="O24" s="12"/>
      <c r="P24" s="12"/>
      <c r="Q24" s="12"/>
    </row>
    <row r="25" spans="1:17">
      <c r="A25" s="68" t="s">
        <v>83</v>
      </c>
      <c r="E25" s="149">
        <f>1.13793+0.04967+0.00005</f>
        <v>1.1876500000000003</v>
      </c>
      <c r="F25" s="149">
        <f>1.13793+0.00005</f>
        <v>1.1379800000000002</v>
      </c>
      <c r="G25" s="43">
        <f>E25-F25</f>
        <v>4.9670000000000103E-2</v>
      </c>
    </row>
    <row r="26" spans="1:17">
      <c r="A26" s="68" t="s">
        <v>84</v>
      </c>
      <c r="E26" s="150">
        <v>0.95705899999999999</v>
      </c>
      <c r="F26" s="150">
        <v>0.95705899999999999</v>
      </c>
      <c r="G26" s="150">
        <v>0.95705899999999999</v>
      </c>
    </row>
    <row r="27" spans="1:17">
      <c r="A27" s="68" t="s">
        <v>85</v>
      </c>
      <c r="E27" s="151">
        <f>E25*E26</f>
        <v>1.1366511213500003</v>
      </c>
      <c r="F27" s="151">
        <f>F25*F26</f>
        <v>1.0891140008200002</v>
      </c>
      <c r="G27" s="151">
        <f>G25*G26</f>
        <v>4.7537120530000102E-2</v>
      </c>
      <c r="J27" s="44"/>
    </row>
    <row r="28" spans="1:17">
      <c r="A28" s="68" t="s">
        <v>86</v>
      </c>
      <c r="E28" s="152">
        <v>-0.89449000000000001</v>
      </c>
      <c r="F28" s="152">
        <f>E28+G27</f>
        <v>-0.84695287946999986</v>
      </c>
      <c r="G28" s="152">
        <f>E28-F28</f>
        <v>-4.7537120530000143E-2</v>
      </c>
    </row>
    <row r="29" spans="1:17">
      <c r="A29" s="2" t="s">
        <v>87</v>
      </c>
      <c r="E29" s="45">
        <f>E27+E28</f>
        <v>0.24216112135000034</v>
      </c>
      <c r="F29" s="45">
        <f>F27+F28</f>
        <v>0.24216112135000034</v>
      </c>
      <c r="G29" s="45">
        <f>G27+G28</f>
        <v>0</v>
      </c>
    </row>
    <row r="30" spans="1:17">
      <c r="D30" s="46"/>
      <c r="E30" s="35"/>
      <c r="F30" s="35"/>
      <c r="G30" s="35"/>
      <c r="H30" s="35"/>
      <c r="I30" s="35"/>
      <c r="J30" s="35"/>
      <c r="K30" s="35"/>
      <c r="L30" s="35"/>
      <c r="M30" s="35"/>
      <c r="N30" s="35"/>
      <c r="O30" s="35"/>
      <c r="P30" s="35"/>
      <c r="Q30" s="35"/>
    </row>
    <row r="33" spans="1:17">
      <c r="A33" s="68" t="s">
        <v>88</v>
      </c>
    </row>
    <row r="34" spans="1:17">
      <c r="A34" s="68" t="s">
        <v>89</v>
      </c>
    </row>
    <row r="35" spans="1:17">
      <c r="A35" s="68" t="s">
        <v>90</v>
      </c>
    </row>
    <row r="36" spans="1:17">
      <c r="A36" s="68" t="s">
        <v>91</v>
      </c>
    </row>
    <row r="37" spans="1:17">
      <c r="A37" s="68" t="s">
        <v>92</v>
      </c>
    </row>
    <row r="38" spans="1:17">
      <c r="A38" s="68" t="s">
        <v>93</v>
      </c>
    </row>
    <row r="39" spans="1:17" ht="25.5">
      <c r="A39" s="154" t="s">
        <v>67</v>
      </c>
      <c r="B39" s="154"/>
      <c r="C39" s="154"/>
      <c r="D39" s="154"/>
      <c r="E39" s="154"/>
      <c r="F39" s="154"/>
      <c r="G39" s="154"/>
      <c r="H39" s="154"/>
      <c r="I39" s="154"/>
      <c r="J39" s="154"/>
      <c r="K39" s="154"/>
      <c r="L39" s="154"/>
      <c r="M39" s="154"/>
      <c r="N39" s="154"/>
      <c r="O39" s="154"/>
      <c r="P39" s="154"/>
      <c r="Q39" s="154"/>
    </row>
    <row r="40" spans="1:17" ht="20.25">
      <c r="A40" s="155" t="s">
        <v>94</v>
      </c>
      <c r="B40" s="155"/>
      <c r="C40" s="155"/>
      <c r="D40" s="155"/>
      <c r="E40" s="155"/>
      <c r="F40" s="155"/>
      <c r="G40" s="155"/>
      <c r="H40" s="155"/>
      <c r="I40" s="155"/>
      <c r="J40" s="155"/>
      <c r="K40" s="155"/>
      <c r="L40" s="155"/>
      <c r="M40" s="155"/>
      <c r="N40" s="155"/>
      <c r="O40" s="155"/>
      <c r="P40" s="155"/>
      <c r="Q40" s="155"/>
    </row>
    <row r="42" spans="1:17">
      <c r="A42" s="2" t="s">
        <v>95</v>
      </c>
    </row>
    <row r="43" spans="1:17">
      <c r="A43" s="2"/>
    </row>
    <row r="44" spans="1:17">
      <c r="A44" s="2"/>
      <c r="B44" s="2" t="s">
        <v>96</v>
      </c>
      <c r="E44" s="22">
        <v>39356</v>
      </c>
      <c r="F44" s="22">
        <v>39387</v>
      </c>
      <c r="G44" s="22">
        <v>39417</v>
      </c>
      <c r="H44" s="22">
        <v>39448</v>
      </c>
      <c r="I44" s="22">
        <v>39479</v>
      </c>
      <c r="J44" s="22">
        <v>39508</v>
      </c>
      <c r="K44" s="22">
        <v>39539</v>
      </c>
      <c r="L44" s="22">
        <v>39569</v>
      </c>
      <c r="M44" s="22">
        <v>39600</v>
      </c>
      <c r="N44" s="22">
        <v>39630</v>
      </c>
      <c r="O44" s="22">
        <v>39661</v>
      </c>
      <c r="P44" s="22">
        <v>39692</v>
      </c>
      <c r="Q44" s="23" t="s">
        <v>17</v>
      </c>
    </row>
    <row r="45" spans="1:17">
      <c r="A45" s="2"/>
      <c r="B45" t="s">
        <v>97</v>
      </c>
      <c r="E45" s="35">
        <v>4484817</v>
      </c>
      <c r="F45" s="35">
        <v>9398517</v>
      </c>
      <c r="G45" s="35">
        <v>18392852</v>
      </c>
      <c r="H45" s="35">
        <v>20755627</v>
      </c>
      <c r="I45" s="35">
        <v>22514347</v>
      </c>
      <c r="J45" s="35">
        <v>14859076</v>
      </c>
      <c r="K45" s="35">
        <v>13629159</v>
      </c>
      <c r="L45" s="35">
        <v>8714627</v>
      </c>
      <c r="M45" s="35">
        <v>4232714</v>
      </c>
      <c r="N45" s="35">
        <v>2763613</v>
      </c>
      <c r="O45" s="35">
        <v>2223233</v>
      </c>
      <c r="P45" s="35">
        <v>2487966</v>
      </c>
      <c r="Q45" s="35">
        <f>SUM(E45:P45)</f>
        <v>124456548</v>
      </c>
    </row>
    <row r="47" spans="1:17">
      <c r="B47" s="6" t="s">
        <v>35</v>
      </c>
    </row>
    <row r="48" spans="1:17">
      <c r="E48" s="22">
        <v>39356</v>
      </c>
      <c r="F48" s="22">
        <v>39387</v>
      </c>
      <c r="G48" s="22">
        <v>39417</v>
      </c>
      <c r="H48" s="22">
        <v>39448</v>
      </c>
      <c r="I48" s="22">
        <v>39479</v>
      </c>
      <c r="J48" s="22">
        <v>39508</v>
      </c>
      <c r="K48" s="22">
        <v>39539</v>
      </c>
      <c r="L48" s="22">
        <v>39569</v>
      </c>
      <c r="M48" s="22">
        <v>39600</v>
      </c>
      <c r="N48" s="22">
        <v>39630</v>
      </c>
      <c r="O48" s="22">
        <v>39661</v>
      </c>
      <c r="P48" s="22">
        <v>39692</v>
      </c>
      <c r="Q48" s="23" t="s">
        <v>17</v>
      </c>
    </row>
    <row r="49" spans="2:17">
      <c r="B49" s="24" t="s">
        <v>36</v>
      </c>
      <c r="E49">
        <v>541</v>
      </c>
      <c r="F49">
        <v>899</v>
      </c>
      <c r="G49">
        <v>1160</v>
      </c>
      <c r="H49">
        <v>1136</v>
      </c>
      <c r="I49">
        <v>914</v>
      </c>
      <c r="J49">
        <v>770</v>
      </c>
      <c r="K49">
        <v>542</v>
      </c>
      <c r="L49">
        <v>323</v>
      </c>
      <c r="M49">
        <v>144</v>
      </c>
      <c r="N49">
        <v>36</v>
      </c>
      <c r="O49">
        <v>35</v>
      </c>
      <c r="P49">
        <v>189</v>
      </c>
      <c r="Q49" s="35">
        <f>SUM(E49:P49)</f>
        <v>6689</v>
      </c>
    </row>
    <row r="50" spans="2:17">
      <c r="B50" t="s">
        <v>37</v>
      </c>
      <c r="E50">
        <v>553</v>
      </c>
      <c r="F50">
        <v>894</v>
      </c>
      <c r="G50">
        <v>1126</v>
      </c>
      <c r="H50">
        <v>1243</v>
      </c>
      <c r="I50">
        <v>952</v>
      </c>
      <c r="J50">
        <v>880</v>
      </c>
      <c r="K50">
        <v>683</v>
      </c>
      <c r="L50">
        <v>274</v>
      </c>
      <c r="M50">
        <v>176</v>
      </c>
      <c r="N50">
        <v>8</v>
      </c>
      <c r="O50">
        <v>52</v>
      </c>
      <c r="P50">
        <v>142</v>
      </c>
      <c r="Q50" s="35">
        <f>SUM(E50:P50)</f>
        <v>6983</v>
      </c>
    </row>
    <row r="51" spans="2:17">
      <c r="B51" s="2" t="s">
        <v>38</v>
      </c>
      <c r="E51" s="26">
        <f>E49-E50</f>
        <v>-12</v>
      </c>
      <c r="F51" s="26">
        <f>F49-F50</f>
        <v>5</v>
      </c>
      <c r="G51" s="26">
        <f>G49-G50</f>
        <v>34</v>
      </c>
      <c r="H51" s="26">
        <f>H49-H50</f>
        <v>-107</v>
      </c>
      <c r="I51" s="26">
        <f t="shared" ref="I51:P51" si="8">I49-I50</f>
        <v>-38</v>
      </c>
      <c r="J51" s="26">
        <f t="shared" si="8"/>
        <v>-110</v>
      </c>
      <c r="K51" s="26">
        <f t="shared" si="8"/>
        <v>-141</v>
      </c>
      <c r="L51" s="26">
        <f t="shared" si="8"/>
        <v>49</v>
      </c>
      <c r="M51" s="26">
        <f t="shared" si="8"/>
        <v>-32</v>
      </c>
      <c r="N51" s="26">
        <f t="shared" si="8"/>
        <v>28</v>
      </c>
      <c r="O51" s="26">
        <f t="shared" si="8"/>
        <v>-17</v>
      </c>
      <c r="P51" s="26">
        <f t="shared" si="8"/>
        <v>47</v>
      </c>
      <c r="Q51" s="26">
        <f>SUM(E51:P51)</f>
        <v>-294</v>
      </c>
    </row>
    <row r="52" spans="2:17">
      <c r="B52" s="2"/>
      <c r="C52" s="27"/>
      <c r="D52" s="38" t="s">
        <v>39</v>
      </c>
    </row>
    <row r="53" spans="2:17">
      <c r="B53" t="s">
        <v>40</v>
      </c>
      <c r="D53" s="23" t="s">
        <v>41</v>
      </c>
      <c r="E53" s="28">
        <v>8.77E-2</v>
      </c>
      <c r="F53" s="28">
        <v>8.77E-2</v>
      </c>
      <c r="G53" s="28">
        <v>0.1002</v>
      </c>
      <c r="H53" s="28">
        <v>0.1002</v>
      </c>
      <c r="I53" s="28">
        <v>0.1002</v>
      </c>
      <c r="J53" s="28">
        <v>0.1002</v>
      </c>
      <c r="K53" s="28">
        <v>8.77E-2</v>
      </c>
      <c r="L53" s="28">
        <v>8.77E-2</v>
      </c>
      <c r="M53" s="28">
        <v>8.77E-2</v>
      </c>
      <c r="N53" s="28">
        <v>0</v>
      </c>
      <c r="O53" s="28">
        <v>0</v>
      </c>
      <c r="P53" s="28">
        <v>0</v>
      </c>
    </row>
    <row r="54" spans="2:17">
      <c r="B54" t="s">
        <v>42</v>
      </c>
      <c r="D54" s="23" t="s">
        <v>41</v>
      </c>
      <c r="E54" s="28">
        <v>0.16700000000000001</v>
      </c>
      <c r="F54" s="28">
        <v>0.16700000000000001</v>
      </c>
      <c r="G54" s="28">
        <v>0.2467</v>
      </c>
      <c r="H54" s="28">
        <v>0.2467</v>
      </c>
      <c r="I54" s="28">
        <v>0.2467</v>
      </c>
      <c r="J54" s="28">
        <v>0.2467</v>
      </c>
      <c r="K54" s="28">
        <v>0.16700000000000001</v>
      </c>
      <c r="L54" s="28">
        <v>0.16700000000000001</v>
      </c>
      <c r="M54" s="28">
        <v>0.16700000000000001</v>
      </c>
      <c r="N54" s="28">
        <v>0</v>
      </c>
      <c r="O54" s="28">
        <v>0</v>
      </c>
      <c r="P54" s="28">
        <v>0</v>
      </c>
    </row>
    <row r="55" spans="2:17">
      <c r="B55" t="s">
        <v>43</v>
      </c>
      <c r="D55" s="23" t="s">
        <v>41</v>
      </c>
      <c r="E55" s="28">
        <v>0.29609999999999997</v>
      </c>
      <c r="F55" s="28">
        <v>0.29609999999999997</v>
      </c>
      <c r="G55" s="28">
        <v>0.42659999999999998</v>
      </c>
      <c r="H55" s="28">
        <v>0.42659999999999998</v>
      </c>
      <c r="I55" s="28">
        <v>0.42659999999999998</v>
      </c>
      <c r="J55" s="28">
        <v>0.42659999999999998</v>
      </c>
      <c r="K55" s="28">
        <v>0.29609999999999997</v>
      </c>
      <c r="L55" s="28">
        <v>0.29609999999999997</v>
      </c>
      <c r="M55" s="28">
        <v>0.29609999999999997</v>
      </c>
      <c r="N55" s="28">
        <v>0</v>
      </c>
      <c r="O55" s="28">
        <v>0</v>
      </c>
      <c r="P55" s="28">
        <v>0</v>
      </c>
    </row>
    <row r="56" spans="2:17">
      <c r="C56" s="29"/>
    </row>
    <row r="57" spans="2:17">
      <c r="B57" s="6" t="s">
        <v>44</v>
      </c>
      <c r="C57" s="29"/>
      <c r="D57" s="29"/>
    </row>
    <row r="58" spans="2:17">
      <c r="B58" t="s">
        <v>40</v>
      </c>
      <c r="E58" s="35">
        <f t="shared" ref="E58:P60" si="9">ROUND(E$51*E53*E85,0)</f>
        <v>-135098</v>
      </c>
      <c r="F58" s="35">
        <f t="shared" si="9"/>
        <v>56662</v>
      </c>
      <c r="G58" s="35">
        <f t="shared" si="9"/>
        <v>440922</v>
      </c>
      <c r="H58" s="35">
        <f t="shared" si="9"/>
        <v>-1391380</v>
      </c>
      <c r="I58" s="35">
        <f t="shared" si="9"/>
        <v>-494763</v>
      </c>
      <c r="J58" s="35">
        <f t="shared" si="9"/>
        <v>-1432309</v>
      </c>
      <c r="K58" s="35">
        <f t="shared" si="9"/>
        <v>-1605822</v>
      </c>
      <c r="L58" s="35">
        <f t="shared" si="9"/>
        <v>557674</v>
      </c>
      <c r="M58" s="35">
        <f t="shared" si="9"/>
        <v>-363653</v>
      </c>
      <c r="N58" s="35">
        <f t="shared" si="9"/>
        <v>0</v>
      </c>
      <c r="O58" s="35">
        <f t="shared" si="9"/>
        <v>0</v>
      </c>
      <c r="P58" s="35">
        <f t="shared" si="9"/>
        <v>0</v>
      </c>
      <c r="Q58" s="35">
        <f>SUM(E58:P58)</f>
        <v>-4367767</v>
      </c>
    </row>
    <row r="59" spans="2:17">
      <c r="B59" t="s">
        <v>42</v>
      </c>
      <c r="E59" s="35">
        <f t="shared" si="9"/>
        <v>-23150</v>
      </c>
      <c r="F59" s="35">
        <f t="shared" si="9"/>
        <v>9683</v>
      </c>
      <c r="G59" s="35">
        <f t="shared" si="9"/>
        <v>98154</v>
      </c>
      <c r="H59" s="35">
        <f t="shared" si="9"/>
        <v>-308553</v>
      </c>
      <c r="I59" s="35">
        <f t="shared" si="9"/>
        <v>-109598</v>
      </c>
      <c r="J59" s="35">
        <f t="shared" si="9"/>
        <v>-317503</v>
      </c>
      <c r="K59" s="35">
        <f t="shared" si="9"/>
        <v>-275288</v>
      </c>
      <c r="L59" s="35">
        <f t="shared" si="9"/>
        <v>95602</v>
      </c>
      <c r="M59" s="35">
        <f t="shared" si="9"/>
        <v>-62653</v>
      </c>
      <c r="N59" s="35">
        <f t="shared" si="9"/>
        <v>0</v>
      </c>
      <c r="O59" s="35">
        <f t="shared" si="9"/>
        <v>0</v>
      </c>
      <c r="P59" s="35">
        <f t="shared" si="9"/>
        <v>0</v>
      </c>
      <c r="Q59" s="35">
        <f>SUM(E59:P59)</f>
        <v>-893306</v>
      </c>
    </row>
    <row r="60" spans="2:17">
      <c r="B60" t="s">
        <v>43</v>
      </c>
      <c r="E60" s="35">
        <f t="shared" si="9"/>
        <v>-330</v>
      </c>
      <c r="F60" s="35">
        <f t="shared" si="9"/>
        <v>136</v>
      </c>
      <c r="G60" s="35">
        <f t="shared" si="9"/>
        <v>1349</v>
      </c>
      <c r="H60" s="35">
        <f t="shared" si="9"/>
        <v>-4199</v>
      </c>
      <c r="I60" s="35">
        <f t="shared" si="9"/>
        <v>-1459</v>
      </c>
      <c r="J60" s="35">
        <f t="shared" si="9"/>
        <v>-4223</v>
      </c>
      <c r="K60" s="35">
        <f t="shared" si="9"/>
        <v>-3632</v>
      </c>
      <c r="L60" s="35">
        <f t="shared" si="9"/>
        <v>1262</v>
      </c>
      <c r="M60" s="35">
        <f t="shared" si="9"/>
        <v>-815</v>
      </c>
      <c r="N60" s="35">
        <f t="shared" si="9"/>
        <v>0</v>
      </c>
      <c r="O60" s="35">
        <f t="shared" si="9"/>
        <v>0</v>
      </c>
      <c r="P60" s="35">
        <f t="shared" si="9"/>
        <v>0</v>
      </c>
      <c r="Q60" s="35">
        <f>SUM(E60:P60)</f>
        <v>-11911</v>
      </c>
    </row>
    <row r="61" spans="2:17">
      <c r="B61" t="s">
        <v>45</v>
      </c>
      <c r="E61" s="47">
        <f>SUM(E58:E60)</f>
        <v>-158578</v>
      </c>
      <c r="F61" s="47">
        <f>SUM(F58:F60)</f>
        <v>66481</v>
      </c>
      <c r="G61" s="47">
        <f>SUM(G58:G60)</f>
        <v>540425</v>
      </c>
      <c r="H61" s="47">
        <f t="shared" ref="H61:Q61" si="10">SUM(H58:H60)</f>
        <v>-1704132</v>
      </c>
      <c r="I61" s="47">
        <f t="shared" si="10"/>
        <v>-605820</v>
      </c>
      <c r="J61" s="47">
        <f t="shared" si="10"/>
        <v>-1754035</v>
      </c>
      <c r="K61" s="47">
        <f t="shared" si="10"/>
        <v>-1884742</v>
      </c>
      <c r="L61" s="47">
        <f t="shared" si="10"/>
        <v>654538</v>
      </c>
      <c r="M61" s="47">
        <f t="shared" si="10"/>
        <v>-427121</v>
      </c>
      <c r="N61" s="47">
        <f t="shared" si="10"/>
        <v>0</v>
      </c>
      <c r="O61" s="47">
        <f t="shared" si="10"/>
        <v>0</v>
      </c>
      <c r="P61" s="47">
        <f t="shared" si="10"/>
        <v>0</v>
      </c>
      <c r="Q61" s="47">
        <f t="shared" si="10"/>
        <v>-5272984</v>
      </c>
    </row>
    <row r="64" spans="2:17">
      <c r="B64" s="6" t="s">
        <v>46</v>
      </c>
      <c r="E64" s="48"/>
    </row>
    <row r="65" spans="2:17">
      <c r="B65" s="32"/>
      <c r="E65" s="33">
        <v>39326</v>
      </c>
      <c r="F65" s="33">
        <v>39356</v>
      </c>
      <c r="G65" s="33">
        <v>39387</v>
      </c>
      <c r="H65" s="33">
        <v>39417</v>
      </c>
      <c r="I65" s="33">
        <v>39448</v>
      </c>
      <c r="J65" s="33">
        <v>39479</v>
      </c>
      <c r="K65" s="33">
        <v>39508</v>
      </c>
      <c r="L65" s="33">
        <v>39539</v>
      </c>
      <c r="M65" s="33">
        <v>39569</v>
      </c>
      <c r="N65" s="33">
        <v>39600</v>
      </c>
      <c r="O65" s="33">
        <v>39630</v>
      </c>
      <c r="P65" s="33">
        <v>39661</v>
      </c>
      <c r="Q65" s="33">
        <v>39692</v>
      </c>
    </row>
    <row r="66" spans="2:17">
      <c r="B66" t="s">
        <v>98</v>
      </c>
      <c r="E66" s="153">
        <v>161.9</v>
      </c>
      <c r="F66" s="68">
        <v>377.3</v>
      </c>
      <c r="G66" s="153">
        <v>642.79999999999995</v>
      </c>
      <c r="H66">
        <v>702.2</v>
      </c>
      <c r="I66" s="153">
        <v>756.7</v>
      </c>
      <c r="J66" s="68">
        <v>554.29999999999995</v>
      </c>
      <c r="K66" s="153">
        <v>549</v>
      </c>
      <c r="L66" s="153">
        <v>424.2</v>
      </c>
      <c r="M66" s="153">
        <v>140.1</v>
      </c>
      <c r="N66" s="153">
        <v>71.2</v>
      </c>
      <c r="O66" s="153">
        <v>4.7</v>
      </c>
      <c r="P66" s="153">
        <v>45.9</v>
      </c>
      <c r="Q66" s="153">
        <v>101.5</v>
      </c>
    </row>
    <row r="67" spans="2:17">
      <c r="B67" t="s">
        <v>99</v>
      </c>
      <c r="E67" s="49">
        <v>0.60950000000000004</v>
      </c>
      <c r="F67" s="49">
        <v>0.63290000000000002</v>
      </c>
      <c r="G67" s="49">
        <v>0.66190000000000004</v>
      </c>
      <c r="H67" s="49">
        <v>0.60980000000000001</v>
      </c>
      <c r="I67" s="49">
        <v>0.57909999999999995</v>
      </c>
      <c r="J67" s="49">
        <v>0.59930000000000005</v>
      </c>
      <c r="K67" s="49">
        <v>0.6129</v>
      </c>
      <c r="L67" s="49">
        <v>0.64290000000000003</v>
      </c>
      <c r="M67" s="49">
        <v>0.63590000000000002</v>
      </c>
      <c r="N67" s="49">
        <v>0.63329999999999997</v>
      </c>
      <c r="O67" s="49">
        <v>0.63290000000000002</v>
      </c>
      <c r="P67" s="49">
        <v>0.66359999999999997</v>
      </c>
      <c r="Q67" s="49">
        <v>0.62860000000000005</v>
      </c>
    </row>
    <row r="68" spans="2:17">
      <c r="B68" s="2"/>
      <c r="C68" s="27" t="s">
        <v>49</v>
      </c>
      <c r="D68" s="38" t="s">
        <v>39</v>
      </c>
      <c r="E68" s="49"/>
      <c r="F68" s="49"/>
      <c r="G68" s="49"/>
      <c r="H68" s="49"/>
      <c r="I68" s="49"/>
      <c r="J68" s="49"/>
      <c r="K68" s="49"/>
      <c r="L68" s="49"/>
      <c r="M68" s="49"/>
      <c r="N68" s="49"/>
      <c r="O68" s="49"/>
      <c r="P68" s="49"/>
      <c r="Q68" s="49"/>
    </row>
    <row r="69" spans="2:17">
      <c r="B69" t="s">
        <v>40</v>
      </c>
      <c r="C69" s="147">
        <v>15</v>
      </c>
      <c r="D69" s="23" t="s">
        <v>41</v>
      </c>
      <c r="E69" s="28">
        <f>(E53+P53)/2</f>
        <v>4.385E-2</v>
      </c>
      <c r="F69" s="28">
        <f>(E53+F53)/2</f>
        <v>8.77E-2</v>
      </c>
      <c r="G69" s="28">
        <f t="shared" ref="G69:P69" si="11">(F53+G53)/2</f>
        <v>9.3950000000000006E-2</v>
      </c>
      <c r="H69" s="28">
        <f t="shared" si="11"/>
        <v>0.1002</v>
      </c>
      <c r="I69" s="28">
        <f t="shared" si="11"/>
        <v>0.1002</v>
      </c>
      <c r="J69" s="28">
        <f t="shared" si="11"/>
        <v>0.1002</v>
      </c>
      <c r="K69" s="28">
        <f t="shared" si="11"/>
        <v>9.3950000000000006E-2</v>
      </c>
      <c r="L69" s="28">
        <f t="shared" si="11"/>
        <v>8.77E-2</v>
      </c>
      <c r="M69" s="28">
        <f t="shared" si="11"/>
        <v>8.77E-2</v>
      </c>
      <c r="N69" s="28">
        <f t="shared" si="11"/>
        <v>4.385E-2</v>
      </c>
      <c r="O69" s="28">
        <f t="shared" si="11"/>
        <v>0</v>
      </c>
      <c r="P69" s="28">
        <f t="shared" si="11"/>
        <v>0</v>
      </c>
      <c r="Q69" s="28">
        <f>(P53+E53)/2</f>
        <v>4.385E-2</v>
      </c>
    </row>
    <row r="70" spans="2:17">
      <c r="B70" t="s">
        <v>42</v>
      </c>
      <c r="C70" s="147">
        <v>12</v>
      </c>
      <c r="D70" s="23" t="s">
        <v>41</v>
      </c>
      <c r="E70" s="28">
        <f>(E54+P54)/2</f>
        <v>8.3500000000000005E-2</v>
      </c>
      <c r="F70" s="28">
        <f t="shared" ref="F70:P71" si="12">(E54+F54)/2</f>
        <v>0.16700000000000001</v>
      </c>
      <c r="G70" s="28">
        <f t="shared" si="12"/>
        <v>0.20685000000000001</v>
      </c>
      <c r="H70" s="28">
        <f t="shared" si="12"/>
        <v>0.2467</v>
      </c>
      <c r="I70" s="28">
        <f t="shared" si="12"/>
        <v>0.2467</v>
      </c>
      <c r="J70" s="28">
        <f t="shared" si="12"/>
        <v>0.2467</v>
      </c>
      <c r="K70" s="28">
        <f t="shared" si="12"/>
        <v>0.20685000000000001</v>
      </c>
      <c r="L70" s="28">
        <f t="shared" si="12"/>
        <v>0.16700000000000001</v>
      </c>
      <c r="M70" s="28">
        <f t="shared" si="12"/>
        <v>0.16700000000000001</v>
      </c>
      <c r="N70" s="28">
        <f t="shared" si="12"/>
        <v>8.3500000000000005E-2</v>
      </c>
      <c r="O70" s="28">
        <f t="shared" si="12"/>
        <v>0</v>
      </c>
      <c r="P70" s="28">
        <f t="shared" si="12"/>
        <v>0</v>
      </c>
      <c r="Q70" s="28">
        <f>(P54+E54)/2</f>
        <v>8.3500000000000005E-2</v>
      </c>
    </row>
    <row r="71" spans="2:17">
      <c r="B71" t="s">
        <v>43</v>
      </c>
      <c r="C71" s="147">
        <v>0</v>
      </c>
      <c r="D71" s="23" t="s">
        <v>41</v>
      </c>
      <c r="E71" s="28">
        <f>(E55+P55)/2</f>
        <v>0.14804999999999999</v>
      </c>
      <c r="F71" s="28">
        <f t="shared" si="12"/>
        <v>0.29609999999999997</v>
      </c>
      <c r="G71" s="28">
        <f t="shared" si="12"/>
        <v>0.36134999999999995</v>
      </c>
      <c r="H71" s="28">
        <f t="shared" si="12"/>
        <v>0.42659999999999998</v>
      </c>
      <c r="I71" s="28">
        <f t="shared" si="12"/>
        <v>0.42659999999999998</v>
      </c>
      <c r="J71" s="28">
        <f t="shared" si="12"/>
        <v>0.42659999999999998</v>
      </c>
      <c r="K71" s="28">
        <f t="shared" si="12"/>
        <v>0.36134999999999995</v>
      </c>
      <c r="L71" s="28">
        <f t="shared" si="12"/>
        <v>0.29609999999999997</v>
      </c>
      <c r="M71" s="28">
        <f t="shared" si="12"/>
        <v>0.29609999999999997</v>
      </c>
      <c r="N71" s="28">
        <f t="shared" si="12"/>
        <v>0.14804999999999999</v>
      </c>
      <c r="O71" s="28">
        <f t="shared" si="12"/>
        <v>0</v>
      </c>
      <c r="P71" s="28">
        <f t="shared" si="12"/>
        <v>0</v>
      </c>
      <c r="Q71" s="28">
        <f>(P55+E55)/2</f>
        <v>0.14804999999999999</v>
      </c>
    </row>
    <row r="72" spans="2:17">
      <c r="D72" s="29"/>
      <c r="E72" s="49"/>
      <c r="F72" s="49"/>
      <c r="G72" s="49"/>
      <c r="H72" s="49"/>
      <c r="I72" s="49"/>
      <c r="J72" s="49"/>
      <c r="K72" s="49"/>
      <c r="L72" s="49"/>
      <c r="M72" s="49"/>
      <c r="N72" s="49"/>
      <c r="O72" s="49"/>
      <c r="P72" s="49"/>
      <c r="Q72" s="49"/>
    </row>
    <row r="73" spans="2:17">
      <c r="B73" s="6" t="s">
        <v>44</v>
      </c>
      <c r="C73" s="27"/>
      <c r="D73" s="23"/>
      <c r="E73" s="49"/>
      <c r="F73" s="49"/>
      <c r="G73" s="49"/>
      <c r="H73" s="49"/>
      <c r="I73" s="49"/>
      <c r="J73" s="49"/>
      <c r="K73" s="49"/>
      <c r="L73" s="49"/>
      <c r="M73" s="49"/>
      <c r="N73" s="49"/>
      <c r="O73" s="49"/>
      <c r="P73" s="49"/>
      <c r="Q73" s="49"/>
    </row>
    <row r="74" spans="2:17">
      <c r="B74" t="s">
        <v>40</v>
      </c>
      <c r="E74" s="35">
        <f t="shared" ref="E74:Q76" si="13">ROUND((E$66*E69)*D85,0)+ROUND(($C69*E$67)*D85,0)</f>
        <v>2077295</v>
      </c>
      <c r="F74" s="35">
        <f t="shared" si="13"/>
        <v>5466385</v>
      </c>
      <c r="G74" s="35">
        <f t="shared" si="13"/>
        <v>9086553</v>
      </c>
      <c r="H74" s="35">
        <f t="shared" si="13"/>
        <v>10290171</v>
      </c>
      <c r="I74" s="35">
        <f t="shared" si="13"/>
        <v>10967089</v>
      </c>
      <c r="J74" s="35">
        <f t="shared" si="13"/>
        <v>8385140</v>
      </c>
      <c r="K74" s="35">
        <f t="shared" si="13"/>
        <v>7897328</v>
      </c>
      <c r="L74" s="35">
        <f t="shared" si="13"/>
        <v>6083448</v>
      </c>
      <c r="M74" s="35">
        <f t="shared" si="13"/>
        <v>2832331</v>
      </c>
      <c r="N74" s="35">
        <f t="shared" si="13"/>
        <v>1635509</v>
      </c>
      <c r="O74" s="35">
        <f t="shared" si="13"/>
        <v>1229968</v>
      </c>
      <c r="P74" s="35">
        <f t="shared" si="13"/>
        <v>1289929</v>
      </c>
      <c r="Q74" s="35">
        <f t="shared" si="13"/>
        <v>1804731</v>
      </c>
    </row>
    <row r="75" spans="2:17">
      <c r="B75" t="s">
        <v>42</v>
      </c>
      <c r="E75" s="35">
        <f t="shared" si="13"/>
        <v>240638</v>
      </c>
      <c r="F75" s="35">
        <f t="shared" si="13"/>
        <v>815616</v>
      </c>
      <c r="G75" s="35">
        <f t="shared" si="13"/>
        <v>1634087</v>
      </c>
      <c r="H75" s="35">
        <f t="shared" si="13"/>
        <v>2112801</v>
      </c>
      <c r="I75" s="35">
        <f t="shared" si="13"/>
        <v>2263307</v>
      </c>
      <c r="J75" s="35">
        <f t="shared" si="13"/>
        <v>1682772</v>
      </c>
      <c r="K75" s="35">
        <f t="shared" si="13"/>
        <v>1414711</v>
      </c>
      <c r="L75" s="35">
        <f t="shared" si="13"/>
        <v>918401</v>
      </c>
      <c r="M75" s="35">
        <f t="shared" si="13"/>
        <v>362495</v>
      </c>
      <c r="N75" s="35">
        <f t="shared" si="13"/>
        <v>158800</v>
      </c>
      <c r="O75" s="35">
        <f t="shared" si="13"/>
        <v>88738</v>
      </c>
      <c r="P75" s="35">
        <f t="shared" si="13"/>
        <v>93161</v>
      </c>
      <c r="Q75" s="35">
        <f t="shared" si="13"/>
        <v>187288</v>
      </c>
    </row>
    <row r="76" spans="2:17">
      <c r="B76" t="s">
        <v>43</v>
      </c>
      <c r="E76" s="35">
        <f t="shared" si="13"/>
        <v>2277</v>
      </c>
      <c r="F76" s="35">
        <f t="shared" si="13"/>
        <v>10390</v>
      </c>
      <c r="G76" s="35">
        <f t="shared" si="13"/>
        <v>21369</v>
      </c>
      <c r="H76" s="35">
        <f t="shared" si="13"/>
        <v>27859</v>
      </c>
      <c r="I76" s="35">
        <f t="shared" si="13"/>
        <v>29698</v>
      </c>
      <c r="J76" s="35">
        <f t="shared" si="13"/>
        <v>21282</v>
      </c>
      <c r="K76" s="35">
        <f t="shared" si="13"/>
        <v>17854</v>
      </c>
      <c r="L76" s="35">
        <f t="shared" si="13"/>
        <v>10928</v>
      </c>
      <c r="M76" s="35">
        <f t="shared" si="13"/>
        <v>3609</v>
      </c>
      <c r="N76" s="35">
        <f t="shared" si="13"/>
        <v>907</v>
      </c>
      <c r="O76" s="35">
        <f t="shared" si="13"/>
        <v>0</v>
      </c>
      <c r="P76" s="35">
        <f t="shared" si="13"/>
        <v>0</v>
      </c>
      <c r="Q76" s="35">
        <f t="shared" si="13"/>
        <v>1292</v>
      </c>
    </row>
    <row r="77" spans="2:17">
      <c r="B77" t="s">
        <v>50</v>
      </c>
      <c r="E77" s="47">
        <f>SUM(E74:E76)</f>
        <v>2320210</v>
      </c>
      <c r="F77" s="47">
        <f>SUM(F74:F76)</f>
        <v>6292391</v>
      </c>
      <c r="G77" s="47">
        <f>SUM(G74:G76)</f>
        <v>10742009</v>
      </c>
      <c r="H77" s="47">
        <f>SUM(H74:H76)</f>
        <v>12430831</v>
      </c>
      <c r="I77" s="47">
        <f t="shared" ref="I77:Q77" si="14">SUM(I74:I76)</f>
        <v>13260094</v>
      </c>
      <c r="J77" s="47">
        <f t="shared" si="14"/>
        <v>10089194</v>
      </c>
      <c r="K77" s="47">
        <f t="shared" si="14"/>
        <v>9329893</v>
      </c>
      <c r="L77" s="47">
        <f t="shared" si="14"/>
        <v>7012777</v>
      </c>
      <c r="M77" s="47">
        <f t="shared" si="14"/>
        <v>3198435</v>
      </c>
      <c r="N77" s="47">
        <f t="shared" si="14"/>
        <v>1795216</v>
      </c>
      <c r="O77" s="47">
        <f t="shared" si="14"/>
        <v>1318706</v>
      </c>
      <c r="P77" s="47">
        <f t="shared" si="14"/>
        <v>1383090</v>
      </c>
      <c r="Q77" s="47">
        <f t="shared" si="14"/>
        <v>1993311</v>
      </c>
    </row>
    <row r="79" spans="2:17">
      <c r="B79" t="s">
        <v>51</v>
      </c>
      <c r="E79" s="21">
        <f>E80-E77</f>
        <v>196694.49000000022</v>
      </c>
      <c r="Q79" s="21">
        <f>Q80-Q77</f>
        <v>-18540.489999999991</v>
      </c>
    </row>
    <row r="80" spans="2:17">
      <c r="B80" t="s">
        <v>52</v>
      </c>
      <c r="E80" s="50">
        <f>2516904+0.49</f>
        <v>2516904.4900000002</v>
      </c>
      <c r="Q80" s="50">
        <f>1974771-0.49</f>
        <v>1974770.51</v>
      </c>
    </row>
    <row r="83" spans="2:17">
      <c r="B83" s="2" t="s">
        <v>53</v>
      </c>
    </row>
    <row r="84" spans="2:17">
      <c r="B84" s="2"/>
      <c r="C84" t="s">
        <v>54</v>
      </c>
      <c r="D84" s="33">
        <v>39326</v>
      </c>
      <c r="E84" s="33">
        <v>39356</v>
      </c>
      <c r="F84" s="33">
        <v>39387</v>
      </c>
      <c r="G84" s="33">
        <v>39417</v>
      </c>
      <c r="H84" s="33">
        <v>39448</v>
      </c>
      <c r="I84" s="33">
        <v>39479</v>
      </c>
      <c r="J84" s="33">
        <v>39508</v>
      </c>
      <c r="K84" s="33">
        <v>39539</v>
      </c>
      <c r="L84" s="33">
        <v>39569</v>
      </c>
      <c r="M84" s="33">
        <v>39600</v>
      </c>
      <c r="N84" s="33">
        <v>39630</v>
      </c>
      <c r="O84" s="33">
        <v>39661</v>
      </c>
      <c r="P84" s="33">
        <v>39692</v>
      </c>
      <c r="Q84" s="36" t="s">
        <v>55</v>
      </c>
    </row>
    <row r="85" spans="2:17">
      <c r="B85" t="s">
        <v>56</v>
      </c>
      <c r="C85" s="37" t="s">
        <v>57</v>
      </c>
      <c r="D85" s="35">
        <v>127898</v>
      </c>
      <c r="E85" s="35">
        <v>128371</v>
      </c>
      <c r="F85" s="35">
        <v>129218</v>
      </c>
      <c r="G85" s="35">
        <v>129424</v>
      </c>
      <c r="H85" s="35">
        <v>129776</v>
      </c>
      <c r="I85" s="35">
        <v>129941</v>
      </c>
      <c r="J85" s="35">
        <v>129950</v>
      </c>
      <c r="K85" s="35">
        <v>129861</v>
      </c>
      <c r="L85" s="35">
        <v>129773</v>
      </c>
      <c r="M85" s="35">
        <v>129580</v>
      </c>
      <c r="N85" s="35">
        <v>129559</v>
      </c>
      <c r="O85" s="35">
        <v>129589</v>
      </c>
      <c r="P85" s="35">
        <v>130026</v>
      </c>
      <c r="Q85" s="35">
        <f>SUM(E85:P85)</f>
        <v>1555068</v>
      </c>
    </row>
    <row r="86" spans="2:17">
      <c r="B86" t="s">
        <v>58</v>
      </c>
      <c r="C86" s="37" t="s">
        <v>59</v>
      </c>
      <c r="D86" s="35">
        <v>11551</v>
      </c>
      <c r="E86" s="35">
        <v>11552</v>
      </c>
      <c r="F86" s="35">
        <v>11597</v>
      </c>
      <c r="G86" s="35">
        <v>11702</v>
      </c>
      <c r="H86" s="35">
        <v>11689</v>
      </c>
      <c r="I86" s="35">
        <v>11691</v>
      </c>
      <c r="J86" s="35">
        <v>11700</v>
      </c>
      <c r="K86" s="35">
        <v>11691</v>
      </c>
      <c r="L86" s="35">
        <v>11683</v>
      </c>
      <c r="M86" s="35">
        <v>11724</v>
      </c>
      <c r="N86" s="35">
        <v>11684</v>
      </c>
      <c r="O86" s="35">
        <v>11699</v>
      </c>
      <c r="P86" s="35">
        <v>11692</v>
      </c>
      <c r="Q86" s="35">
        <f>SUM(E86:P86)</f>
        <v>140104</v>
      </c>
    </row>
    <row r="87" spans="2:17">
      <c r="B87" t="s">
        <v>60</v>
      </c>
      <c r="C87" s="37" t="s">
        <v>61</v>
      </c>
      <c r="D87" s="35">
        <v>95</v>
      </c>
      <c r="E87" s="35">
        <v>93</v>
      </c>
      <c r="F87" s="35">
        <v>92</v>
      </c>
      <c r="G87" s="35">
        <v>93</v>
      </c>
      <c r="H87" s="35">
        <v>92</v>
      </c>
      <c r="I87" s="35">
        <v>90</v>
      </c>
      <c r="J87" s="35">
        <v>90</v>
      </c>
      <c r="K87" s="35">
        <v>87</v>
      </c>
      <c r="L87" s="35">
        <v>87</v>
      </c>
      <c r="M87" s="35">
        <v>86</v>
      </c>
      <c r="N87" s="35">
        <v>87</v>
      </c>
      <c r="O87" s="35">
        <v>87</v>
      </c>
      <c r="P87" s="35">
        <v>86</v>
      </c>
      <c r="Q87" s="35">
        <f>SUM(E87:P87)</f>
        <v>1070</v>
      </c>
    </row>
    <row r="88" spans="2:17">
      <c r="B88" t="s">
        <v>62</v>
      </c>
      <c r="C88" s="37" t="s">
        <v>63</v>
      </c>
      <c r="D88" s="35">
        <v>24</v>
      </c>
      <c r="E88" s="35">
        <v>23</v>
      </c>
      <c r="F88" s="35">
        <v>23</v>
      </c>
      <c r="G88" s="35">
        <v>23</v>
      </c>
      <c r="H88" s="35">
        <v>23</v>
      </c>
      <c r="I88" s="35">
        <v>23</v>
      </c>
      <c r="J88" s="35">
        <v>23</v>
      </c>
      <c r="K88" s="35">
        <v>23</v>
      </c>
      <c r="L88" s="35">
        <v>23</v>
      </c>
      <c r="M88" s="35">
        <v>23</v>
      </c>
      <c r="N88" s="35">
        <v>24</v>
      </c>
      <c r="O88" s="35">
        <v>24</v>
      </c>
      <c r="P88" s="35">
        <v>25</v>
      </c>
      <c r="Q88" s="35">
        <f>SUM(E88:P88)</f>
        <v>280</v>
      </c>
    </row>
    <row r="89" spans="2:17">
      <c r="B89" t="s">
        <v>50</v>
      </c>
      <c r="D89" s="13">
        <f t="shared" ref="D89:Q89" si="15">SUM(D85:D88)</f>
        <v>139568</v>
      </c>
      <c r="E89" s="13">
        <f>SUM(E85:E88)</f>
        <v>140039</v>
      </c>
      <c r="F89" s="13">
        <f>SUM(F85:F88)</f>
        <v>140930</v>
      </c>
      <c r="G89" s="13">
        <f>SUM(G85:G88)</f>
        <v>141242</v>
      </c>
      <c r="H89" s="13">
        <f>SUM(H85:H88)</f>
        <v>141580</v>
      </c>
      <c r="I89" s="13">
        <f t="shared" si="15"/>
        <v>141745</v>
      </c>
      <c r="J89" s="13">
        <f t="shared" si="15"/>
        <v>141763</v>
      </c>
      <c r="K89" s="13">
        <f t="shared" si="15"/>
        <v>141662</v>
      </c>
      <c r="L89" s="13">
        <f t="shared" si="15"/>
        <v>141566</v>
      </c>
      <c r="M89" s="13">
        <f t="shared" si="15"/>
        <v>141413</v>
      </c>
      <c r="N89" s="13">
        <f t="shared" si="15"/>
        <v>141354</v>
      </c>
      <c r="O89" s="13">
        <f t="shared" si="15"/>
        <v>141399</v>
      </c>
      <c r="P89" s="13">
        <f t="shared" si="15"/>
        <v>141829</v>
      </c>
      <c r="Q89" s="13">
        <f t="shared" si="15"/>
        <v>1696522</v>
      </c>
    </row>
  </sheetData>
  <mergeCells count="4">
    <mergeCell ref="A4:Q4"/>
    <mergeCell ref="A5:Q5"/>
    <mergeCell ref="A39:Q39"/>
    <mergeCell ref="A40:Q40"/>
  </mergeCells>
  <printOptions horizontalCentered="1" verticalCentered="1"/>
  <pageMargins left="0.25" right="0.25" top="0.25" bottom="0.25" header="0.5" footer="0.5"/>
  <pageSetup scale="65" orientation="landscape" r:id="rId1"/>
  <headerFooter alignWithMargins="0"/>
  <rowBreaks count="1" manualBreakCount="1">
    <brk id="38" max="16383" man="1"/>
  </rowBreaks>
</worksheet>
</file>

<file path=xl/worksheets/sheet2.xml><?xml version="1.0" encoding="utf-8"?>
<worksheet xmlns="http://schemas.openxmlformats.org/spreadsheetml/2006/main" xmlns:r="http://schemas.openxmlformats.org/officeDocument/2006/relationships">
  <sheetPr>
    <tabColor indexed="35"/>
  </sheetPr>
  <dimension ref="A1:Q86"/>
  <sheetViews>
    <sheetView topLeftCell="A51" zoomScaleNormal="100" workbookViewId="0">
      <selection activeCell="J84" sqref="J84"/>
    </sheetView>
  </sheetViews>
  <sheetFormatPr defaultRowHeight="12.75"/>
  <cols>
    <col min="1" max="1" width="2.85546875" style="91" customWidth="1"/>
    <col min="2" max="2" width="19.5703125" style="91" customWidth="1"/>
    <col min="3" max="3" width="6.42578125" style="91" customWidth="1"/>
    <col min="4" max="4" width="15.28515625" style="91" customWidth="1"/>
    <col min="5" max="5" width="12.85546875" style="91" customWidth="1"/>
    <col min="6" max="6" width="13.140625" style="91" customWidth="1"/>
    <col min="7" max="7" width="12.5703125" style="91" customWidth="1"/>
    <col min="8" max="8" width="12.7109375" style="91" customWidth="1"/>
    <col min="9" max="9" width="12.140625" style="91" customWidth="1"/>
    <col min="10" max="10" width="12.7109375" style="91" customWidth="1"/>
    <col min="11" max="11" width="11.5703125" style="91" customWidth="1"/>
    <col min="12" max="13" width="11.42578125" style="91" customWidth="1"/>
    <col min="14" max="14" width="11.28515625" style="91" customWidth="1"/>
    <col min="15" max="15" width="11.42578125" style="91" customWidth="1"/>
    <col min="16" max="16" width="11.85546875" style="91" customWidth="1"/>
    <col min="17" max="17" width="12.7109375" style="91" customWidth="1"/>
    <col min="18" max="18" width="14" style="91" bestFit="1" customWidth="1"/>
    <col min="19" max="19" width="12.85546875" style="91" bestFit="1" customWidth="1"/>
    <col min="20" max="20" width="14" style="91" bestFit="1" customWidth="1"/>
    <col min="21" max="16384" width="9.140625" style="91"/>
  </cols>
  <sheetData>
    <row r="1" spans="1:17">
      <c r="A1" s="90" t="s">
        <v>64</v>
      </c>
    </row>
    <row r="2" spans="1:17">
      <c r="A2" s="90" t="s">
        <v>65</v>
      </c>
    </row>
    <row r="3" spans="1:17">
      <c r="A3" s="90" t="s">
        <v>148</v>
      </c>
    </row>
    <row r="4" spans="1:17" ht="25.5">
      <c r="A4" s="156" t="s">
        <v>149</v>
      </c>
      <c r="B4" s="156"/>
      <c r="C4" s="156"/>
      <c r="D4" s="156"/>
      <c r="E4" s="156"/>
      <c r="F4" s="156"/>
      <c r="G4" s="156"/>
      <c r="H4" s="156"/>
      <c r="I4" s="156"/>
      <c r="J4" s="156"/>
      <c r="K4" s="156"/>
      <c r="L4" s="156"/>
      <c r="M4" s="156"/>
      <c r="N4" s="156"/>
      <c r="O4" s="156"/>
      <c r="P4" s="156"/>
      <c r="Q4" s="156"/>
    </row>
    <row r="5" spans="1:17" ht="20.25">
      <c r="A5" s="157" t="s">
        <v>150</v>
      </c>
      <c r="B5" s="157"/>
      <c r="C5" s="157"/>
      <c r="D5" s="157"/>
      <c r="E5" s="157"/>
      <c r="F5" s="157"/>
      <c r="G5" s="157"/>
      <c r="H5" s="157"/>
      <c r="I5" s="157"/>
      <c r="J5" s="157"/>
      <c r="K5" s="157"/>
      <c r="L5" s="157"/>
      <c r="M5" s="157"/>
      <c r="N5" s="157"/>
      <c r="O5" s="157"/>
      <c r="P5" s="157"/>
      <c r="Q5" s="157"/>
    </row>
    <row r="6" spans="1:17">
      <c r="A6" s="90"/>
    </row>
    <row r="8" spans="1:17">
      <c r="A8" s="92" t="s">
        <v>18</v>
      </c>
      <c r="D8" s="99" t="s">
        <v>151</v>
      </c>
      <c r="E8" s="92" t="s">
        <v>70</v>
      </c>
      <c r="F8" s="120" t="s">
        <v>11</v>
      </c>
      <c r="G8" s="120" t="s">
        <v>12</v>
      </c>
      <c r="H8" s="120" t="s">
        <v>13</v>
      </c>
      <c r="I8" s="120" t="s">
        <v>14</v>
      </c>
      <c r="J8" s="120" t="s">
        <v>15</v>
      </c>
      <c r="K8" s="120" t="s">
        <v>16</v>
      </c>
      <c r="L8" s="120" t="s">
        <v>5</v>
      </c>
      <c r="M8" s="120" t="s">
        <v>6</v>
      </c>
      <c r="N8" s="120" t="s">
        <v>7</v>
      </c>
      <c r="O8" s="120" t="s">
        <v>8</v>
      </c>
      <c r="P8" s="120" t="s">
        <v>9</v>
      </c>
      <c r="Q8" s="120" t="s">
        <v>10</v>
      </c>
    </row>
    <row r="9" spans="1:17">
      <c r="A9" s="92" t="s">
        <v>71</v>
      </c>
    </row>
    <row r="10" spans="1:17" ht="15">
      <c r="A10" s="91" t="s">
        <v>72</v>
      </c>
      <c r="D10" s="121">
        <v>124216208</v>
      </c>
      <c r="E10" s="102">
        <f>SUM(F10:Q10)</f>
        <v>124216208</v>
      </c>
      <c r="F10" s="122">
        <f>E42</f>
        <v>24885757</v>
      </c>
      <c r="G10" s="122">
        <f t="shared" ref="G10:Q10" si="0">F42</f>
        <v>21106338</v>
      </c>
      <c r="H10" s="122">
        <f t="shared" si="0"/>
        <v>17754612</v>
      </c>
      <c r="I10" s="122">
        <f t="shared" si="0"/>
        <v>12666299</v>
      </c>
      <c r="J10" s="122">
        <f t="shared" si="0"/>
        <v>7615545</v>
      </c>
      <c r="K10" s="122">
        <f t="shared" si="0"/>
        <v>3714717</v>
      </c>
      <c r="L10" s="122">
        <f t="shared" si="0"/>
        <v>2373945</v>
      </c>
      <c r="M10" s="122">
        <f t="shared" si="0"/>
        <v>2111270</v>
      </c>
      <c r="N10" s="122">
        <f t="shared" si="0"/>
        <v>2274191</v>
      </c>
      <c r="O10" s="122">
        <f t="shared" si="0"/>
        <v>4129665</v>
      </c>
      <c r="P10" s="122">
        <f t="shared" si="0"/>
        <v>9700573</v>
      </c>
      <c r="Q10" s="122">
        <f t="shared" si="0"/>
        <v>15883296</v>
      </c>
    </row>
    <row r="11" spans="1:17">
      <c r="A11" s="91" t="s">
        <v>73</v>
      </c>
      <c r="D11" s="121">
        <v>-15919236</v>
      </c>
      <c r="E11" s="102">
        <f>SUM(F11:Q11)</f>
        <v>-80466703</v>
      </c>
      <c r="F11" s="102">
        <f>-E71</f>
        <v>-15919236</v>
      </c>
      <c r="G11" s="102">
        <f t="shared" ref="G11:Q11" si="1">-F71</f>
        <v>-13556027</v>
      </c>
      <c r="H11" s="102">
        <f t="shared" si="1"/>
        <v>-9801943</v>
      </c>
      <c r="I11" s="102">
        <f t="shared" si="1"/>
        <v>-9117730</v>
      </c>
      <c r="J11" s="102">
        <f t="shared" si="1"/>
        <v>-5222312</v>
      </c>
      <c r="K11" s="102">
        <f t="shared" si="1"/>
        <v>-2486077</v>
      </c>
      <c r="L11" s="102">
        <f t="shared" si="1"/>
        <v>-1639848</v>
      </c>
      <c r="M11" s="102">
        <f t="shared" si="1"/>
        <v>-1405084</v>
      </c>
      <c r="N11" s="102">
        <f t="shared" si="1"/>
        <v>-1544210</v>
      </c>
      <c r="O11" s="102">
        <f t="shared" si="1"/>
        <v>-1964249</v>
      </c>
      <c r="P11" s="102">
        <f t="shared" si="1"/>
        <v>-7223636</v>
      </c>
      <c r="Q11" s="102">
        <f t="shared" si="1"/>
        <v>-10586351</v>
      </c>
    </row>
    <row r="12" spans="1:17">
      <c r="A12" s="91" t="s">
        <v>74</v>
      </c>
      <c r="D12" s="121">
        <v>17648827</v>
      </c>
      <c r="E12" s="102">
        <f>SUM(F12:Q12)</f>
        <v>82196294</v>
      </c>
      <c r="F12" s="102">
        <f>F71</f>
        <v>13556027</v>
      </c>
      <c r="G12" s="102">
        <f t="shared" ref="G12:Q12" si="2">G71</f>
        <v>9801943</v>
      </c>
      <c r="H12" s="102">
        <f t="shared" si="2"/>
        <v>9117730</v>
      </c>
      <c r="I12" s="102">
        <f t="shared" si="2"/>
        <v>5222312</v>
      </c>
      <c r="J12" s="102">
        <f t="shared" si="2"/>
        <v>2486077</v>
      </c>
      <c r="K12" s="102">
        <f t="shared" si="2"/>
        <v>1639848</v>
      </c>
      <c r="L12" s="102">
        <f t="shared" si="2"/>
        <v>1405084</v>
      </c>
      <c r="M12" s="102">
        <f t="shared" si="2"/>
        <v>1544210</v>
      </c>
      <c r="N12" s="102">
        <f t="shared" si="2"/>
        <v>1964249</v>
      </c>
      <c r="O12" s="102">
        <f t="shared" si="2"/>
        <v>7223636</v>
      </c>
      <c r="P12" s="102">
        <f t="shared" si="2"/>
        <v>10586351</v>
      </c>
      <c r="Q12" s="102">
        <f t="shared" si="2"/>
        <v>17648827</v>
      </c>
    </row>
    <row r="13" spans="1:17" ht="15">
      <c r="A13" s="91" t="s">
        <v>75</v>
      </c>
      <c r="D13" s="123">
        <v>-6829575</v>
      </c>
      <c r="E13" s="102">
        <f>SUM(F13:Q13)</f>
        <v>-6829575</v>
      </c>
      <c r="F13" s="102">
        <f>E58</f>
        <v>-1357367</v>
      </c>
      <c r="G13" s="102">
        <f t="shared" ref="G13:Q13" si="3">F58</f>
        <v>-710932</v>
      </c>
      <c r="H13" s="102">
        <f t="shared" si="3"/>
        <v>-2583342</v>
      </c>
      <c r="I13" s="102">
        <f t="shared" si="3"/>
        <v>-595333</v>
      </c>
      <c r="J13" s="102">
        <f t="shared" si="3"/>
        <v>270319</v>
      </c>
      <c r="K13" s="102">
        <f t="shared" si="3"/>
        <v>674950</v>
      </c>
      <c r="L13" s="102">
        <f t="shared" si="3"/>
        <v>0</v>
      </c>
      <c r="M13" s="102">
        <f t="shared" si="3"/>
        <v>0</v>
      </c>
      <c r="N13" s="102">
        <f t="shared" si="3"/>
        <v>0</v>
      </c>
      <c r="O13" s="102">
        <f t="shared" si="3"/>
        <v>-1734191</v>
      </c>
      <c r="P13" s="102">
        <f t="shared" si="3"/>
        <v>747742</v>
      </c>
      <c r="Q13" s="102">
        <f t="shared" si="3"/>
        <v>-1541421</v>
      </c>
    </row>
    <row r="14" spans="1:17">
      <c r="A14" s="91" t="s">
        <v>76</v>
      </c>
      <c r="D14" s="121">
        <f t="shared" ref="D14:Q14" si="4">SUM(D10:D13)</f>
        <v>119116224</v>
      </c>
      <c r="E14" s="109">
        <f t="shared" si="4"/>
        <v>119116224</v>
      </c>
      <c r="F14" s="109">
        <f t="shared" si="4"/>
        <v>21165181</v>
      </c>
      <c r="G14" s="109">
        <f t="shared" si="4"/>
        <v>16641322</v>
      </c>
      <c r="H14" s="109">
        <f t="shared" si="4"/>
        <v>14487057</v>
      </c>
      <c r="I14" s="109">
        <f t="shared" si="4"/>
        <v>8175548</v>
      </c>
      <c r="J14" s="109">
        <f t="shared" si="4"/>
        <v>5149629</v>
      </c>
      <c r="K14" s="109">
        <f t="shared" si="4"/>
        <v>3543438</v>
      </c>
      <c r="L14" s="109">
        <f t="shared" si="4"/>
        <v>2139181</v>
      </c>
      <c r="M14" s="109">
        <f t="shared" si="4"/>
        <v>2250396</v>
      </c>
      <c r="N14" s="109">
        <f t="shared" si="4"/>
        <v>2694230</v>
      </c>
      <c r="O14" s="109">
        <f t="shared" si="4"/>
        <v>7654861</v>
      </c>
      <c r="P14" s="109">
        <f t="shared" si="4"/>
        <v>13811030</v>
      </c>
      <c r="Q14" s="109">
        <f t="shared" si="4"/>
        <v>21404351</v>
      </c>
    </row>
    <row r="15" spans="1:17">
      <c r="D15" s="102"/>
      <c r="E15" s="124"/>
      <c r="F15" s="124"/>
      <c r="G15" s="124"/>
      <c r="H15" s="124"/>
      <c r="I15" s="124"/>
      <c r="J15" s="124"/>
      <c r="K15" s="124"/>
      <c r="L15" s="124"/>
      <c r="M15" s="124"/>
      <c r="N15" s="124"/>
      <c r="O15" s="124"/>
      <c r="P15" s="124"/>
      <c r="Q15" s="124"/>
    </row>
    <row r="16" spans="1:17">
      <c r="D16" s="102"/>
      <c r="E16" s="125"/>
    </row>
    <row r="17" spans="1:17">
      <c r="A17" s="92" t="s">
        <v>79</v>
      </c>
      <c r="D17" s="102"/>
    </row>
    <row r="18" spans="1:17">
      <c r="A18" s="91" t="s">
        <v>80</v>
      </c>
      <c r="D18" s="102">
        <v>1722614</v>
      </c>
      <c r="E18" s="102">
        <f>SUM(F18:Q18)</f>
        <v>1722614</v>
      </c>
      <c r="F18" s="124">
        <f>E66</f>
        <v>143747</v>
      </c>
      <c r="G18" s="124">
        <f t="shared" ref="G18:Q18" si="5">F66</f>
        <v>143734</v>
      </c>
      <c r="H18" s="124">
        <f t="shared" si="5"/>
        <v>143649</v>
      </c>
      <c r="I18" s="124">
        <f t="shared" si="5"/>
        <v>143462</v>
      </c>
      <c r="J18" s="124">
        <f t="shared" si="5"/>
        <v>143299</v>
      </c>
      <c r="K18" s="124">
        <f t="shared" si="5"/>
        <v>143101</v>
      </c>
      <c r="L18" s="124">
        <f t="shared" si="5"/>
        <v>143012</v>
      </c>
      <c r="M18" s="124">
        <f t="shared" si="5"/>
        <v>143096</v>
      </c>
      <c r="N18" s="124">
        <f t="shared" si="5"/>
        <v>143401</v>
      </c>
      <c r="O18" s="124">
        <f t="shared" si="5"/>
        <v>143630</v>
      </c>
      <c r="P18" s="124">
        <f t="shared" si="5"/>
        <v>144120</v>
      </c>
      <c r="Q18" s="124">
        <f t="shared" si="5"/>
        <v>144363</v>
      </c>
    </row>
    <row r="19" spans="1:17">
      <c r="A19" s="91" t="s">
        <v>81</v>
      </c>
      <c r="D19" s="102"/>
      <c r="E19" s="124">
        <f>E14/E18</f>
        <v>69.148528921743349</v>
      </c>
      <c r="F19" s="124">
        <f>F14/F18</f>
        <v>147.23911455543421</v>
      </c>
      <c r="G19" s="124">
        <f t="shared" ref="G19:Q19" si="6">G14/G18</f>
        <v>115.77860492298274</v>
      </c>
      <c r="H19" s="124">
        <f t="shared" si="6"/>
        <v>100.85038531420336</v>
      </c>
      <c r="I19" s="124">
        <f t="shared" si="6"/>
        <v>56.987550710292624</v>
      </c>
      <c r="J19" s="124">
        <f t="shared" si="6"/>
        <v>35.936252172031907</v>
      </c>
      <c r="K19" s="124">
        <f t="shared" si="6"/>
        <v>24.76179761147721</v>
      </c>
      <c r="L19" s="124">
        <f t="shared" si="6"/>
        <v>14.958052471121304</v>
      </c>
      <c r="M19" s="124">
        <f t="shared" si="6"/>
        <v>15.7264773299044</v>
      </c>
      <c r="N19" s="124">
        <f t="shared" si="6"/>
        <v>18.78808376510624</v>
      </c>
      <c r="O19" s="124">
        <f t="shared" si="6"/>
        <v>53.295697277727491</v>
      </c>
      <c r="P19" s="124">
        <f t="shared" si="6"/>
        <v>95.830072162087149</v>
      </c>
      <c r="Q19" s="124">
        <f t="shared" si="6"/>
        <v>148.26756855981102</v>
      </c>
    </row>
    <row r="20" spans="1:17">
      <c r="D20" s="102"/>
      <c r="E20" s="124"/>
      <c r="F20" s="124"/>
      <c r="G20" s="124"/>
      <c r="H20" s="124"/>
      <c r="I20" s="124"/>
      <c r="J20" s="124"/>
      <c r="K20" s="124"/>
      <c r="L20" s="124"/>
      <c r="M20" s="124"/>
      <c r="N20" s="124"/>
      <c r="O20" s="124"/>
      <c r="P20" s="124"/>
      <c r="Q20" s="124"/>
    </row>
    <row r="21" spans="1:17" ht="15">
      <c r="D21" s="102"/>
      <c r="E21" s="126"/>
      <c r="F21" s="124" t="s">
        <v>18</v>
      </c>
      <c r="G21" s="126"/>
      <c r="H21" s="124"/>
      <c r="I21" s="124"/>
      <c r="J21" s="124"/>
      <c r="K21" s="124"/>
      <c r="L21" s="124"/>
      <c r="M21" s="124"/>
      <c r="N21" s="124"/>
      <c r="O21" s="124"/>
      <c r="P21" s="124"/>
      <c r="Q21" s="124"/>
    </row>
    <row r="22" spans="1:17" ht="15">
      <c r="A22" s="127" t="s">
        <v>83</v>
      </c>
      <c r="E22" s="126"/>
      <c r="F22" s="128">
        <v>0.89276</v>
      </c>
      <c r="G22" s="126"/>
      <c r="H22" s="129"/>
      <c r="I22" s="129"/>
    </row>
    <row r="23" spans="1:17" ht="15">
      <c r="A23" s="127" t="s">
        <v>84</v>
      </c>
      <c r="E23" s="126"/>
      <c r="F23" s="130">
        <v>0.955843</v>
      </c>
      <c r="G23" s="126"/>
      <c r="H23" s="129"/>
      <c r="I23" s="129"/>
    </row>
    <row r="24" spans="1:17" ht="15">
      <c r="A24" s="127" t="s">
        <v>85</v>
      </c>
      <c r="E24" s="126"/>
      <c r="F24" s="131">
        <f>F22*F23</f>
        <v>0.85333839668</v>
      </c>
      <c r="G24" s="126"/>
      <c r="H24" s="129"/>
      <c r="I24" s="129"/>
      <c r="J24" s="132"/>
    </row>
    <row r="25" spans="1:17" ht="15">
      <c r="A25" s="127" t="s">
        <v>86</v>
      </c>
      <c r="E25" s="126"/>
      <c r="F25" s="128">
        <v>0.58245999999999998</v>
      </c>
      <c r="G25" s="126"/>
      <c r="H25" s="133"/>
    </row>
    <row r="26" spans="1:17" ht="15">
      <c r="A26" s="90" t="s">
        <v>87</v>
      </c>
      <c r="E26" s="126"/>
      <c r="F26" s="134">
        <f>F24-F25</f>
        <v>0.27087839668000002</v>
      </c>
      <c r="G26" s="126"/>
      <c r="I26" s="132"/>
      <c r="J26" s="135"/>
    </row>
    <row r="27" spans="1:17">
      <c r="D27" s="136"/>
      <c r="E27" s="102"/>
      <c r="F27" s="102"/>
      <c r="G27" s="102"/>
      <c r="H27" s="102"/>
      <c r="I27" s="102"/>
      <c r="J27" s="102"/>
      <c r="K27" s="102"/>
      <c r="L27" s="102"/>
      <c r="M27" s="102"/>
      <c r="N27" s="102"/>
      <c r="O27" s="102"/>
      <c r="P27" s="102"/>
      <c r="Q27" s="102"/>
    </row>
    <row r="30" spans="1:17">
      <c r="A30" s="130" t="s">
        <v>152</v>
      </c>
      <c r="B30" s="137"/>
    </row>
    <row r="31" spans="1:17">
      <c r="A31" s="130" t="s">
        <v>153</v>
      </c>
      <c r="B31" s="137"/>
    </row>
    <row r="32" spans="1:17">
      <c r="A32" s="130" t="s">
        <v>154</v>
      </c>
      <c r="B32" s="137"/>
    </row>
    <row r="33" spans="1:17">
      <c r="A33" s="130" t="s">
        <v>155</v>
      </c>
      <c r="B33" s="137"/>
    </row>
    <row r="34" spans="1:17">
      <c r="A34" s="130" t="s">
        <v>156</v>
      </c>
      <c r="B34" s="137"/>
    </row>
    <row r="35" spans="1:17">
      <c r="A35" s="130"/>
      <c r="B35" s="137"/>
    </row>
    <row r="36" spans="1:17" ht="25.5">
      <c r="A36" s="156" t="s">
        <v>149</v>
      </c>
      <c r="B36" s="156"/>
      <c r="C36" s="156"/>
      <c r="D36" s="156"/>
      <c r="E36" s="156"/>
      <c r="F36" s="156"/>
      <c r="G36" s="156"/>
      <c r="H36" s="156"/>
      <c r="I36" s="156"/>
      <c r="J36" s="156"/>
      <c r="K36" s="156"/>
      <c r="L36" s="156"/>
      <c r="M36" s="156"/>
      <c r="N36" s="156"/>
      <c r="O36" s="156"/>
      <c r="P36" s="156"/>
      <c r="Q36" s="156"/>
    </row>
    <row r="37" spans="1:17" ht="20.25">
      <c r="A37" s="157" t="s">
        <v>157</v>
      </c>
      <c r="B37" s="157"/>
      <c r="C37" s="157"/>
      <c r="D37" s="157"/>
      <c r="E37" s="157"/>
      <c r="F37" s="157"/>
      <c r="G37" s="157"/>
      <c r="H37" s="157"/>
      <c r="I37" s="157"/>
      <c r="J37" s="157"/>
      <c r="K37" s="157"/>
      <c r="L37" s="157"/>
      <c r="M37" s="157"/>
      <c r="N37" s="157"/>
      <c r="O37" s="157"/>
      <c r="P37" s="157"/>
      <c r="Q37" s="157"/>
    </row>
    <row r="39" spans="1:17">
      <c r="A39" s="90" t="s">
        <v>139</v>
      </c>
    </row>
    <row r="40" spans="1:17">
      <c r="A40" s="90"/>
    </row>
    <row r="41" spans="1:17">
      <c r="A41" s="90"/>
      <c r="B41" s="90" t="s">
        <v>96</v>
      </c>
      <c r="E41" s="93">
        <v>39814</v>
      </c>
      <c r="F41" s="93">
        <v>39845</v>
      </c>
      <c r="G41" s="93">
        <v>39873</v>
      </c>
      <c r="H41" s="93">
        <v>39904</v>
      </c>
      <c r="I41" s="93">
        <v>39934</v>
      </c>
      <c r="J41" s="93">
        <v>39965</v>
      </c>
      <c r="K41" s="93">
        <v>39995</v>
      </c>
      <c r="L41" s="93">
        <v>40026</v>
      </c>
      <c r="M41" s="93">
        <v>40057</v>
      </c>
      <c r="N41" s="93">
        <v>40087</v>
      </c>
      <c r="O41" s="93">
        <v>40118</v>
      </c>
      <c r="P41" s="93">
        <v>40148</v>
      </c>
      <c r="Q41" s="94" t="s">
        <v>17</v>
      </c>
    </row>
    <row r="42" spans="1:17">
      <c r="A42" s="90"/>
      <c r="B42" s="91" t="s">
        <v>158</v>
      </c>
      <c r="E42" s="102">
        <v>24885757</v>
      </c>
      <c r="F42" s="102">
        <v>21106338</v>
      </c>
      <c r="G42" s="102">
        <v>17754612</v>
      </c>
      <c r="H42" s="102">
        <v>12666299</v>
      </c>
      <c r="I42" s="102">
        <v>7615545</v>
      </c>
      <c r="J42" s="102">
        <v>3714717</v>
      </c>
      <c r="K42" s="102">
        <v>2373945</v>
      </c>
      <c r="L42" s="102">
        <v>2111270</v>
      </c>
      <c r="M42" s="102">
        <v>2274191</v>
      </c>
      <c r="N42" s="102">
        <v>4129665</v>
      </c>
      <c r="O42" s="102">
        <v>9700573</v>
      </c>
      <c r="P42" s="102">
        <v>15883296</v>
      </c>
      <c r="Q42" s="102">
        <f>SUM(E42:P42)</f>
        <v>124216208</v>
      </c>
    </row>
    <row r="44" spans="1:17">
      <c r="B44" s="92" t="s">
        <v>35</v>
      </c>
    </row>
    <row r="45" spans="1:17">
      <c r="E45" s="93">
        <v>39814</v>
      </c>
      <c r="F45" s="93">
        <v>39845</v>
      </c>
      <c r="G45" s="93">
        <v>39873</v>
      </c>
      <c r="H45" s="93">
        <v>39904</v>
      </c>
      <c r="I45" s="93">
        <v>39934</v>
      </c>
      <c r="J45" s="93">
        <v>39965</v>
      </c>
      <c r="K45" s="93">
        <v>39995</v>
      </c>
      <c r="L45" s="93">
        <v>40026</v>
      </c>
      <c r="M45" s="93">
        <v>40057</v>
      </c>
      <c r="N45" s="93">
        <v>40087</v>
      </c>
      <c r="O45" s="93">
        <v>40118</v>
      </c>
      <c r="P45" s="93">
        <v>40148</v>
      </c>
      <c r="Q45" s="94" t="s">
        <v>17</v>
      </c>
    </row>
    <row r="46" spans="1:17">
      <c r="B46" s="95" t="s">
        <v>140</v>
      </c>
      <c r="E46" s="96">
        <v>1120</v>
      </c>
      <c r="F46" s="96">
        <v>913</v>
      </c>
      <c r="G46" s="96">
        <v>776</v>
      </c>
      <c r="H46" s="96">
        <v>542</v>
      </c>
      <c r="I46" s="96">
        <v>323</v>
      </c>
      <c r="J46" s="96">
        <v>143</v>
      </c>
      <c r="K46" s="96">
        <v>35</v>
      </c>
      <c r="L46" s="96">
        <v>34</v>
      </c>
      <c r="M46" s="96">
        <v>185</v>
      </c>
      <c r="N46" s="96">
        <v>540</v>
      </c>
      <c r="O46" s="96">
        <v>889</v>
      </c>
      <c r="P46" s="96">
        <v>1157</v>
      </c>
      <c r="Q46" s="96">
        <f>SUM(E46:P46)</f>
        <v>6657</v>
      </c>
    </row>
    <row r="47" spans="1:17">
      <c r="B47" s="91" t="s">
        <v>37</v>
      </c>
      <c r="E47" s="96">
        <v>1204</v>
      </c>
      <c r="F47" s="96">
        <v>957</v>
      </c>
      <c r="G47" s="96">
        <v>936</v>
      </c>
      <c r="H47" s="96">
        <v>586</v>
      </c>
      <c r="I47" s="96">
        <v>303</v>
      </c>
      <c r="J47" s="96">
        <v>93</v>
      </c>
      <c r="K47" s="96">
        <v>17</v>
      </c>
      <c r="L47" s="96">
        <v>23</v>
      </c>
      <c r="M47" s="96">
        <v>103</v>
      </c>
      <c r="N47" s="96">
        <v>668</v>
      </c>
      <c r="O47" s="96">
        <v>834</v>
      </c>
      <c r="P47" s="96">
        <v>1252</v>
      </c>
      <c r="Q47" s="96">
        <f>SUM(E47:P47)</f>
        <v>6976</v>
      </c>
    </row>
    <row r="48" spans="1:17">
      <c r="B48" s="90" t="s">
        <v>141</v>
      </c>
      <c r="E48" s="97">
        <f>E46-E47</f>
        <v>-84</v>
      </c>
      <c r="F48" s="97">
        <f>F46-F47</f>
        <v>-44</v>
      </c>
      <c r="G48" s="97">
        <f>G46-G47</f>
        <v>-160</v>
      </c>
      <c r="H48" s="97">
        <f>H46-H47</f>
        <v>-44</v>
      </c>
      <c r="I48" s="97">
        <f t="shared" ref="I48:P48" si="7">I46-I47</f>
        <v>20</v>
      </c>
      <c r="J48" s="97">
        <f t="shared" si="7"/>
        <v>50</v>
      </c>
      <c r="K48" s="97">
        <f t="shared" si="7"/>
        <v>18</v>
      </c>
      <c r="L48" s="97">
        <f t="shared" si="7"/>
        <v>11</v>
      </c>
      <c r="M48" s="97">
        <f t="shared" si="7"/>
        <v>82</v>
      </c>
      <c r="N48" s="97">
        <f t="shared" si="7"/>
        <v>-128</v>
      </c>
      <c r="O48" s="97">
        <f t="shared" si="7"/>
        <v>55</v>
      </c>
      <c r="P48" s="97">
        <f t="shared" si="7"/>
        <v>-95</v>
      </c>
      <c r="Q48" s="97">
        <f>SUM(E48:P48)</f>
        <v>-319</v>
      </c>
    </row>
    <row r="49" spans="2:17">
      <c r="B49" s="90"/>
      <c r="C49" s="98"/>
      <c r="D49" s="99" t="s">
        <v>39</v>
      </c>
    </row>
    <row r="50" spans="2:17">
      <c r="B50" s="91" t="s">
        <v>40</v>
      </c>
      <c r="D50" s="94" t="s">
        <v>142</v>
      </c>
      <c r="E50" s="100">
        <v>0.1002</v>
      </c>
      <c r="F50" s="100">
        <v>0.1002</v>
      </c>
      <c r="G50" s="100">
        <v>0.1002</v>
      </c>
      <c r="H50" s="100">
        <v>8.77E-2</v>
      </c>
      <c r="I50" s="100">
        <v>8.77E-2</v>
      </c>
      <c r="J50" s="100">
        <v>8.77E-2</v>
      </c>
      <c r="K50" s="100">
        <v>0</v>
      </c>
      <c r="L50" s="100">
        <v>0</v>
      </c>
      <c r="M50" s="100">
        <v>0</v>
      </c>
      <c r="N50" s="100">
        <v>8.77E-2</v>
      </c>
      <c r="O50" s="100">
        <v>8.77E-2</v>
      </c>
      <c r="P50" s="100">
        <v>0.1002</v>
      </c>
    </row>
    <row r="51" spans="2:17">
      <c r="B51" s="91" t="s">
        <v>42</v>
      </c>
      <c r="D51" s="94" t="s">
        <v>142</v>
      </c>
      <c r="E51" s="100">
        <v>0.2467</v>
      </c>
      <c r="F51" s="100">
        <v>0.2467</v>
      </c>
      <c r="G51" s="100">
        <v>0.2467</v>
      </c>
      <c r="H51" s="100">
        <v>0.16700000000000001</v>
      </c>
      <c r="I51" s="100">
        <v>0.16700000000000001</v>
      </c>
      <c r="J51" s="100">
        <v>0.16700000000000001</v>
      </c>
      <c r="K51" s="100">
        <v>0</v>
      </c>
      <c r="L51" s="100">
        <v>0</v>
      </c>
      <c r="M51" s="100">
        <v>0</v>
      </c>
      <c r="N51" s="100">
        <v>0.16700000000000001</v>
      </c>
      <c r="O51" s="100">
        <v>0.16700000000000001</v>
      </c>
      <c r="P51" s="100">
        <v>0.2467</v>
      </c>
    </row>
    <row r="52" spans="2:17">
      <c r="B52" s="91" t="s">
        <v>43</v>
      </c>
      <c r="D52" s="94" t="s">
        <v>142</v>
      </c>
      <c r="E52" s="100">
        <v>0.42659999999999998</v>
      </c>
      <c r="F52" s="100">
        <v>0.42659999999999998</v>
      </c>
      <c r="G52" s="100">
        <v>0.42659999999999998</v>
      </c>
      <c r="H52" s="100">
        <v>0.29609999999999997</v>
      </c>
      <c r="I52" s="100">
        <v>0.29609999999999997</v>
      </c>
      <c r="J52" s="100">
        <v>0.29609999999999997</v>
      </c>
      <c r="K52" s="100">
        <v>0</v>
      </c>
      <c r="L52" s="100">
        <v>0</v>
      </c>
      <c r="M52" s="100">
        <v>0</v>
      </c>
      <c r="N52" s="100">
        <v>0.29609999999999997</v>
      </c>
      <c r="O52" s="100">
        <v>0.29609999999999997</v>
      </c>
      <c r="P52" s="100">
        <v>0.42659999999999998</v>
      </c>
    </row>
    <row r="53" spans="2:17">
      <c r="C53" s="101"/>
    </row>
    <row r="54" spans="2:17">
      <c r="B54" s="92" t="s">
        <v>44</v>
      </c>
      <c r="C54" s="101"/>
      <c r="D54" s="101"/>
    </row>
    <row r="55" spans="2:17">
      <c r="B55" s="91" t="s">
        <v>40</v>
      </c>
      <c r="E55" s="102">
        <f t="shared" ref="E55:P57" si="8">ROUND(E$48*E50*E62,0)</f>
        <v>-1109528</v>
      </c>
      <c r="F55" s="102">
        <f t="shared" si="8"/>
        <v>-581150</v>
      </c>
      <c r="G55" s="102">
        <f t="shared" si="8"/>
        <v>-2112216</v>
      </c>
      <c r="H55" s="102">
        <f t="shared" si="8"/>
        <v>-507737</v>
      </c>
      <c r="I55" s="102">
        <f t="shared" si="8"/>
        <v>230511</v>
      </c>
      <c r="J55" s="102">
        <f t="shared" si="8"/>
        <v>575387</v>
      </c>
      <c r="K55" s="102">
        <f t="shared" si="8"/>
        <v>0</v>
      </c>
      <c r="L55" s="102">
        <f t="shared" si="8"/>
        <v>0</v>
      </c>
      <c r="M55" s="102">
        <f t="shared" si="8"/>
        <v>0</v>
      </c>
      <c r="N55" s="102">
        <f t="shared" si="8"/>
        <v>-1478524</v>
      </c>
      <c r="O55" s="102">
        <f t="shared" si="8"/>
        <v>637401</v>
      </c>
      <c r="P55" s="102">
        <f t="shared" si="8"/>
        <v>-1260401</v>
      </c>
      <c r="Q55" s="102">
        <f>SUM(E55:P55)</f>
        <v>-5606257</v>
      </c>
    </row>
    <row r="56" spans="2:17">
      <c r="B56" s="91" t="s">
        <v>42</v>
      </c>
      <c r="E56" s="102">
        <f t="shared" si="8"/>
        <v>-244757</v>
      </c>
      <c r="F56" s="102">
        <f t="shared" si="8"/>
        <v>-128130</v>
      </c>
      <c r="G56" s="102">
        <f t="shared" si="8"/>
        <v>-465256</v>
      </c>
      <c r="H56" s="102">
        <f t="shared" si="8"/>
        <v>-86515</v>
      </c>
      <c r="I56" s="102">
        <f t="shared" si="8"/>
        <v>39305</v>
      </c>
      <c r="J56" s="102">
        <f t="shared" si="8"/>
        <v>98305</v>
      </c>
      <c r="K56" s="102">
        <f t="shared" si="8"/>
        <v>0</v>
      </c>
      <c r="L56" s="102">
        <f t="shared" si="8"/>
        <v>0</v>
      </c>
      <c r="M56" s="102">
        <f t="shared" si="8"/>
        <v>0</v>
      </c>
      <c r="N56" s="102">
        <f t="shared" si="8"/>
        <v>-252408</v>
      </c>
      <c r="O56" s="102">
        <f t="shared" si="8"/>
        <v>108989</v>
      </c>
      <c r="P56" s="102">
        <f t="shared" si="8"/>
        <v>-277535</v>
      </c>
      <c r="Q56" s="102">
        <f>SUM(E56:P56)</f>
        <v>-1208002</v>
      </c>
    </row>
    <row r="57" spans="2:17">
      <c r="B57" s="91" t="s">
        <v>43</v>
      </c>
      <c r="E57" s="102">
        <f t="shared" si="8"/>
        <v>-3082</v>
      </c>
      <c r="F57" s="102">
        <f t="shared" si="8"/>
        <v>-1652</v>
      </c>
      <c r="G57" s="102">
        <f t="shared" si="8"/>
        <v>-5870</v>
      </c>
      <c r="H57" s="102">
        <f t="shared" si="8"/>
        <v>-1081</v>
      </c>
      <c r="I57" s="102">
        <f t="shared" si="8"/>
        <v>503</v>
      </c>
      <c r="J57" s="102">
        <f t="shared" si="8"/>
        <v>1258</v>
      </c>
      <c r="K57" s="102">
        <f t="shared" si="8"/>
        <v>0</v>
      </c>
      <c r="L57" s="102">
        <f t="shared" si="8"/>
        <v>0</v>
      </c>
      <c r="M57" s="102">
        <f t="shared" si="8"/>
        <v>0</v>
      </c>
      <c r="N57" s="102">
        <f t="shared" si="8"/>
        <v>-3259</v>
      </c>
      <c r="O57" s="102">
        <f t="shared" si="8"/>
        <v>1352</v>
      </c>
      <c r="P57" s="102">
        <f t="shared" si="8"/>
        <v>-3485</v>
      </c>
      <c r="Q57" s="102">
        <f>SUM(E57:P57)</f>
        <v>-15316</v>
      </c>
    </row>
    <row r="58" spans="2:17">
      <c r="B58" s="91" t="s">
        <v>45</v>
      </c>
      <c r="E58" s="103">
        <f>SUM(E55:E57)</f>
        <v>-1357367</v>
      </c>
      <c r="F58" s="103">
        <f>SUM(F55:F57)</f>
        <v>-710932</v>
      </c>
      <c r="G58" s="103">
        <f>SUM(G55:G57)</f>
        <v>-2583342</v>
      </c>
      <c r="H58" s="103">
        <f t="shared" ref="H58:Q58" si="9">SUM(H55:H57)</f>
        <v>-595333</v>
      </c>
      <c r="I58" s="103">
        <f t="shared" si="9"/>
        <v>270319</v>
      </c>
      <c r="J58" s="103">
        <f t="shared" si="9"/>
        <v>674950</v>
      </c>
      <c r="K58" s="103">
        <f t="shared" si="9"/>
        <v>0</v>
      </c>
      <c r="L58" s="103">
        <f t="shared" si="9"/>
        <v>0</v>
      </c>
      <c r="M58" s="103">
        <f t="shared" si="9"/>
        <v>0</v>
      </c>
      <c r="N58" s="103">
        <f t="shared" si="9"/>
        <v>-1734191</v>
      </c>
      <c r="O58" s="103">
        <f t="shared" si="9"/>
        <v>747742</v>
      </c>
      <c r="P58" s="103">
        <f t="shared" si="9"/>
        <v>-1541421</v>
      </c>
      <c r="Q58" s="103">
        <f t="shared" si="9"/>
        <v>-6829575</v>
      </c>
    </row>
    <row r="59" spans="2:17">
      <c r="E59" s="104"/>
      <c r="F59" s="104"/>
      <c r="G59" s="104"/>
      <c r="H59" s="104"/>
      <c r="I59" s="104"/>
      <c r="J59" s="104"/>
      <c r="K59" s="104"/>
      <c r="L59" s="104"/>
      <c r="M59" s="104"/>
      <c r="N59" s="104"/>
      <c r="O59" s="104"/>
      <c r="P59" s="104"/>
      <c r="Q59" s="104"/>
    </row>
    <row r="60" spans="2:17">
      <c r="B60" s="90" t="s">
        <v>53</v>
      </c>
    </row>
    <row r="61" spans="2:17">
      <c r="B61" s="90"/>
      <c r="C61" s="91" t="s">
        <v>54</v>
      </c>
      <c r="D61" s="105"/>
      <c r="E61" s="105">
        <v>39814</v>
      </c>
      <c r="F61" s="105">
        <v>39845</v>
      </c>
      <c r="G61" s="105">
        <v>39873</v>
      </c>
      <c r="H61" s="105">
        <v>39904</v>
      </c>
      <c r="I61" s="105">
        <v>39934</v>
      </c>
      <c r="J61" s="105">
        <v>39965</v>
      </c>
      <c r="K61" s="105">
        <v>39995</v>
      </c>
      <c r="L61" s="105">
        <v>40026</v>
      </c>
      <c r="M61" s="105">
        <v>40057</v>
      </c>
      <c r="N61" s="105">
        <v>40087</v>
      </c>
      <c r="O61" s="105">
        <v>40118</v>
      </c>
      <c r="P61" s="105">
        <v>40148</v>
      </c>
      <c r="Q61" s="106" t="s">
        <v>70</v>
      </c>
    </row>
    <row r="62" spans="2:17">
      <c r="B62" s="91" t="s">
        <v>56</v>
      </c>
      <c r="C62" s="107" t="s">
        <v>57</v>
      </c>
      <c r="D62" s="108" t="s">
        <v>143</v>
      </c>
      <c r="E62" s="102">
        <v>131823</v>
      </c>
      <c r="F62" s="102">
        <v>131816</v>
      </c>
      <c r="G62" s="102">
        <v>131750</v>
      </c>
      <c r="H62" s="102">
        <v>131579</v>
      </c>
      <c r="I62" s="102">
        <v>131420</v>
      </c>
      <c r="J62" s="102">
        <v>131217</v>
      </c>
      <c r="K62" s="102">
        <v>131144</v>
      </c>
      <c r="L62" s="102">
        <v>131208</v>
      </c>
      <c r="M62" s="102">
        <v>131483</v>
      </c>
      <c r="N62" s="102">
        <v>131710</v>
      </c>
      <c r="O62" s="102">
        <v>132145</v>
      </c>
      <c r="P62" s="102">
        <v>132409</v>
      </c>
      <c r="Q62" s="102">
        <f>SUM(E62:P62)</f>
        <v>1579704</v>
      </c>
    </row>
    <row r="63" spans="2:17">
      <c r="B63" s="91" t="s">
        <v>58</v>
      </c>
      <c r="C63" s="107" t="s">
        <v>59</v>
      </c>
      <c r="D63" s="108" t="s">
        <v>143</v>
      </c>
      <c r="E63" s="102">
        <v>11811</v>
      </c>
      <c r="F63" s="102">
        <v>11804</v>
      </c>
      <c r="G63" s="102">
        <v>11787</v>
      </c>
      <c r="H63" s="102">
        <v>11774</v>
      </c>
      <c r="I63" s="102">
        <v>11768</v>
      </c>
      <c r="J63" s="102">
        <v>11773</v>
      </c>
      <c r="K63" s="102">
        <v>11757</v>
      </c>
      <c r="L63" s="102">
        <v>11776</v>
      </c>
      <c r="M63" s="102">
        <v>11805</v>
      </c>
      <c r="N63" s="102">
        <v>11808</v>
      </c>
      <c r="O63" s="102">
        <v>11866</v>
      </c>
      <c r="P63" s="102">
        <v>11842</v>
      </c>
      <c r="Q63" s="102">
        <f>SUM(E63:P63)</f>
        <v>141571</v>
      </c>
    </row>
    <row r="64" spans="2:17">
      <c r="B64" s="91" t="s">
        <v>60</v>
      </c>
      <c r="C64" s="107" t="s">
        <v>61</v>
      </c>
      <c r="D64" s="108" t="s">
        <v>143</v>
      </c>
      <c r="E64" s="102">
        <v>86</v>
      </c>
      <c r="F64" s="102">
        <v>88</v>
      </c>
      <c r="G64" s="102">
        <v>86</v>
      </c>
      <c r="H64" s="102">
        <v>83</v>
      </c>
      <c r="I64" s="102">
        <v>85</v>
      </c>
      <c r="J64" s="102">
        <v>85</v>
      </c>
      <c r="K64" s="102">
        <v>85</v>
      </c>
      <c r="L64" s="102">
        <v>86</v>
      </c>
      <c r="M64" s="102">
        <v>87</v>
      </c>
      <c r="N64" s="102">
        <v>86</v>
      </c>
      <c r="O64" s="102">
        <v>83</v>
      </c>
      <c r="P64" s="102">
        <v>86</v>
      </c>
      <c r="Q64" s="102">
        <f>SUM(E64:P64)</f>
        <v>1026</v>
      </c>
    </row>
    <row r="65" spans="1:17">
      <c r="B65" s="91" t="s">
        <v>62</v>
      </c>
      <c r="C65" s="107" t="s">
        <v>63</v>
      </c>
      <c r="D65" s="108" t="s">
        <v>143</v>
      </c>
      <c r="E65" s="102">
        <v>27</v>
      </c>
      <c r="F65" s="102">
        <v>26</v>
      </c>
      <c r="G65" s="102">
        <v>26</v>
      </c>
      <c r="H65" s="102">
        <v>26</v>
      </c>
      <c r="I65" s="102">
        <v>26</v>
      </c>
      <c r="J65" s="102">
        <v>26</v>
      </c>
      <c r="K65" s="102">
        <v>26</v>
      </c>
      <c r="L65" s="102">
        <v>26</v>
      </c>
      <c r="M65" s="102">
        <v>26</v>
      </c>
      <c r="N65" s="102">
        <v>26</v>
      </c>
      <c r="O65" s="102">
        <v>26</v>
      </c>
      <c r="P65" s="102">
        <v>26</v>
      </c>
      <c r="Q65" s="102">
        <f>SUM(E65:P65)</f>
        <v>313</v>
      </c>
    </row>
    <row r="66" spans="1:17">
      <c r="B66" s="91" t="s">
        <v>50</v>
      </c>
      <c r="D66" s="108"/>
      <c r="E66" s="109">
        <f>SUM(E62:E65)</f>
        <v>143747</v>
      </c>
      <c r="F66" s="109">
        <f>SUM(F62:F65)</f>
        <v>143734</v>
      </c>
      <c r="G66" s="109">
        <f>SUM(G62:G65)</f>
        <v>143649</v>
      </c>
      <c r="H66" s="109">
        <f>SUM(H62:H65)</f>
        <v>143462</v>
      </c>
      <c r="I66" s="109">
        <f t="shared" ref="I66:Q66" si="10">SUM(I62:I65)</f>
        <v>143299</v>
      </c>
      <c r="J66" s="109">
        <f t="shared" si="10"/>
        <v>143101</v>
      </c>
      <c r="K66" s="109">
        <f t="shared" si="10"/>
        <v>143012</v>
      </c>
      <c r="L66" s="109">
        <f t="shared" si="10"/>
        <v>143096</v>
      </c>
      <c r="M66" s="109">
        <f t="shared" si="10"/>
        <v>143401</v>
      </c>
      <c r="N66" s="109">
        <f t="shared" si="10"/>
        <v>143630</v>
      </c>
      <c r="O66" s="109">
        <f t="shared" si="10"/>
        <v>144120</v>
      </c>
      <c r="P66" s="109">
        <f t="shared" si="10"/>
        <v>144363</v>
      </c>
      <c r="Q66" s="109">
        <f t="shared" si="10"/>
        <v>1722614</v>
      </c>
    </row>
    <row r="68" spans="1:17">
      <c r="B68" s="92" t="s">
        <v>46</v>
      </c>
      <c r="E68" s="104"/>
    </row>
    <row r="69" spans="1:17">
      <c r="B69" s="110"/>
      <c r="E69" s="105">
        <v>39783</v>
      </c>
      <c r="F69" s="105">
        <v>39814</v>
      </c>
      <c r="G69" s="105">
        <v>39845</v>
      </c>
      <c r="H69" s="105">
        <v>39873</v>
      </c>
      <c r="I69" s="105">
        <v>39904</v>
      </c>
      <c r="J69" s="105">
        <v>39934</v>
      </c>
      <c r="K69" s="105">
        <v>39965</v>
      </c>
      <c r="L69" s="105">
        <v>39995</v>
      </c>
      <c r="M69" s="105">
        <v>40026</v>
      </c>
      <c r="N69" s="105">
        <v>40057</v>
      </c>
      <c r="O69" s="105">
        <v>40087</v>
      </c>
      <c r="P69" s="105">
        <v>40118</v>
      </c>
      <c r="Q69" s="105">
        <v>40148</v>
      </c>
    </row>
    <row r="70" spans="1:17">
      <c r="B70" s="111"/>
      <c r="C70" s="111"/>
      <c r="D70" s="111"/>
      <c r="E70" s="112"/>
      <c r="F70" s="113"/>
      <c r="G70" s="112"/>
      <c r="H70" s="111"/>
      <c r="I70" s="112"/>
      <c r="J70" s="113"/>
      <c r="K70" s="112"/>
      <c r="L70" s="112"/>
      <c r="M70" s="112"/>
      <c r="N70" s="112"/>
      <c r="O70" s="112"/>
      <c r="P70" s="112"/>
      <c r="Q70" s="112"/>
    </row>
    <row r="71" spans="1:17">
      <c r="B71" s="111"/>
      <c r="C71" s="111"/>
      <c r="D71" s="114" t="s">
        <v>159</v>
      </c>
      <c r="E71" s="115">
        <v>15919236</v>
      </c>
      <c r="F71" s="115">
        <v>13556027</v>
      </c>
      <c r="G71" s="115">
        <v>9801943</v>
      </c>
      <c r="H71" s="115">
        <v>9117730</v>
      </c>
      <c r="I71" s="115">
        <v>5222312</v>
      </c>
      <c r="J71" s="115">
        <v>2486077</v>
      </c>
      <c r="K71" s="115">
        <v>1639848</v>
      </c>
      <c r="L71" s="115">
        <v>1405084</v>
      </c>
      <c r="M71" s="115">
        <v>1544210</v>
      </c>
      <c r="N71" s="115">
        <v>1964249</v>
      </c>
      <c r="O71" s="115">
        <v>7223636</v>
      </c>
      <c r="P71" s="115">
        <v>10586351</v>
      </c>
      <c r="Q71" s="115">
        <v>17648827</v>
      </c>
    </row>
    <row r="72" spans="1:17">
      <c r="B72" s="111"/>
      <c r="C72" s="111"/>
      <c r="D72" s="111"/>
      <c r="E72" s="138"/>
      <c r="F72" s="138"/>
      <c r="G72" s="138"/>
      <c r="H72" s="138"/>
      <c r="I72" s="138"/>
      <c r="J72" s="138"/>
      <c r="K72" s="138"/>
      <c r="L72" s="138"/>
      <c r="M72" s="138"/>
      <c r="N72" s="138"/>
      <c r="O72" s="138"/>
      <c r="P72" s="138"/>
      <c r="Q72" s="138"/>
    </row>
    <row r="73" spans="1:17">
      <c r="B73" s="111"/>
      <c r="C73" s="111"/>
      <c r="D73" s="111"/>
      <c r="E73" s="138"/>
      <c r="F73" s="138"/>
      <c r="G73" s="138"/>
      <c r="H73" s="138"/>
      <c r="I73" s="138"/>
      <c r="J73" s="138"/>
      <c r="K73" s="138"/>
      <c r="L73" s="138"/>
      <c r="M73" s="138"/>
      <c r="N73" s="138"/>
      <c r="O73" s="138"/>
      <c r="P73" s="138"/>
      <c r="Q73" s="138"/>
    </row>
    <row r="74" spans="1:17">
      <c r="B74" s="111"/>
      <c r="C74" s="139"/>
      <c r="D74" s="140"/>
      <c r="E74" s="141"/>
      <c r="F74" s="141"/>
      <c r="G74" s="141"/>
      <c r="H74" s="141"/>
      <c r="I74" s="141"/>
      <c r="J74" s="141"/>
      <c r="K74" s="141"/>
      <c r="L74" s="141"/>
      <c r="M74" s="141"/>
      <c r="N74" s="141"/>
      <c r="O74" s="141"/>
      <c r="P74" s="141"/>
      <c r="Q74" s="141"/>
    </row>
    <row r="75" spans="1:17">
      <c r="B75" s="111"/>
      <c r="C75" s="139"/>
      <c r="D75" s="140"/>
      <c r="E75" s="141"/>
      <c r="F75" s="141"/>
      <c r="G75" s="141"/>
      <c r="H75" s="141"/>
      <c r="I75" s="141"/>
      <c r="J75" s="141"/>
      <c r="K75" s="141"/>
      <c r="L75" s="141"/>
      <c r="M75" s="141"/>
      <c r="N75" s="141"/>
      <c r="O75" s="141"/>
      <c r="P75" s="141"/>
      <c r="Q75" s="141"/>
    </row>
    <row r="76" spans="1:17">
      <c r="A76" s="91" t="s">
        <v>160</v>
      </c>
      <c r="B76" s="111"/>
      <c r="C76" s="139"/>
      <c r="D76" s="140"/>
      <c r="E76" s="141"/>
      <c r="F76" s="141"/>
      <c r="G76" s="141"/>
      <c r="H76" s="141"/>
      <c r="I76" s="141"/>
      <c r="J76" s="141"/>
      <c r="K76" s="141"/>
      <c r="L76" s="141"/>
      <c r="M76" s="141"/>
      <c r="N76" s="141"/>
      <c r="O76" s="141"/>
      <c r="P76" s="141"/>
      <c r="Q76" s="141"/>
    </row>
    <row r="77" spans="1:17">
      <c r="A77" s="91" t="s">
        <v>161</v>
      </c>
      <c r="B77" s="111"/>
      <c r="C77" s="111"/>
      <c r="D77" s="142"/>
      <c r="E77" s="138"/>
      <c r="F77" s="138"/>
      <c r="G77" s="138"/>
      <c r="H77" s="138"/>
      <c r="I77" s="138"/>
      <c r="J77" s="138"/>
      <c r="K77" s="138"/>
      <c r="L77" s="138"/>
      <c r="M77" s="138"/>
      <c r="N77" s="138"/>
      <c r="O77" s="138"/>
      <c r="P77" s="138"/>
      <c r="Q77" s="138"/>
    </row>
    <row r="78" spans="1:17">
      <c r="A78" s="91" t="s">
        <v>162</v>
      </c>
      <c r="B78" s="143"/>
      <c r="C78" s="144"/>
      <c r="D78" s="140"/>
      <c r="E78" s="138"/>
      <c r="F78" s="138"/>
      <c r="G78" s="138"/>
      <c r="H78" s="138"/>
      <c r="I78" s="138"/>
      <c r="J78" s="138"/>
      <c r="K78" s="138"/>
      <c r="L78" s="138"/>
      <c r="M78" s="138"/>
      <c r="N78" s="138"/>
      <c r="O78" s="138"/>
      <c r="P78" s="138"/>
      <c r="Q78" s="138"/>
    </row>
    <row r="79" spans="1:17">
      <c r="A79" s="91" t="s">
        <v>163</v>
      </c>
      <c r="B79" s="111"/>
      <c r="C79" s="111"/>
      <c r="D79" s="111"/>
      <c r="E79" s="104"/>
      <c r="F79" s="104"/>
      <c r="G79" s="104"/>
      <c r="H79" s="104"/>
      <c r="I79" s="104"/>
      <c r="J79" s="104"/>
      <c r="K79" s="104"/>
      <c r="L79" s="104"/>
      <c r="M79" s="104"/>
      <c r="N79" s="104"/>
      <c r="O79" s="104"/>
      <c r="P79" s="104"/>
      <c r="Q79" s="104"/>
    </row>
    <row r="80" spans="1:17">
      <c r="B80" s="111"/>
      <c r="C80" s="111"/>
      <c r="D80" s="111"/>
      <c r="E80" s="104"/>
      <c r="F80" s="104"/>
      <c r="G80" s="104"/>
      <c r="H80" s="104"/>
      <c r="I80" s="104"/>
      <c r="J80" s="104"/>
      <c r="K80" s="104"/>
      <c r="L80" s="104"/>
      <c r="M80" s="104"/>
      <c r="N80" s="104"/>
      <c r="O80" s="104"/>
      <c r="P80" s="104"/>
      <c r="Q80" s="104"/>
    </row>
    <row r="81" spans="2:17">
      <c r="B81" s="111"/>
      <c r="C81" s="111"/>
      <c r="D81" s="111"/>
      <c r="E81" s="104"/>
      <c r="F81" s="104"/>
      <c r="G81" s="104"/>
      <c r="H81" s="104"/>
      <c r="I81" s="104"/>
      <c r="J81" s="104"/>
      <c r="K81" s="104"/>
      <c r="L81" s="104"/>
      <c r="M81" s="104"/>
      <c r="N81" s="104"/>
      <c r="O81" s="104"/>
      <c r="P81" s="104"/>
      <c r="Q81" s="104"/>
    </row>
    <row r="82" spans="2:17">
      <c r="B82" s="111"/>
      <c r="C82" s="111"/>
      <c r="D82" s="111"/>
      <c r="E82" s="104"/>
      <c r="F82" s="104"/>
      <c r="G82" s="104"/>
      <c r="H82" s="104"/>
      <c r="I82" s="104"/>
      <c r="J82" s="104"/>
      <c r="K82" s="104"/>
      <c r="L82" s="104"/>
      <c r="M82" s="104"/>
      <c r="N82" s="104"/>
      <c r="O82" s="104"/>
      <c r="P82" s="104"/>
      <c r="Q82" s="104"/>
    </row>
    <row r="83" spans="2:17">
      <c r="B83" s="111"/>
      <c r="C83" s="111"/>
      <c r="D83" s="111"/>
      <c r="E83" s="111"/>
      <c r="F83" s="111"/>
      <c r="G83" s="111"/>
      <c r="H83" s="111"/>
      <c r="I83" s="111"/>
      <c r="J83" s="111"/>
      <c r="K83" s="111"/>
      <c r="L83" s="111"/>
      <c r="M83" s="111"/>
      <c r="N83" s="111"/>
      <c r="O83" s="111"/>
      <c r="P83" s="111"/>
      <c r="Q83" s="111"/>
    </row>
    <row r="84" spans="2:17">
      <c r="B84" s="111"/>
      <c r="C84" s="111"/>
      <c r="D84" s="111"/>
      <c r="E84" s="124"/>
      <c r="F84" s="111"/>
      <c r="G84" s="111"/>
      <c r="H84" s="111"/>
      <c r="I84" s="111"/>
      <c r="J84" s="111"/>
      <c r="K84" s="111"/>
      <c r="L84" s="111"/>
      <c r="M84" s="111"/>
      <c r="N84" s="111"/>
      <c r="O84" s="111"/>
      <c r="P84" s="111"/>
      <c r="Q84" s="124"/>
    </row>
    <row r="85" spans="2:17">
      <c r="B85" s="111"/>
      <c r="C85" s="111"/>
      <c r="D85" s="111"/>
      <c r="E85" s="145"/>
      <c r="F85" s="111"/>
      <c r="G85" s="111"/>
      <c r="H85" s="111"/>
      <c r="I85" s="111"/>
      <c r="J85" s="111"/>
      <c r="K85" s="111"/>
      <c r="L85" s="111"/>
      <c r="M85" s="111"/>
      <c r="N85" s="111"/>
      <c r="O85" s="111"/>
      <c r="P85" s="111"/>
      <c r="Q85" s="145"/>
    </row>
    <row r="86" spans="2:17">
      <c r="B86" s="111"/>
      <c r="C86" s="111"/>
      <c r="D86" s="111"/>
      <c r="E86" s="111"/>
      <c r="F86" s="111"/>
      <c r="G86" s="111"/>
      <c r="H86" s="111"/>
      <c r="I86" s="111"/>
      <c r="J86" s="111"/>
      <c r="K86" s="111"/>
      <c r="L86" s="111"/>
      <c r="M86" s="111"/>
      <c r="N86" s="111"/>
      <c r="O86" s="111"/>
      <c r="P86" s="111"/>
      <c r="Q86" s="111"/>
    </row>
  </sheetData>
  <mergeCells count="4">
    <mergeCell ref="A4:Q4"/>
    <mergeCell ref="A5:Q5"/>
    <mergeCell ref="A36:Q36"/>
    <mergeCell ref="A37:Q37"/>
  </mergeCells>
  <printOptions horizontalCentered="1" verticalCentered="1"/>
  <pageMargins left="0.25" right="0.25" top="0.25" bottom="0.25" header="0.5" footer="0.5"/>
  <pageSetup scale="65" orientation="landscape" r:id="rId1"/>
  <headerFooter scaleWithDoc="0" alignWithMargins="0">
    <oddHeader>&amp;CAVISTA UTILITIES&amp;RAPPENDIX 3</oddHeader>
    <oddFooter>&amp;RPage &amp;P of &amp;N</oddFoot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sheetPr>
    <tabColor indexed="33"/>
  </sheetPr>
  <dimension ref="A1:Q121"/>
  <sheetViews>
    <sheetView tabSelected="1" topLeftCell="C2" zoomScaleNormal="100" workbookViewId="0">
      <selection activeCell="P15" sqref="P15:P16"/>
    </sheetView>
  </sheetViews>
  <sheetFormatPr defaultRowHeight="12.75"/>
  <cols>
    <col min="1" max="1" width="17.7109375" style="1" customWidth="1"/>
    <col min="2" max="2" width="11.28515625" style="1" customWidth="1"/>
    <col min="3" max="3" width="11" style="1" customWidth="1"/>
    <col min="4" max="4" width="13.5703125" style="1" customWidth="1"/>
    <col min="5" max="5" width="12.7109375" style="1" customWidth="1"/>
    <col min="6" max="6" width="13" style="1" customWidth="1"/>
    <col min="7" max="8" width="13.140625" style="1" bestFit="1" customWidth="1"/>
    <col min="9" max="9" width="13.42578125" style="1" bestFit="1" customWidth="1"/>
    <col min="10" max="10" width="14" style="1" bestFit="1" customWidth="1"/>
    <col min="11" max="11" width="13.140625" style="1" bestFit="1" customWidth="1"/>
    <col min="12" max="12" width="13" style="1" bestFit="1" customWidth="1"/>
    <col min="13" max="13" width="13" style="1" customWidth="1"/>
    <col min="14" max="14" width="12.28515625" style="1" customWidth="1"/>
    <col min="15" max="15" width="12.5703125" style="1" customWidth="1"/>
    <col min="16" max="16" width="13.28515625" style="1" customWidth="1"/>
    <col min="17" max="17" width="14" style="1" bestFit="1" customWidth="1"/>
    <col min="18" max="18" width="10.28515625" style="1" bestFit="1" customWidth="1"/>
    <col min="19" max="16384" width="9.140625" style="1"/>
  </cols>
  <sheetData>
    <row r="1" spans="1:17">
      <c r="A1" s="161" t="s">
        <v>0</v>
      </c>
      <c r="B1" s="161"/>
      <c r="C1" s="161"/>
      <c r="D1" s="161"/>
      <c r="E1" s="161"/>
      <c r="F1" s="161"/>
      <c r="G1" s="161"/>
      <c r="H1" s="161"/>
      <c r="I1" s="161"/>
      <c r="J1" s="161"/>
      <c r="K1" s="161"/>
      <c r="L1" s="161"/>
      <c r="M1" s="161"/>
      <c r="N1" s="161"/>
      <c r="O1" s="161"/>
      <c r="P1" s="161"/>
    </row>
    <row r="2" spans="1:17">
      <c r="A2" s="161" t="s">
        <v>1</v>
      </c>
      <c r="B2" s="161"/>
      <c r="C2" s="161"/>
      <c r="D2" s="161"/>
      <c r="E2" s="161"/>
      <c r="F2" s="161"/>
      <c r="G2" s="161"/>
      <c r="H2" s="161"/>
      <c r="I2" s="161"/>
      <c r="J2" s="161"/>
      <c r="K2" s="161"/>
      <c r="L2" s="161"/>
      <c r="M2" s="161"/>
      <c r="N2" s="161"/>
      <c r="O2" s="161"/>
      <c r="P2" s="161"/>
    </row>
    <row r="3" spans="1:17">
      <c r="A3" s="161" t="s">
        <v>135</v>
      </c>
      <c r="B3" s="161"/>
      <c r="C3" s="161"/>
      <c r="D3" s="161"/>
      <c r="E3" s="161"/>
      <c r="F3" s="161"/>
      <c r="G3" s="161"/>
      <c r="H3" s="161"/>
      <c r="I3" s="161"/>
      <c r="J3" s="161"/>
      <c r="K3" s="161"/>
      <c r="L3" s="161"/>
      <c r="M3" s="161"/>
      <c r="N3" s="161"/>
      <c r="O3" s="161"/>
      <c r="P3" s="161"/>
    </row>
    <row r="4" spans="1:17">
      <c r="A4" s="161" t="s">
        <v>136</v>
      </c>
      <c r="B4" s="161"/>
      <c r="C4" s="161"/>
      <c r="D4" s="161"/>
      <c r="E4" s="161"/>
      <c r="F4" s="161"/>
      <c r="G4" s="161"/>
      <c r="H4" s="161"/>
      <c r="I4" s="161"/>
      <c r="J4" s="161"/>
      <c r="K4" s="161"/>
      <c r="L4" s="161"/>
      <c r="M4" s="161"/>
      <c r="N4" s="161"/>
      <c r="O4" s="161"/>
      <c r="P4" s="161"/>
    </row>
    <row r="5" spans="1:17">
      <c r="A5" s="161" t="s">
        <v>137</v>
      </c>
      <c r="B5" s="161"/>
      <c r="C5" s="161"/>
      <c r="D5" s="161"/>
      <c r="E5" s="161"/>
      <c r="F5" s="161"/>
      <c r="G5" s="161"/>
      <c r="H5" s="161"/>
      <c r="I5" s="161"/>
      <c r="J5" s="161"/>
      <c r="K5" s="161"/>
      <c r="L5" s="161"/>
      <c r="M5" s="161"/>
      <c r="N5" s="161"/>
      <c r="O5" s="161"/>
      <c r="P5" s="161"/>
    </row>
    <row r="6" spans="1:17">
      <c r="A6" s="161" t="s">
        <v>2</v>
      </c>
      <c r="B6" s="161"/>
      <c r="C6" s="161"/>
      <c r="D6" s="161"/>
      <c r="E6" s="161"/>
      <c r="F6" s="161"/>
      <c r="G6" s="161"/>
      <c r="H6" s="161"/>
      <c r="I6" s="161"/>
      <c r="J6" s="161"/>
      <c r="K6" s="161"/>
      <c r="L6" s="161"/>
      <c r="M6" s="161"/>
      <c r="N6" s="161"/>
      <c r="O6" s="161"/>
      <c r="P6" s="161"/>
    </row>
    <row r="7" spans="1:17">
      <c r="A7" s="161" t="s">
        <v>3</v>
      </c>
      <c r="B7" s="161"/>
      <c r="C7" s="161"/>
      <c r="D7" s="161"/>
      <c r="E7" s="161"/>
      <c r="F7" s="161"/>
      <c r="G7" s="161"/>
      <c r="H7" s="161"/>
      <c r="I7" s="161"/>
      <c r="J7" s="161"/>
      <c r="K7" s="161"/>
      <c r="L7" s="161"/>
      <c r="M7" s="161"/>
      <c r="N7" s="161"/>
      <c r="O7" s="161"/>
      <c r="P7" s="161"/>
    </row>
    <row r="8" spans="1:17">
      <c r="A8" s="2"/>
      <c r="B8" s="68"/>
      <c r="C8" s="68"/>
      <c r="D8" s="68"/>
      <c r="E8" s="68"/>
      <c r="F8" s="68"/>
      <c r="G8" s="68"/>
      <c r="H8" s="68"/>
      <c r="I8" s="68"/>
      <c r="J8" s="69"/>
      <c r="K8" s="68"/>
      <c r="L8" s="68"/>
      <c r="M8" s="68"/>
      <c r="N8" s="68"/>
      <c r="O8" s="68"/>
      <c r="P8" s="68"/>
    </row>
    <row r="9" spans="1:17">
      <c r="A9" s="2"/>
      <c r="B9" s="68"/>
      <c r="C9" s="68"/>
      <c r="D9" s="68"/>
      <c r="E9" s="68"/>
      <c r="F9" s="68"/>
      <c r="G9" s="68"/>
      <c r="H9" s="69"/>
      <c r="I9" s="70"/>
      <c r="J9" s="69"/>
      <c r="K9" s="68"/>
      <c r="L9" s="68"/>
      <c r="M9" s="68"/>
      <c r="N9" s="68"/>
      <c r="O9" s="68"/>
      <c r="P9" s="68"/>
    </row>
    <row r="10" spans="1:17">
      <c r="A10" s="68"/>
      <c r="B10" s="68"/>
      <c r="C10" s="68"/>
      <c r="D10" s="148">
        <v>2010</v>
      </c>
      <c r="E10" s="148">
        <v>2010</v>
      </c>
      <c r="F10" s="148">
        <v>2010</v>
      </c>
      <c r="G10" s="148">
        <v>2010</v>
      </c>
      <c r="H10" s="3">
        <v>2010</v>
      </c>
      <c r="I10" s="71">
        <v>2010</v>
      </c>
      <c r="J10" s="3">
        <v>2011</v>
      </c>
      <c r="K10" s="3">
        <v>2011</v>
      </c>
      <c r="L10" s="3">
        <v>2011</v>
      </c>
      <c r="M10" s="3">
        <v>2011</v>
      </c>
      <c r="N10" s="3">
        <v>2011</v>
      </c>
      <c r="O10" s="3">
        <v>2011</v>
      </c>
      <c r="P10" s="72" t="s">
        <v>4</v>
      </c>
    </row>
    <row r="11" spans="1:17">
      <c r="A11" s="68"/>
      <c r="B11" s="68"/>
      <c r="C11" s="68"/>
      <c r="D11" s="4" t="s">
        <v>5</v>
      </c>
      <c r="E11" s="4" t="s">
        <v>6</v>
      </c>
      <c r="F11" s="4" t="s">
        <v>7</v>
      </c>
      <c r="G11" s="4" t="s">
        <v>8</v>
      </c>
      <c r="H11" s="5" t="s">
        <v>9</v>
      </c>
      <c r="I11" s="73" t="s">
        <v>10</v>
      </c>
      <c r="J11" s="5" t="s">
        <v>11</v>
      </c>
      <c r="K11" s="4" t="s">
        <v>12</v>
      </c>
      <c r="L11" s="4" t="s">
        <v>13</v>
      </c>
      <c r="M11" s="4" t="s">
        <v>14</v>
      </c>
      <c r="N11" s="4" t="s">
        <v>15</v>
      </c>
      <c r="O11" s="4" t="s">
        <v>16</v>
      </c>
      <c r="P11" s="4" t="s">
        <v>17</v>
      </c>
    </row>
    <row r="12" spans="1:17">
      <c r="A12" s="2" t="s">
        <v>169</v>
      </c>
      <c r="B12" s="2"/>
      <c r="C12" s="68"/>
      <c r="D12" s="68"/>
      <c r="E12" s="68"/>
      <c r="F12" s="68"/>
      <c r="G12" s="68"/>
      <c r="H12" s="69"/>
      <c r="I12" s="70"/>
      <c r="J12" s="69"/>
      <c r="K12" s="68"/>
      <c r="L12" s="68"/>
      <c r="M12" s="68"/>
      <c r="N12" s="68"/>
      <c r="O12" s="68"/>
      <c r="P12" s="68"/>
    </row>
    <row r="13" spans="1:17">
      <c r="A13" s="6" t="s">
        <v>18</v>
      </c>
      <c r="B13" s="68"/>
      <c r="C13" s="68"/>
      <c r="D13" s="35"/>
      <c r="E13" s="35"/>
      <c r="F13" s="35"/>
      <c r="G13" s="74"/>
      <c r="H13" s="75"/>
      <c r="I13" s="76"/>
      <c r="J13" s="75"/>
      <c r="K13" s="74"/>
      <c r="L13" s="74"/>
      <c r="M13" s="74"/>
      <c r="N13" s="74"/>
      <c r="O13" s="74"/>
      <c r="P13" s="68"/>
      <c r="Q13" s="10"/>
    </row>
    <row r="14" spans="1:17">
      <c r="A14" s="68" t="s">
        <v>19</v>
      </c>
      <c r="B14" s="68"/>
      <c r="C14" s="68"/>
      <c r="D14" s="74">
        <v>3313811</v>
      </c>
      <c r="E14" s="74">
        <v>2388155</v>
      </c>
      <c r="F14" s="74">
        <v>2436473</v>
      </c>
      <c r="G14" s="74">
        <v>3588712</v>
      </c>
      <c r="H14" s="75">
        <v>8096570</v>
      </c>
      <c r="I14" s="76">
        <v>18685652</v>
      </c>
      <c r="J14" s="9"/>
      <c r="K14" s="8"/>
      <c r="L14" s="8"/>
      <c r="M14" s="8"/>
      <c r="N14" s="8"/>
      <c r="O14" s="8"/>
      <c r="P14" s="77">
        <f>SUM(D14:O14)</f>
        <v>38509373</v>
      </c>
      <c r="Q14" s="10"/>
    </row>
    <row r="15" spans="1:17">
      <c r="A15" s="11" t="s">
        <v>20</v>
      </c>
      <c r="B15" s="68"/>
      <c r="C15" s="68"/>
      <c r="D15" s="75">
        <v>-79496</v>
      </c>
      <c r="E15" s="75">
        <v>-50724</v>
      </c>
      <c r="F15" s="75">
        <v>-49513</v>
      </c>
      <c r="G15" s="75">
        <v>-129126</v>
      </c>
      <c r="H15" s="75">
        <v>-296150</v>
      </c>
      <c r="I15" s="76">
        <v>-196517</v>
      </c>
      <c r="J15" s="9">
        <f t="shared" ref="J15:O15" si="0">-J37</f>
        <v>0</v>
      </c>
      <c r="K15" s="8">
        <f t="shared" si="0"/>
        <v>0</v>
      </c>
      <c r="L15" s="8">
        <f t="shared" si="0"/>
        <v>0</v>
      </c>
      <c r="M15" s="8">
        <f t="shared" si="0"/>
        <v>0</v>
      </c>
      <c r="N15" s="8">
        <f t="shared" si="0"/>
        <v>0</v>
      </c>
      <c r="O15" s="8">
        <f t="shared" si="0"/>
        <v>0</v>
      </c>
      <c r="P15" s="77">
        <f>SUM(D15:O15)</f>
        <v>-801526</v>
      </c>
      <c r="Q15" s="10"/>
    </row>
    <row r="16" spans="1:17">
      <c r="A16" s="11" t="s">
        <v>21</v>
      </c>
      <c r="B16" s="68"/>
      <c r="C16" s="68"/>
      <c r="D16" s="74">
        <v>9435</v>
      </c>
      <c r="E16" s="74">
        <v>15624</v>
      </c>
      <c r="F16" s="74">
        <v>20369</v>
      </c>
      <c r="G16" s="74">
        <v>38447</v>
      </c>
      <c r="H16" s="75">
        <v>76828</v>
      </c>
      <c r="I16" s="76">
        <v>68912</v>
      </c>
      <c r="J16" s="9"/>
      <c r="K16" s="8"/>
      <c r="L16" s="8"/>
      <c r="M16" s="8"/>
      <c r="N16" s="8"/>
      <c r="O16" s="8"/>
      <c r="P16" s="77">
        <f>SUM(D16:O16)</f>
        <v>229615</v>
      </c>
      <c r="Q16" s="10"/>
    </row>
    <row r="17" spans="1:17">
      <c r="A17" s="68" t="s">
        <v>22</v>
      </c>
      <c r="B17" s="68"/>
      <c r="C17" s="68"/>
      <c r="D17" s="35">
        <f>-M70</f>
        <v>-2290886</v>
      </c>
      <c r="E17" s="35">
        <f>-N70</f>
        <v>-1475600</v>
      </c>
      <c r="F17" s="35">
        <f>-O70</f>
        <v>-1470836</v>
      </c>
      <c r="G17" s="35">
        <f>-P70</f>
        <v>-2167427</v>
      </c>
      <c r="H17" s="75">
        <f>-D70</f>
        <v>-6369870</v>
      </c>
      <c r="I17" s="76">
        <f>-H120</f>
        <v>-12632762</v>
      </c>
      <c r="J17" s="75">
        <f>-I120</f>
        <v>-14149481</v>
      </c>
      <c r="K17" s="75">
        <f t="shared" ref="K17:O17" si="1">-J120</f>
        <v>0</v>
      </c>
      <c r="L17" s="75">
        <f t="shared" si="1"/>
        <v>0</v>
      </c>
      <c r="M17" s="75">
        <f t="shared" si="1"/>
        <v>0</v>
      </c>
      <c r="N17" s="75">
        <f t="shared" si="1"/>
        <v>0</v>
      </c>
      <c r="O17" s="75">
        <f t="shared" si="1"/>
        <v>0</v>
      </c>
      <c r="P17" s="77">
        <f>SUM(D17:O17)</f>
        <v>-40556862</v>
      </c>
      <c r="Q17" s="7"/>
    </row>
    <row r="18" spans="1:17">
      <c r="A18" s="68" t="s">
        <v>23</v>
      </c>
      <c r="B18" s="68"/>
      <c r="C18" s="68"/>
      <c r="D18" s="35">
        <f>N70</f>
        <v>1475600</v>
      </c>
      <c r="E18" s="35">
        <f>O70</f>
        <v>1470836</v>
      </c>
      <c r="F18" s="35">
        <f>P70</f>
        <v>2167427</v>
      </c>
      <c r="G18" s="75">
        <f t="shared" ref="G18:H18" si="2">D70</f>
        <v>6369870</v>
      </c>
      <c r="H18" s="75">
        <f t="shared" si="2"/>
        <v>13112916</v>
      </c>
      <c r="I18" s="76">
        <f>I120</f>
        <v>14149481</v>
      </c>
      <c r="J18" s="75">
        <f>J120</f>
        <v>0</v>
      </c>
      <c r="K18" s="75">
        <f t="shared" ref="K18:O18" si="3">K120</f>
        <v>0</v>
      </c>
      <c r="L18" s="75">
        <f t="shared" si="3"/>
        <v>0</v>
      </c>
      <c r="M18" s="75">
        <f t="shared" si="3"/>
        <v>0</v>
      </c>
      <c r="N18" s="75">
        <f t="shared" si="3"/>
        <v>0</v>
      </c>
      <c r="O18" s="75">
        <f t="shared" si="3"/>
        <v>0</v>
      </c>
      <c r="P18" s="77">
        <f>SUM(D18:O18)</f>
        <v>38746130</v>
      </c>
      <c r="Q18" s="7"/>
    </row>
    <row r="19" spans="1:17">
      <c r="A19" s="68" t="s">
        <v>24</v>
      </c>
      <c r="B19" s="68"/>
      <c r="C19" s="68"/>
      <c r="D19" s="35">
        <f>M54</f>
        <v>0</v>
      </c>
      <c r="E19" s="35">
        <f>N54</f>
        <v>0</v>
      </c>
      <c r="F19" s="35">
        <f>O54</f>
        <v>0</v>
      </c>
      <c r="G19" s="35">
        <f>D54</f>
        <v>911825</v>
      </c>
      <c r="H19" s="48">
        <f>E54</f>
        <v>-651522</v>
      </c>
      <c r="I19" s="78">
        <f>O103</f>
        <v>989755</v>
      </c>
      <c r="J19" s="75">
        <f t="shared" ref="J19:O19" si="4">G44</f>
        <v>0</v>
      </c>
      <c r="K19" s="75">
        <f t="shared" si="4"/>
        <v>0</v>
      </c>
      <c r="L19" s="75">
        <f t="shared" si="4"/>
        <v>0</v>
      </c>
      <c r="M19" s="75">
        <f t="shared" si="4"/>
        <v>0</v>
      </c>
      <c r="N19" s="75">
        <f t="shared" si="4"/>
        <v>0</v>
      </c>
      <c r="O19" s="75">
        <f t="shared" si="4"/>
        <v>0</v>
      </c>
      <c r="P19" s="77">
        <f>SUM(D19:O19)</f>
        <v>1250058</v>
      </c>
      <c r="Q19" s="7"/>
    </row>
    <row r="20" spans="1:17">
      <c r="A20" s="68" t="s">
        <v>25</v>
      </c>
      <c r="B20" s="68"/>
      <c r="C20" s="68"/>
      <c r="D20" s="79">
        <f t="shared" ref="D20:P20" si="5">SUM(D14:D19)</f>
        <v>2428464</v>
      </c>
      <c r="E20" s="79">
        <f t="shared" si="5"/>
        <v>2348291</v>
      </c>
      <c r="F20" s="79">
        <f t="shared" si="5"/>
        <v>3103920</v>
      </c>
      <c r="G20" s="79">
        <f t="shared" si="5"/>
        <v>8612301</v>
      </c>
      <c r="H20" s="79">
        <f t="shared" si="5"/>
        <v>13968772</v>
      </c>
      <c r="I20" s="80">
        <f t="shared" si="5"/>
        <v>21064521</v>
      </c>
      <c r="J20" s="79">
        <f t="shared" si="5"/>
        <v>-14149481</v>
      </c>
      <c r="K20" s="79">
        <f t="shared" si="5"/>
        <v>0</v>
      </c>
      <c r="L20" s="79">
        <f t="shared" si="5"/>
        <v>0</v>
      </c>
      <c r="M20" s="79">
        <f t="shared" si="5"/>
        <v>0</v>
      </c>
      <c r="N20" s="79">
        <f t="shared" si="5"/>
        <v>0</v>
      </c>
      <c r="O20" s="79">
        <f t="shared" si="5"/>
        <v>0</v>
      </c>
      <c r="P20" s="79">
        <f t="shared" si="5"/>
        <v>37376788</v>
      </c>
      <c r="Q20" s="7"/>
    </row>
    <row r="21" spans="1:17">
      <c r="A21" s="68"/>
      <c r="B21" s="68"/>
      <c r="C21" s="68"/>
      <c r="D21" s="81"/>
      <c r="E21" s="81"/>
      <c r="F21" s="81"/>
      <c r="G21" s="81"/>
      <c r="H21" s="81"/>
      <c r="I21" s="82"/>
      <c r="J21" s="81"/>
      <c r="K21" s="81"/>
      <c r="L21" s="81"/>
      <c r="M21" s="81"/>
      <c r="N21" s="81"/>
      <c r="O21" s="81"/>
      <c r="P21" s="81"/>
      <c r="Q21" s="7"/>
    </row>
    <row r="22" spans="1:17">
      <c r="A22" s="68" t="s">
        <v>26</v>
      </c>
      <c r="B22" s="68"/>
      <c r="C22" s="68"/>
      <c r="D22" s="81">
        <f t="shared" ref="D22:O22" si="6">D20</f>
        <v>2428464</v>
      </c>
      <c r="E22" s="81">
        <f t="shared" si="6"/>
        <v>2348291</v>
      </c>
      <c r="F22" s="81">
        <f t="shared" si="6"/>
        <v>3103920</v>
      </c>
      <c r="G22" s="81">
        <f t="shared" si="6"/>
        <v>8612301</v>
      </c>
      <c r="H22" s="81">
        <f t="shared" si="6"/>
        <v>13968772</v>
      </c>
      <c r="I22" s="82">
        <f t="shared" si="6"/>
        <v>21064521</v>
      </c>
      <c r="J22" s="81">
        <f t="shared" si="6"/>
        <v>-14149481</v>
      </c>
      <c r="K22" s="81">
        <f t="shared" si="6"/>
        <v>0</v>
      </c>
      <c r="L22" s="81">
        <f t="shared" si="6"/>
        <v>0</v>
      </c>
      <c r="M22" s="81">
        <f t="shared" si="6"/>
        <v>0</v>
      </c>
      <c r="N22" s="81">
        <f t="shared" si="6"/>
        <v>0</v>
      </c>
      <c r="O22" s="81">
        <f t="shared" si="6"/>
        <v>0</v>
      </c>
      <c r="P22" s="77">
        <f>SUM(D22:O22)</f>
        <v>37376788</v>
      </c>
    </row>
    <row r="23" spans="1:17">
      <c r="A23" t="s">
        <v>27</v>
      </c>
      <c r="B23"/>
      <c r="C23"/>
      <c r="D23" s="12">
        <v>2287103</v>
      </c>
      <c r="E23" s="12">
        <v>2287617</v>
      </c>
      <c r="F23" s="12">
        <v>3079646.51</v>
      </c>
      <c r="G23" s="12">
        <v>8101725.5099999998</v>
      </c>
      <c r="H23" s="12">
        <v>13914616</v>
      </c>
      <c r="I23" s="83">
        <v>21404351</v>
      </c>
      <c r="J23" s="12">
        <v>21165181</v>
      </c>
      <c r="K23" s="12">
        <v>16641322</v>
      </c>
      <c r="L23" s="12">
        <v>14487057</v>
      </c>
      <c r="M23" s="12">
        <v>8175548</v>
      </c>
      <c r="N23" s="12">
        <v>5149629</v>
      </c>
      <c r="O23" s="12">
        <v>3543438</v>
      </c>
      <c r="P23" s="77">
        <f>SUM(D23:O23)</f>
        <v>120237234.02</v>
      </c>
    </row>
    <row r="24" spans="1:17">
      <c r="A24" s="68" t="s">
        <v>28</v>
      </c>
      <c r="B24" s="68"/>
      <c r="C24"/>
      <c r="D24" s="13">
        <f t="shared" ref="D24:H24" si="7">D22-D23</f>
        <v>141361</v>
      </c>
      <c r="E24" s="13">
        <f t="shared" si="7"/>
        <v>60674</v>
      </c>
      <c r="F24" s="13">
        <f t="shared" si="7"/>
        <v>24273.490000000224</v>
      </c>
      <c r="G24" s="13">
        <f t="shared" si="7"/>
        <v>510575.49000000022</v>
      </c>
      <c r="H24" s="13">
        <f t="shared" si="7"/>
        <v>54156</v>
      </c>
      <c r="I24" s="84">
        <f>I22-I23</f>
        <v>-339830</v>
      </c>
      <c r="J24" s="13"/>
      <c r="K24" s="13"/>
      <c r="L24" s="13"/>
      <c r="M24" s="13"/>
      <c r="N24" s="13"/>
      <c r="O24" s="13"/>
      <c r="P24" s="79">
        <f>SUM(D24:O24)</f>
        <v>451209.98000000045</v>
      </c>
    </row>
    <row r="25" spans="1:17" s="2" customFormat="1">
      <c r="A25" s="68" t="s">
        <v>29</v>
      </c>
      <c r="B25" s="68"/>
      <c r="C25"/>
      <c r="D25" s="14">
        <v>0.24215999999999999</v>
      </c>
      <c r="E25" s="14">
        <v>0.24215999999999999</v>
      </c>
      <c r="F25" s="14">
        <v>0.24215999999999999</v>
      </c>
      <c r="G25" s="14">
        <v>0.24215999999999999</v>
      </c>
      <c r="H25" s="14">
        <v>0.24215999999999999</v>
      </c>
      <c r="I25" s="85">
        <v>0.27087839668000002</v>
      </c>
      <c r="J25" s="14">
        <v>0.27087839668000002</v>
      </c>
      <c r="K25" s="14">
        <v>0.27087839668000002</v>
      </c>
      <c r="L25" s="14">
        <v>0.27087839668000002</v>
      </c>
      <c r="M25" s="14">
        <v>0.27087839668000002</v>
      </c>
      <c r="N25" s="14">
        <v>0.27087839668000002</v>
      </c>
      <c r="O25" s="14">
        <v>0.27087839668000002</v>
      </c>
      <c r="P25"/>
    </row>
    <row r="26" spans="1:17" s="2" customFormat="1">
      <c r="A26" s="2" t="s">
        <v>30</v>
      </c>
      <c r="D26" s="15">
        <f t="shared" ref="D26:O26" si="8">D24*D25</f>
        <v>34231.979759999995</v>
      </c>
      <c r="E26" s="15">
        <f t="shared" si="8"/>
        <v>14692.815839999999</v>
      </c>
      <c r="F26" s="16">
        <f t="shared" si="8"/>
        <v>5878.068338400054</v>
      </c>
      <c r="G26" s="15">
        <f t="shared" si="8"/>
        <v>123640.96065840004</v>
      </c>
      <c r="H26" s="17">
        <f t="shared" si="8"/>
        <v>13114.416959999999</v>
      </c>
      <c r="I26" s="86">
        <f t="shared" si="8"/>
        <v>-92052.60554376441</v>
      </c>
      <c r="J26" s="17">
        <f t="shared" si="8"/>
        <v>0</v>
      </c>
      <c r="K26" s="15">
        <f t="shared" si="8"/>
        <v>0</v>
      </c>
      <c r="L26" s="15">
        <f t="shared" si="8"/>
        <v>0</v>
      </c>
      <c r="M26" s="16">
        <f t="shared" si="8"/>
        <v>0</v>
      </c>
      <c r="N26" s="15">
        <f t="shared" si="8"/>
        <v>0</v>
      </c>
      <c r="O26" s="16">
        <f t="shared" si="8"/>
        <v>0</v>
      </c>
      <c r="P26" s="15">
        <f>SUM(D26:O26)</f>
        <v>99505.636013035677</v>
      </c>
    </row>
    <row r="27" spans="1:17">
      <c r="A27" s="2"/>
      <c r="B27" s="87" t="s">
        <v>31</v>
      </c>
      <c r="C27" s="68"/>
      <c r="D27" s="88">
        <v>0.45</v>
      </c>
      <c r="E27" s="88">
        <v>0.45</v>
      </c>
      <c r="F27" s="88">
        <v>0.45</v>
      </c>
      <c r="G27" s="88">
        <v>0.45</v>
      </c>
      <c r="H27" s="88">
        <v>0.45</v>
      </c>
      <c r="I27" s="89">
        <v>0.45</v>
      </c>
      <c r="J27" s="88">
        <v>0.45</v>
      </c>
      <c r="K27" s="88">
        <v>0.45</v>
      </c>
      <c r="L27" s="88">
        <v>0.45</v>
      </c>
      <c r="M27" s="88">
        <v>0.45</v>
      </c>
      <c r="N27" s="88">
        <v>0.45</v>
      </c>
      <c r="O27" s="88">
        <v>0.45</v>
      </c>
      <c r="P27" s="15"/>
    </row>
    <row r="28" spans="1:17">
      <c r="A28" s="2" t="s">
        <v>32</v>
      </c>
      <c r="B28" s="68"/>
      <c r="C28" s="68"/>
      <c r="D28" s="17">
        <f t="shared" ref="D28:O28" si="9">ROUND(D26*D27,0)</f>
        <v>15404</v>
      </c>
      <c r="E28" s="17">
        <f t="shared" si="9"/>
        <v>6612</v>
      </c>
      <c r="F28" s="17">
        <f t="shared" si="9"/>
        <v>2645</v>
      </c>
      <c r="G28" s="17">
        <f t="shared" si="9"/>
        <v>55638</v>
      </c>
      <c r="H28" s="17">
        <f t="shared" si="9"/>
        <v>5901</v>
      </c>
      <c r="I28" s="86">
        <f t="shared" si="9"/>
        <v>-41424</v>
      </c>
      <c r="J28" s="17">
        <f t="shared" si="9"/>
        <v>0</v>
      </c>
      <c r="K28" s="17">
        <f t="shared" si="9"/>
        <v>0</v>
      </c>
      <c r="L28" s="17">
        <f t="shared" si="9"/>
        <v>0</v>
      </c>
      <c r="M28" s="17">
        <f t="shared" si="9"/>
        <v>0</v>
      </c>
      <c r="N28" s="17">
        <f t="shared" si="9"/>
        <v>0</v>
      </c>
      <c r="O28" s="17">
        <f t="shared" si="9"/>
        <v>0</v>
      </c>
      <c r="P28" s="17">
        <f>SUM(D28:O28)</f>
        <v>44776</v>
      </c>
    </row>
    <row r="29" spans="1:17">
      <c r="A29"/>
      <c r="B29" s="2" t="s">
        <v>33</v>
      </c>
      <c r="C29"/>
      <c r="D29"/>
      <c r="E29" s="35"/>
      <c r="F29" s="35"/>
      <c r="G29" s="35"/>
      <c r="H29" s="48"/>
      <c r="I29" s="78"/>
      <c r="J29" s="48"/>
      <c r="K29" s="35"/>
      <c r="L29" s="35"/>
      <c r="M29" s="35"/>
      <c r="N29" s="35"/>
      <c r="O29" s="35"/>
      <c r="P29" s="77"/>
    </row>
    <row r="30" spans="1:17">
      <c r="A30"/>
      <c r="B30" s="2"/>
      <c r="C30"/>
      <c r="D30"/>
      <c r="E30" s="35"/>
      <c r="F30" s="35"/>
      <c r="G30" s="35"/>
      <c r="H30" s="48"/>
      <c r="I30" s="78"/>
      <c r="J30" s="48"/>
      <c r="K30" s="35"/>
      <c r="L30" s="35"/>
      <c r="M30" s="35"/>
      <c r="N30" s="35"/>
      <c r="O30" s="35"/>
      <c r="P30" s="77"/>
    </row>
    <row r="31" spans="1:17">
      <c r="A31" s="2"/>
      <c r="B31" s="2"/>
      <c r="C31"/>
      <c r="D31" s="17"/>
      <c r="E31" s="35"/>
      <c r="F31" s="35"/>
      <c r="G31" s="35"/>
      <c r="H31" s="48"/>
      <c r="I31" s="78"/>
      <c r="J31" s="17"/>
      <c r="K31" s="35"/>
      <c r="L31" s="35"/>
      <c r="M31" s="35"/>
      <c r="N31" s="35"/>
      <c r="O31" s="35"/>
      <c r="P31" s="17"/>
    </row>
    <row r="32" spans="1:17">
      <c r="A32" s="2"/>
      <c r="B32" s="2"/>
      <c r="C32"/>
      <c r="D32" s="68"/>
      <c r="E32" s="18"/>
      <c r="F32" s="35"/>
      <c r="G32" s="35"/>
      <c r="H32" s="35"/>
      <c r="I32" s="35"/>
      <c r="J32" s="19"/>
      <c r="K32" s="35"/>
      <c r="L32" s="35"/>
      <c r="M32" s="35"/>
      <c r="N32" s="35"/>
      <c r="O32" s="35"/>
      <c r="P32" s="77"/>
    </row>
    <row r="33" spans="1:16" ht="27" customHeight="1">
      <c r="A33" s="11" t="s">
        <v>100</v>
      </c>
      <c r="B33" s="68"/>
      <c r="C33" s="68"/>
      <c r="D33" s="35"/>
      <c r="E33" s="35"/>
      <c r="F33" s="35"/>
      <c r="G33" s="35"/>
      <c r="H33" s="35"/>
      <c r="I33" s="35"/>
      <c r="J33" s="35"/>
      <c r="K33" s="35"/>
      <c r="L33" s="35"/>
      <c r="M33" s="35"/>
      <c r="N33" s="35"/>
      <c r="O33" s="35"/>
      <c r="P33" s="77"/>
    </row>
    <row r="34" spans="1:16" ht="12.75" customHeight="1">
      <c r="A34" s="160" t="s">
        <v>101</v>
      </c>
      <c r="B34" s="160"/>
      <c r="C34" s="160"/>
      <c r="D34" s="160"/>
      <c r="E34" s="160"/>
      <c r="F34" s="160"/>
      <c r="G34" s="160"/>
      <c r="H34" s="160"/>
      <c r="I34" s="160"/>
      <c r="J34" s="160"/>
      <c r="K34" s="160"/>
      <c r="L34" s="160"/>
      <c r="M34" s="160"/>
      <c r="N34" s="160"/>
      <c r="O34" s="160"/>
      <c r="P34" s="160"/>
    </row>
    <row r="35" spans="1:16" ht="13.15" customHeight="1">
      <c r="A35" s="68"/>
      <c r="B35" s="68"/>
      <c r="C35" s="68"/>
      <c r="D35" s="20"/>
      <c r="E35" s="20"/>
      <c r="F35" s="20"/>
      <c r="G35" s="20"/>
      <c r="H35" s="20"/>
      <c r="I35" s="20"/>
      <c r="J35" s="20"/>
      <c r="K35" s="20"/>
      <c r="L35" s="20"/>
      <c r="M35" s="20"/>
      <c r="N35" s="20"/>
      <c r="O35" s="20"/>
      <c r="P35" s="77"/>
    </row>
    <row r="36" spans="1:16" ht="13.9" customHeight="1">
      <c r="A36"/>
      <c r="B36"/>
      <c r="C36"/>
      <c r="D36" s="21"/>
      <c r="E36" s="21"/>
      <c r="F36" s="21"/>
      <c r="G36" s="21"/>
      <c r="H36" s="21"/>
      <c r="I36" s="21"/>
      <c r="J36" s="21"/>
      <c r="K36" s="21"/>
      <c r="L36" s="21"/>
      <c r="M36" s="21"/>
      <c r="N36" s="21"/>
      <c r="O36" s="21"/>
      <c r="P36"/>
    </row>
    <row r="37" spans="1:16">
      <c r="A37" s="11"/>
      <c r="B37" s="68"/>
      <c r="C37" s="68"/>
      <c r="D37" s="35"/>
      <c r="E37" s="35"/>
      <c r="F37" s="35"/>
      <c r="G37" s="35"/>
      <c r="H37" s="35"/>
      <c r="I37" s="35"/>
      <c r="J37" s="35"/>
      <c r="K37" s="35"/>
      <c r="L37" s="35"/>
      <c r="M37" s="35"/>
      <c r="N37" s="35"/>
      <c r="O37" s="35"/>
      <c r="P37" s="77"/>
    </row>
    <row r="38" spans="1:16">
      <c r="A38" s="158" t="s">
        <v>164</v>
      </c>
      <c r="B38" s="158"/>
      <c r="C38" s="158"/>
      <c r="D38" s="158"/>
      <c r="E38" s="158"/>
      <c r="F38" s="158"/>
      <c r="G38" s="158"/>
      <c r="H38" s="158"/>
      <c r="I38" s="158"/>
      <c r="J38" s="158"/>
      <c r="K38" s="158"/>
      <c r="L38" s="158"/>
      <c r="M38" s="158"/>
      <c r="N38" s="158"/>
      <c r="O38" s="158"/>
      <c r="P38" s="158"/>
    </row>
    <row r="39" spans="1:16">
      <c r="A39" s="11" t="s">
        <v>34</v>
      </c>
      <c r="B39" s="68"/>
      <c r="C39" s="68"/>
      <c r="D39" s="77"/>
      <c r="E39" s="77"/>
      <c r="F39" s="77"/>
      <c r="G39" s="77"/>
      <c r="H39" s="77"/>
      <c r="I39" s="77"/>
      <c r="J39" s="77"/>
      <c r="K39" s="77"/>
      <c r="L39" s="77"/>
      <c r="M39" s="68"/>
      <c r="N39" s="68"/>
      <c r="O39" s="68"/>
      <c r="P39" s="68"/>
    </row>
    <row r="40" spans="1:16">
      <c r="A40" s="6" t="s">
        <v>35</v>
      </c>
      <c r="B40"/>
      <c r="C40"/>
      <c r="D40"/>
      <c r="E40"/>
      <c r="F40"/>
      <c r="G40"/>
      <c r="H40"/>
      <c r="I40"/>
      <c r="J40"/>
      <c r="K40"/>
      <c r="L40"/>
      <c r="M40"/>
      <c r="N40"/>
      <c r="O40"/>
      <c r="P40"/>
    </row>
    <row r="41" spans="1:16">
      <c r="A41"/>
      <c r="B41"/>
      <c r="C41"/>
      <c r="D41" s="22">
        <v>40452</v>
      </c>
      <c r="E41" s="22">
        <v>40483</v>
      </c>
      <c r="F41" s="22">
        <v>40513</v>
      </c>
      <c r="G41" s="22">
        <v>40544</v>
      </c>
      <c r="H41" s="22">
        <v>40575</v>
      </c>
      <c r="I41" s="22">
        <v>40603</v>
      </c>
      <c r="J41" s="22">
        <v>40634</v>
      </c>
      <c r="K41" s="22">
        <v>40664</v>
      </c>
      <c r="L41" s="22">
        <v>40695</v>
      </c>
      <c r="M41" s="22">
        <v>40360</v>
      </c>
      <c r="N41" s="22">
        <v>40391</v>
      </c>
      <c r="O41" s="22">
        <v>40422</v>
      </c>
      <c r="P41" s="23" t="s">
        <v>17</v>
      </c>
    </row>
    <row r="42" spans="1:16">
      <c r="A42" s="24" t="s">
        <v>36</v>
      </c>
      <c r="B42"/>
      <c r="C42"/>
      <c r="D42">
        <v>541</v>
      </c>
      <c r="E42">
        <v>899</v>
      </c>
      <c r="F42">
        <v>1160</v>
      </c>
      <c r="G42">
        <v>1136</v>
      </c>
      <c r="H42">
        <v>914</v>
      </c>
      <c r="I42">
        <v>770</v>
      </c>
      <c r="J42">
        <v>542</v>
      </c>
      <c r="K42">
        <v>323</v>
      </c>
      <c r="L42">
        <v>144</v>
      </c>
      <c r="M42">
        <v>36</v>
      </c>
      <c r="N42">
        <v>35</v>
      </c>
      <c r="O42">
        <v>189</v>
      </c>
      <c r="P42" s="25">
        <f>SUM(D42:O42)</f>
        <v>6689</v>
      </c>
    </row>
    <row r="43" spans="1:16">
      <c r="A43" t="s">
        <v>37</v>
      </c>
      <c r="B43"/>
      <c r="C43"/>
      <c r="D43" s="68">
        <v>472</v>
      </c>
      <c r="E43" s="68">
        <v>948</v>
      </c>
      <c r="F43" s="68">
        <f t="shared" ref="F43:L43" si="10">F42</f>
        <v>1160</v>
      </c>
      <c r="G43" s="68">
        <f t="shared" si="10"/>
        <v>1136</v>
      </c>
      <c r="H43" s="68">
        <f t="shared" si="10"/>
        <v>914</v>
      </c>
      <c r="I43" s="68">
        <f t="shared" si="10"/>
        <v>770</v>
      </c>
      <c r="J43" s="68">
        <f t="shared" si="10"/>
        <v>542</v>
      </c>
      <c r="K43" s="68">
        <f t="shared" si="10"/>
        <v>323</v>
      </c>
      <c r="L43" s="68">
        <f t="shared" si="10"/>
        <v>144</v>
      </c>
      <c r="M43" s="68">
        <v>48</v>
      </c>
      <c r="N43" s="68">
        <v>47</v>
      </c>
      <c r="O43" s="68">
        <v>158</v>
      </c>
      <c r="P43" s="25">
        <f>SUM(D43:O43)</f>
        <v>6662</v>
      </c>
    </row>
    <row r="44" spans="1:16">
      <c r="A44" s="2" t="s">
        <v>38</v>
      </c>
      <c r="B44"/>
      <c r="C44"/>
      <c r="D44" s="26">
        <f t="shared" ref="D44:O44" si="11">D42-D43</f>
        <v>69</v>
      </c>
      <c r="E44" s="26">
        <f t="shared" si="11"/>
        <v>-49</v>
      </c>
      <c r="F44" s="26">
        <f t="shared" si="11"/>
        <v>0</v>
      </c>
      <c r="G44" s="26">
        <f t="shared" si="11"/>
        <v>0</v>
      </c>
      <c r="H44" s="26">
        <f t="shared" si="11"/>
        <v>0</v>
      </c>
      <c r="I44" s="26">
        <f t="shared" si="11"/>
        <v>0</v>
      </c>
      <c r="J44" s="26">
        <f t="shared" si="11"/>
        <v>0</v>
      </c>
      <c r="K44" s="26">
        <f t="shared" si="11"/>
        <v>0</v>
      </c>
      <c r="L44" s="26">
        <f t="shared" si="11"/>
        <v>0</v>
      </c>
      <c r="M44" s="26">
        <f t="shared" si="11"/>
        <v>-12</v>
      </c>
      <c r="N44" s="26">
        <f t="shared" si="11"/>
        <v>-12</v>
      </c>
      <c r="O44" s="26">
        <f t="shared" si="11"/>
        <v>31</v>
      </c>
      <c r="P44" s="26">
        <f>SUM(D44:O44)</f>
        <v>27</v>
      </c>
    </row>
    <row r="45" spans="1:16">
      <c r="A45" s="2"/>
      <c r="B45" s="27"/>
      <c r="C45" s="38" t="s">
        <v>39</v>
      </c>
      <c r="D45"/>
      <c r="E45"/>
      <c r="F45"/>
      <c r="G45"/>
      <c r="H45"/>
      <c r="I45"/>
      <c r="J45"/>
      <c r="K45"/>
      <c r="L45"/>
      <c r="M45"/>
      <c r="N45"/>
      <c r="O45"/>
      <c r="P45"/>
    </row>
    <row r="46" spans="1:16">
      <c r="A46" t="s">
        <v>40</v>
      </c>
      <c r="B46"/>
      <c r="C46" s="23" t="s">
        <v>41</v>
      </c>
      <c r="D46" s="28">
        <v>8.77E-2</v>
      </c>
      <c r="E46" s="28">
        <v>8.77E-2</v>
      </c>
      <c r="F46" s="28">
        <v>0.1002</v>
      </c>
      <c r="G46" s="28">
        <v>0.1002</v>
      </c>
      <c r="H46" s="28">
        <v>0.1002</v>
      </c>
      <c r="I46" s="28">
        <v>0.1002</v>
      </c>
      <c r="J46" s="28">
        <v>8.77E-2</v>
      </c>
      <c r="K46" s="28">
        <v>8.77E-2</v>
      </c>
      <c r="L46" s="28">
        <v>8.77E-2</v>
      </c>
      <c r="M46" s="28">
        <v>0</v>
      </c>
      <c r="N46" s="28">
        <v>0</v>
      </c>
      <c r="O46" s="28">
        <v>0</v>
      </c>
      <c r="P46"/>
    </row>
    <row r="47" spans="1:16">
      <c r="A47" t="s">
        <v>42</v>
      </c>
      <c r="B47"/>
      <c r="C47" s="23" t="s">
        <v>41</v>
      </c>
      <c r="D47" s="28">
        <v>0.16700000000000001</v>
      </c>
      <c r="E47" s="28">
        <v>0.16700000000000001</v>
      </c>
      <c r="F47" s="28">
        <v>0.2467</v>
      </c>
      <c r="G47" s="28">
        <v>0.2467</v>
      </c>
      <c r="H47" s="28">
        <v>0.2467</v>
      </c>
      <c r="I47" s="28">
        <v>0.2467</v>
      </c>
      <c r="J47" s="28">
        <v>0.16700000000000001</v>
      </c>
      <c r="K47" s="28">
        <v>0.16700000000000001</v>
      </c>
      <c r="L47" s="28">
        <v>0.16700000000000001</v>
      </c>
      <c r="M47" s="28">
        <v>0</v>
      </c>
      <c r="N47" s="28">
        <v>0</v>
      </c>
      <c r="O47" s="28">
        <v>0</v>
      </c>
      <c r="P47"/>
    </row>
    <row r="48" spans="1:16">
      <c r="A48" t="s">
        <v>43</v>
      </c>
      <c r="B48"/>
      <c r="C48" s="23" t="s">
        <v>41</v>
      </c>
      <c r="D48" s="28">
        <v>0.29609999999999997</v>
      </c>
      <c r="E48" s="28">
        <v>0.29609999999999997</v>
      </c>
      <c r="F48" s="28">
        <v>0.42659999999999998</v>
      </c>
      <c r="G48" s="28">
        <v>0.42659999999999998</v>
      </c>
      <c r="H48" s="28">
        <v>0.42659999999999998</v>
      </c>
      <c r="I48" s="28">
        <v>0.42659999999999998</v>
      </c>
      <c r="J48" s="28">
        <v>0.29609999999999997</v>
      </c>
      <c r="K48" s="28">
        <v>0.29609999999999997</v>
      </c>
      <c r="L48" s="28">
        <v>0.29609999999999997</v>
      </c>
      <c r="M48" s="28">
        <v>0</v>
      </c>
      <c r="N48" s="28">
        <v>0</v>
      </c>
      <c r="O48" s="28">
        <v>0</v>
      </c>
      <c r="P48"/>
    </row>
    <row r="49" spans="1:17">
      <c r="A49"/>
      <c r="B49" s="29"/>
      <c r="C49"/>
      <c r="D49"/>
      <c r="E49"/>
      <c r="F49"/>
      <c r="G49"/>
      <c r="H49"/>
      <c r="I49"/>
      <c r="J49"/>
      <c r="K49"/>
      <c r="L49"/>
      <c r="M49"/>
      <c r="N49"/>
      <c r="O49"/>
      <c r="P49"/>
    </row>
    <row r="50" spans="1:17">
      <c r="A50" s="6" t="s">
        <v>44</v>
      </c>
      <c r="B50" s="29"/>
      <c r="C50" s="29"/>
      <c r="D50"/>
      <c r="E50"/>
      <c r="F50"/>
      <c r="G50"/>
      <c r="H50"/>
      <c r="I50"/>
      <c r="J50"/>
      <c r="K50"/>
      <c r="L50"/>
      <c r="M50"/>
      <c r="N50"/>
      <c r="O50"/>
      <c r="P50"/>
    </row>
    <row r="51" spans="1:17">
      <c r="A51" t="s">
        <v>40</v>
      </c>
      <c r="B51"/>
      <c r="C51"/>
      <c r="D51" s="25">
        <f t="shared" ref="D51:O53" si="12">ROUND(D$44*D46*D78,0)</f>
        <v>776811</v>
      </c>
      <c r="E51" s="25">
        <f t="shared" si="12"/>
        <v>-555289</v>
      </c>
      <c r="F51" s="25">
        <f t="shared" si="12"/>
        <v>0</v>
      </c>
      <c r="G51" s="25">
        <f t="shared" si="12"/>
        <v>0</v>
      </c>
      <c r="H51" s="25">
        <f t="shared" si="12"/>
        <v>0</v>
      </c>
      <c r="I51" s="25">
        <f t="shared" si="12"/>
        <v>0</v>
      </c>
      <c r="J51" s="25">
        <f t="shared" si="12"/>
        <v>0</v>
      </c>
      <c r="K51" s="25">
        <f t="shared" si="12"/>
        <v>0</v>
      </c>
      <c r="L51" s="25">
        <f t="shared" si="12"/>
        <v>0</v>
      </c>
      <c r="M51" s="25">
        <f t="shared" si="12"/>
        <v>0</v>
      </c>
      <c r="N51" s="25">
        <f t="shared" si="12"/>
        <v>0</v>
      </c>
      <c r="O51" s="25">
        <f t="shared" si="12"/>
        <v>0</v>
      </c>
      <c r="P51" s="25">
        <f>SUM(D51:O51)</f>
        <v>221522</v>
      </c>
    </row>
    <row r="52" spans="1:17">
      <c r="A52" t="s">
        <v>42</v>
      </c>
      <c r="B52"/>
      <c r="C52"/>
      <c r="D52" s="25">
        <f t="shared" si="12"/>
        <v>133114</v>
      </c>
      <c r="E52" s="25">
        <f t="shared" si="12"/>
        <v>-94898</v>
      </c>
      <c r="F52" s="25">
        <f t="shared" si="12"/>
        <v>0</v>
      </c>
      <c r="G52" s="25">
        <f t="shared" si="12"/>
        <v>0</v>
      </c>
      <c r="H52" s="25">
        <f t="shared" si="12"/>
        <v>0</v>
      </c>
      <c r="I52" s="25">
        <f t="shared" si="12"/>
        <v>0</v>
      </c>
      <c r="J52" s="25">
        <f t="shared" si="12"/>
        <v>0</v>
      </c>
      <c r="K52" s="25">
        <f t="shared" si="12"/>
        <v>0</v>
      </c>
      <c r="L52" s="25">
        <f t="shared" si="12"/>
        <v>0</v>
      </c>
      <c r="M52" s="25">
        <f t="shared" si="12"/>
        <v>0</v>
      </c>
      <c r="N52" s="25">
        <f t="shared" si="12"/>
        <v>0</v>
      </c>
      <c r="O52" s="25">
        <f t="shared" si="12"/>
        <v>0</v>
      </c>
      <c r="P52" s="25">
        <f>SUM(D52:O52)</f>
        <v>38216</v>
      </c>
    </row>
    <row r="53" spans="1:17">
      <c r="A53" t="s">
        <v>43</v>
      </c>
      <c r="B53"/>
      <c r="C53"/>
      <c r="D53" s="25">
        <f t="shared" si="12"/>
        <v>1900</v>
      </c>
      <c r="E53" s="25">
        <f t="shared" si="12"/>
        <v>-1335</v>
      </c>
      <c r="F53" s="25">
        <f t="shared" si="12"/>
        <v>0</v>
      </c>
      <c r="G53" s="25">
        <f t="shared" si="12"/>
        <v>0</v>
      </c>
      <c r="H53" s="25">
        <f t="shared" si="12"/>
        <v>0</v>
      </c>
      <c r="I53" s="25">
        <f t="shared" si="12"/>
        <v>0</v>
      </c>
      <c r="J53" s="25">
        <f t="shared" si="12"/>
        <v>0</v>
      </c>
      <c r="K53" s="25">
        <f t="shared" si="12"/>
        <v>0</v>
      </c>
      <c r="L53" s="25">
        <f t="shared" si="12"/>
        <v>0</v>
      </c>
      <c r="M53" s="25">
        <f t="shared" si="12"/>
        <v>0</v>
      </c>
      <c r="N53" s="25">
        <f t="shared" si="12"/>
        <v>0</v>
      </c>
      <c r="O53" s="25">
        <f t="shared" si="12"/>
        <v>0</v>
      </c>
      <c r="P53" s="25">
        <f>SUM(D53:O53)</f>
        <v>565</v>
      </c>
    </row>
    <row r="54" spans="1:17">
      <c r="A54" t="s">
        <v>45</v>
      </c>
      <c r="B54"/>
      <c r="C54"/>
      <c r="D54" s="30">
        <f t="shared" ref="D54:P54" si="13">SUM(D51:D53)</f>
        <v>911825</v>
      </c>
      <c r="E54" s="30">
        <f t="shared" si="13"/>
        <v>-651522</v>
      </c>
      <c r="F54" s="30">
        <f t="shared" si="13"/>
        <v>0</v>
      </c>
      <c r="G54" s="30">
        <f t="shared" si="13"/>
        <v>0</v>
      </c>
      <c r="H54" s="30">
        <f t="shared" si="13"/>
        <v>0</v>
      </c>
      <c r="I54" s="30">
        <f t="shared" si="13"/>
        <v>0</v>
      </c>
      <c r="J54" s="30">
        <f t="shared" si="13"/>
        <v>0</v>
      </c>
      <c r="K54" s="30">
        <f t="shared" si="13"/>
        <v>0</v>
      </c>
      <c r="L54" s="30">
        <f t="shared" si="13"/>
        <v>0</v>
      </c>
      <c r="M54" s="30">
        <f t="shared" si="13"/>
        <v>0</v>
      </c>
      <c r="N54" s="30">
        <f t="shared" si="13"/>
        <v>0</v>
      </c>
      <c r="O54" s="30">
        <f t="shared" si="13"/>
        <v>0</v>
      </c>
      <c r="P54" s="30">
        <f t="shared" si="13"/>
        <v>260303</v>
      </c>
    </row>
    <row r="55" spans="1:17">
      <c r="A55"/>
      <c r="B55"/>
      <c r="C55"/>
      <c r="D55"/>
      <c r="E55"/>
      <c r="F55"/>
      <c r="G55"/>
      <c r="H55"/>
      <c r="I55"/>
      <c r="J55"/>
      <c r="K55"/>
      <c r="L55"/>
      <c r="M55"/>
      <c r="N55"/>
      <c r="O55"/>
      <c r="P55"/>
    </row>
    <row r="56" spans="1:17">
      <c r="A56"/>
      <c r="B56"/>
      <c r="C56"/>
      <c r="D56"/>
      <c r="E56"/>
      <c r="F56"/>
      <c r="G56"/>
      <c r="H56"/>
      <c r="I56"/>
      <c r="J56"/>
      <c r="K56"/>
      <c r="L56"/>
      <c r="M56"/>
      <c r="N56"/>
      <c r="O56"/>
      <c r="P56"/>
    </row>
    <row r="57" spans="1:17">
      <c r="A57" s="6" t="s">
        <v>46</v>
      </c>
      <c r="B57"/>
      <c r="C57"/>
      <c r="D57" s="31"/>
      <c r="E57"/>
      <c r="F57"/>
      <c r="G57"/>
      <c r="H57"/>
      <c r="I57"/>
      <c r="J57"/>
      <c r="K57"/>
      <c r="L57"/>
      <c r="M57"/>
      <c r="N57"/>
      <c r="O57"/>
      <c r="P57"/>
    </row>
    <row r="58" spans="1:17">
      <c r="A58" s="32"/>
      <c r="B58"/>
      <c r="C58"/>
      <c r="D58" s="33">
        <v>40452</v>
      </c>
      <c r="E58" s="33">
        <v>40483</v>
      </c>
      <c r="F58" s="33">
        <v>40513</v>
      </c>
      <c r="G58" s="33">
        <v>40544</v>
      </c>
      <c r="H58" s="33">
        <v>40575</v>
      </c>
      <c r="I58" s="33">
        <v>40603</v>
      </c>
      <c r="J58" s="33">
        <v>40634</v>
      </c>
      <c r="K58" s="33">
        <v>40664</v>
      </c>
      <c r="L58" s="33">
        <v>40695</v>
      </c>
      <c r="M58" s="33">
        <v>40330</v>
      </c>
      <c r="N58" s="33">
        <v>40360</v>
      </c>
      <c r="O58" s="33">
        <v>40391</v>
      </c>
      <c r="P58" s="33">
        <v>40422</v>
      </c>
      <c r="Q58" s="51"/>
    </row>
    <row r="59" spans="1:17">
      <c r="A59" t="s">
        <v>47</v>
      </c>
      <c r="B59"/>
      <c r="C59"/>
      <c r="D59" s="118">
        <f>ROUND(361.8*1.0361,1)</f>
        <v>374.9</v>
      </c>
      <c r="E59" s="118">
        <f>ROUND(750*1.0567,1)</f>
        <v>792.5</v>
      </c>
      <c r="F59" s="118">
        <v>0</v>
      </c>
      <c r="G59" s="118">
        <v>0</v>
      </c>
      <c r="H59" s="150">
        <v>0</v>
      </c>
      <c r="I59" s="118">
        <v>0</v>
      </c>
      <c r="J59" s="118">
        <v>0</v>
      </c>
      <c r="K59" s="118">
        <v>0</v>
      </c>
      <c r="L59" s="118">
        <v>0</v>
      </c>
      <c r="M59" s="118">
        <f>ROUND(106.6*1.0955,1)</f>
        <v>116.8</v>
      </c>
      <c r="N59" s="118">
        <f>ROUND(16.6*1.0848,1)</f>
        <v>18</v>
      </c>
      <c r="O59" s="118">
        <f>ROUND(46*1.0348,1)</f>
        <v>47.6</v>
      </c>
      <c r="P59" s="118">
        <f>ROUND(101.4*1.0545,1)</f>
        <v>106.9</v>
      </c>
      <c r="Q59" s="52"/>
    </row>
    <row r="60" spans="1:17">
      <c r="A60" t="s">
        <v>48</v>
      </c>
      <c r="B60"/>
      <c r="C60"/>
      <c r="D60" s="119">
        <f>ROUND(66.19%*1.0361,4)</f>
        <v>0.68579999999999997</v>
      </c>
      <c r="E60" s="119">
        <f>ROUND(71.27%*1.0567,4)</f>
        <v>0.75309999999999999</v>
      </c>
      <c r="F60" s="119">
        <v>0</v>
      </c>
      <c r="G60" s="119">
        <v>0</v>
      </c>
      <c r="H60" s="119">
        <v>0</v>
      </c>
      <c r="I60" s="119">
        <v>0</v>
      </c>
      <c r="J60" s="119">
        <v>0</v>
      </c>
      <c r="K60" s="119">
        <v>0</v>
      </c>
      <c r="L60" s="119">
        <v>0</v>
      </c>
      <c r="M60" s="119">
        <f>ROUND(66.19%*1.0955,4)</f>
        <v>0.72509999999999997</v>
      </c>
      <c r="N60" s="119">
        <f>ROUND(65.28%*1.0848,4)</f>
        <v>0.70820000000000005</v>
      </c>
      <c r="O60" s="119">
        <f>ROUND(68.2%*1.0348,4)</f>
        <v>0.70569999999999999</v>
      </c>
      <c r="P60" s="119">
        <f>ROUND(65.87%*1.0545,4)</f>
        <v>0.6946</v>
      </c>
    </row>
    <row r="61" spans="1:17">
      <c r="A61" s="2"/>
      <c r="B61" s="27" t="s">
        <v>49</v>
      </c>
      <c r="C61" s="38" t="s">
        <v>39</v>
      </c>
      <c r="D61" s="49"/>
      <c r="E61" s="49"/>
      <c r="F61" s="34"/>
      <c r="G61" s="49"/>
      <c r="H61" s="49"/>
      <c r="I61" s="49"/>
      <c r="J61" s="49"/>
      <c r="K61" s="49"/>
      <c r="L61" s="49"/>
      <c r="M61" s="49"/>
      <c r="N61" s="49"/>
      <c r="O61" s="49"/>
      <c r="P61" s="49"/>
    </row>
    <row r="62" spans="1:17">
      <c r="A62" t="s">
        <v>40</v>
      </c>
      <c r="B62" s="147">
        <v>15</v>
      </c>
      <c r="C62" s="23" t="s">
        <v>41</v>
      </c>
      <c r="D62" s="28">
        <f t="shared" ref="D62:L64" si="14">(D46+E46)/2</f>
        <v>8.77E-2</v>
      </c>
      <c r="E62" s="28">
        <f t="shared" si="14"/>
        <v>9.3950000000000006E-2</v>
      </c>
      <c r="F62" s="28">
        <f t="shared" si="14"/>
        <v>0.1002</v>
      </c>
      <c r="G62" s="28">
        <f t="shared" si="14"/>
        <v>0.1002</v>
      </c>
      <c r="H62" s="28">
        <f t="shared" si="14"/>
        <v>0.1002</v>
      </c>
      <c r="I62" s="28">
        <f t="shared" si="14"/>
        <v>9.3950000000000006E-2</v>
      </c>
      <c r="J62" s="28">
        <f t="shared" si="14"/>
        <v>8.77E-2</v>
      </c>
      <c r="K62" s="28">
        <f t="shared" si="14"/>
        <v>8.77E-2</v>
      </c>
      <c r="L62" s="28">
        <f t="shared" si="14"/>
        <v>4.385E-2</v>
      </c>
      <c r="M62" s="28">
        <f t="shared" ref="M62:O64" si="15">(L46+M46)/2</f>
        <v>4.385E-2</v>
      </c>
      <c r="N62" s="28">
        <f>(M46+N46)/2</f>
        <v>0</v>
      </c>
      <c r="O62" s="28">
        <f>(N46+O46)/2</f>
        <v>0</v>
      </c>
      <c r="P62" s="28">
        <f>(O46+D46)/2</f>
        <v>4.385E-2</v>
      </c>
    </row>
    <row r="63" spans="1:17">
      <c r="A63" t="s">
        <v>42</v>
      </c>
      <c r="B63" s="147">
        <v>12</v>
      </c>
      <c r="C63" s="23" t="s">
        <v>41</v>
      </c>
      <c r="D63" s="28">
        <f t="shared" si="14"/>
        <v>0.16700000000000001</v>
      </c>
      <c r="E63" s="28">
        <f t="shared" si="14"/>
        <v>0.20685000000000001</v>
      </c>
      <c r="F63" s="28">
        <f t="shared" si="14"/>
        <v>0.2467</v>
      </c>
      <c r="G63" s="28">
        <f t="shared" si="14"/>
        <v>0.2467</v>
      </c>
      <c r="H63" s="28">
        <f t="shared" si="14"/>
        <v>0.2467</v>
      </c>
      <c r="I63" s="28">
        <f t="shared" si="14"/>
        <v>0.20685000000000001</v>
      </c>
      <c r="J63" s="28">
        <f t="shared" si="14"/>
        <v>0.16700000000000001</v>
      </c>
      <c r="K63" s="28">
        <f t="shared" si="14"/>
        <v>0.16700000000000001</v>
      </c>
      <c r="L63" s="28">
        <f t="shared" si="14"/>
        <v>8.3500000000000005E-2</v>
      </c>
      <c r="M63" s="28">
        <f t="shared" si="15"/>
        <v>8.3500000000000005E-2</v>
      </c>
      <c r="N63" s="28">
        <f t="shared" si="15"/>
        <v>0</v>
      </c>
      <c r="O63" s="28">
        <f t="shared" si="15"/>
        <v>0</v>
      </c>
      <c r="P63" s="28">
        <f>(O47+D47)/2</f>
        <v>8.3500000000000005E-2</v>
      </c>
    </row>
    <row r="64" spans="1:17">
      <c r="A64" t="s">
        <v>43</v>
      </c>
      <c r="B64" s="147">
        <v>0</v>
      </c>
      <c r="C64" s="23" t="s">
        <v>41</v>
      </c>
      <c r="D64" s="28">
        <f t="shared" si="14"/>
        <v>0.29609999999999997</v>
      </c>
      <c r="E64" s="28">
        <f t="shared" si="14"/>
        <v>0.36134999999999995</v>
      </c>
      <c r="F64" s="28">
        <f t="shared" si="14"/>
        <v>0.42659999999999998</v>
      </c>
      <c r="G64" s="28">
        <f t="shared" si="14"/>
        <v>0.42659999999999998</v>
      </c>
      <c r="H64" s="28">
        <f t="shared" si="14"/>
        <v>0.42659999999999998</v>
      </c>
      <c r="I64" s="28">
        <f t="shared" si="14"/>
        <v>0.36134999999999995</v>
      </c>
      <c r="J64" s="28">
        <f t="shared" si="14"/>
        <v>0.29609999999999997</v>
      </c>
      <c r="K64" s="28">
        <f t="shared" si="14"/>
        <v>0.29609999999999997</v>
      </c>
      <c r="L64" s="28">
        <f t="shared" si="14"/>
        <v>0.14804999999999999</v>
      </c>
      <c r="M64" s="28">
        <f t="shared" si="15"/>
        <v>0.14804999999999999</v>
      </c>
      <c r="N64" s="28">
        <f t="shared" si="15"/>
        <v>0</v>
      </c>
      <c r="O64" s="28">
        <f t="shared" si="15"/>
        <v>0</v>
      </c>
      <c r="P64" s="28">
        <f>(O48+D48)/2</f>
        <v>0.14804999999999999</v>
      </c>
    </row>
    <row r="65" spans="1:16">
      <c r="A65"/>
      <c r="B65"/>
      <c r="C65" s="29"/>
      <c r="D65" s="49"/>
      <c r="E65" s="49"/>
      <c r="F65" s="34"/>
      <c r="G65" s="49"/>
      <c r="H65" s="49"/>
      <c r="I65" s="49"/>
      <c r="J65" s="49"/>
      <c r="K65" s="49"/>
      <c r="L65" s="49"/>
      <c r="M65" s="49"/>
      <c r="N65" s="49"/>
      <c r="O65" s="49"/>
      <c r="P65" s="49"/>
    </row>
    <row r="66" spans="1:16">
      <c r="A66" s="6" t="s">
        <v>44</v>
      </c>
      <c r="B66" s="27"/>
      <c r="C66" s="23"/>
      <c r="D66" s="49"/>
      <c r="E66" s="49"/>
      <c r="F66" s="34"/>
      <c r="G66" s="49"/>
      <c r="H66" s="49"/>
      <c r="I66" s="49"/>
      <c r="J66" s="49"/>
      <c r="K66" s="49"/>
      <c r="L66" s="49"/>
      <c r="M66" s="49"/>
      <c r="N66" s="49"/>
      <c r="O66" s="49"/>
      <c r="P66" s="49"/>
    </row>
    <row r="67" spans="1:16">
      <c r="A67" t="s">
        <v>40</v>
      </c>
      <c r="B67"/>
      <c r="C67"/>
      <c r="D67" s="25">
        <f>ROUND((D$59*D62)*D78,0)+ROUND(($B62*D$60)*D78,0)</f>
        <v>5541227</v>
      </c>
      <c r="E67" s="25">
        <f t="shared" ref="E67:L67" si="16">ROUND((E$59*E62)*E78,0)+ROUND(($B62*E$60)*E78,0)</f>
        <v>11080686</v>
      </c>
      <c r="F67" s="25">
        <f t="shared" si="16"/>
        <v>0</v>
      </c>
      <c r="G67" s="25">
        <f t="shared" si="16"/>
        <v>0</v>
      </c>
      <c r="H67" s="25">
        <f t="shared" si="16"/>
        <v>0</v>
      </c>
      <c r="I67" s="25">
        <f t="shared" si="16"/>
        <v>0</v>
      </c>
      <c r="J67" s="25">
        <f t="shared" si="16"/>
        <v>0</v>
      </c>
      <c r="K67" s="25">
        <f t="shared" si="16"/>
        <v>0</v>
      </c>
      <c r="L67" s="25">
        <f t="shared" si="16"/>
        <v>0</v>
      </c>
      <c r="M67" s="25">
        <f t="shared" ref="M67:P69" si="17">ROUND((M$59*M62)*L78,0)+ROUND(($B62*M$60)*L78,0)</f>
        <v>2073044</v>
      </c>
      <c r="N67" s="25">
        <f t="shared" si="17"/>
        <v>1376305</v>
      </c>
      <c r="O67" s="25">
        <f>ROUND((O$59*O62)*N78,0)+ROUND(($B62*O$60)*N78,0)</f>
        <v>1371764</v>
      </c>
      <c r="P67" s="25">
        <f t="shared" si="17"/>
        <v>1964246</v>
      </c>
    </row>
    <row r="68" spans="1:16">
      <c r="A68" t="s">
        <v>42</v>
      </c>
      <c r="B68"/>
      <c r="C68"/>
      <c r="D68" s="25">
        <f t="shared" ref="D68:L69" si="18">ROUND((D$59*D63)*D79,0)+ROUND(($B63*D$60)*D79,0)</f>
        <v>818319</v>
      </c>
      <c r="E68" s="25">
        <f t="shared" si="18"/>
        <v>2005884</v>
      </c>
      <c r="F68" s="25">
        <f t="shared" si="18"/>
        <v>0</v>
      </c>
      <c r="G68" s="25">
        <f t="shared" si="18"/>
        <v>0</v>
      </c>
      <c r="H68" s="25">
        <f t="shared" si="18"/>
        <v>0</v>
      </c>
      <c r="I68" s="25">
        <f t="shared" si="18"/>
        <v>0</v>
      </c>
      <c r="J68" s="25">
        <f t="shared" si="18"/>
        <v>0</v>
      </c>
      <c r="K68" s="25">
        <f t="shared" si="18"/>
        <v>0</v>
      </c>
      <c r="L68" s="25">
        <f t="shared" si="18"/>
        <v>0</v>
      </c>
      <c r="M68" s="25">
        <f t="shared" si="17"/>
        <v>216355</v>
      </c>
      <c r="N68" s="25">
        <f t="shared" si="17"/>
        <v>99295</v>
      </c>
      <c r="O68" s="25">
        <f t="shared" si="17"/>
        <v>99072</v>
      </c>
      <c r="P68" s="25">
        <f t="shared" si="17"/>
        <v>201820</v>
      </c>
    </row>
    <row r="69" spans="1:16">
      <c r="A69" t="s">
        <v>43</v>
      </c>
      <c r="B69"/>
      <c r="C69"/>
      <c r="D69" s="25">
        <f t="shared" si="18"/>
        <v>10324</v>
      </c>
      <c r="E69" s="25">
        <f t="shared" si="18"/>
        <v>26346</v>
      </c>
      <c r="F69" s="25">
        <f t="shared" si="18"/>
        <v>0</v>
      </c>
      <c r="G69" s="25">
        <f t="shared" si="18"/>
        <v>0</v>
      </c>
      <c r="H69" s="25">
        <f t="shared" si="18"/>
        <v>0</v>
      </c>
      <c r="I69" s="25">
        <f t="shared" si="18"/>
        <v>0</v>
      </c>
      <c r="J69" s="25">
        <f t="shared" si="18"/>
        <v>0</v>
      </c>
      <c r="K69" s="25">
        <f t="shared" si="18"/>
        <v>0</v>
      </c>
      <c r="L69" s="25">
        <f t="shared" si="18"/>
        <v>0</v>
      </c>
      <c r="M69" s="25">
        <f t="shared" si="17"/>
        <v>1487</v>
      </c>
      <c r="N69" s="25">
        <f t="shared" si="17"/>
        <v>0</v>
      </c>
      <c r="O69" s="25">
        <f t="shared" si="17"/>
        <v>0</v>
      </c>
      <c r="P69" s="25">
        <f t="shared" si="17"/>
        <v>1361</v>
      </c>
    </row>
    <row r="70" spans="1:16">
      <c r="A70" t="s">
        <v>50</v>
      </c>
      <c r="B70"/>
      <c r="C70"/>
      <c r="D70" s="30">
        <f t="shared" ref="D70:L70" si="19">SUM(D67:D69)</f>
        <v>6369870</v>
      </c>
      <c r="E70" s="30">
        <f t="shared" si="19"/>
        <v>13112916</v>
      </c>
      <c r="F70" s="30">
        <f t="shared" si="19"/>
        <v>0</v>
      </c>
      <c r="G70" s="30">
        <f t="shared" si="19"/>
        <v>0</v>
      </c>
      <c r="H70" s="30">
        <f t="shared" si="19"/>
        <v>0</v>
      </c>
      <c r="I70" s="30">
        <f t="shared" si="19"/>
        <v>0</v>
      </c>
      <c r="J70" s="30">
        <f t="shared" si="19"/>
        <v>0</v>
      </c>
      <c r="K70" s="30">
        <f t="shared" si="19"/>
        <v>0</v>
      </c>
      <c r="L70" s="30">
        <f t="shared" si="19"/>
        <v>0</v>
      </c>
      <c r="M70" s="30">
        <f t="shared" ref="M70:P70" si="20">SUM(M67:M69)</f>
        <v>2290886</v>
      </c>
      <c r="N70" s="30">
        <f t="shared" si="20"/>
        <v>1475600</v>
      </c>
      <c r="O70" s="30">
        <f t="shared" si="20"/>
        <v>1470836</v>
      </c>
      <c r="P70" s="30">
        <f t="shared" si="20"/>
        <v>2167427</v>
      </c>
    </row>
    <row r="71" spans="1:16" customFormat="1"/>
    <row r="72" spans="1:16" customFormat="1"/>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s="2" t="s">
        <v>53</v>
      </c>
      <c r="B76"/>
      <c r="C76"/>
      <c r="D76"/>
      <c r="E76"/>
      <c r="F76"/>
      <c r="G76"/>
      <c r="H76"/>
      <c r="I76"/>
      <c r="J76"/>
      <c r="K76"/>
      <c r="L76"/>
      <c r="M76"/>
      <c r="N76"/>
      <c r="O76"/>
      <c r="P76"/>
    </row>
    <row r="77" spans="1:16">
      <c r="A77" s="2"/>
      <c r="B77" t="s">
        <v>54</v>
      </c>
      <c r="C77" s="33">
        <v>39326</v>
      </c>
      <c r="D77" s="33">
        <v>39356</v>
      </c>
      <c r="E77" s="33">
        <v>39387</v>
      </c>
      <c r="F77" s="33">
        <v>39417</v>
      </c>
      <c r="G77" s="33">
        <v>39448</v>
      </c>
      <c r="H77" s="33">
        <v>39479</v>
      </c>
      <c r="I77" s="33">
        <v>39508</v>
      </c>
      <c r="J77" s="33">
        <v>39539</v>
      </c>
      <c r="K77" s="33">
        <v>39569</v>
      </c>
      <c r="L77" s="33">
        <v>39600</v>
      </c>
      <c r="M77" s="33">
        <v>39630</v>
      </c>
      <c r="N77" s="33">
        <v>39661</v>
      </c>
      <c r="O77" s="33">
        <v>39692</v>
      </c>
      <c r="P77" s="36" t="s">
        <v>55</v>
      </c>
    </row>
    <row r="78" spans="1:16">
      <c r="A78" t="s">
        <v>56</v>
      </c>
      <c r="B78" s="37" t="s">
        <v>57</v>
      </c>
      <c r="C78" s="25">
        <v>127898</v>
      </c>
      <c r="D78" s="25">
        <v>128371</v>
      </c>
      <c r="E78" s="25">
        <v>129218</v>
      </c>
      <c r="F78" s="25">
        <v>129424</v>
      </c>
      <c r="G78" s="25">
        <v>129776</v>
      </c>
      <c r="H78" s="25">
        <v>129941</v>
      </c>
      <c r="I78" s="25">
        <v>129950</v>
      </c>
      <c r="J78" s="25">
        <v>129861</v>
      </c>
      <c r="K78" s="25">
        <v>129773</v>
      </c>
      <c r="L78" s="25">
        <v>129580</v>
      </c>
      <c r="M78" s="25">
        <v>129559</v>
      </c>
      <c r="N78" s="25">
        <v>129589</v>
      </c>
      <c r="O78" s="25">
        <v>130026</v>
      </c>
      <c r="P78" s="25">
        <f>SUM(D78:O78)</f>
        <v>1555068</v>
      </c>
    </row>
    <row r="79" spans="1:16">
      <c r="A79" t="s">
        <v>58</v>
      </c>
      <c r="B79" s="37" t="s">
        <v>59</v>
      </c>
      <c r="C79" s="25">
        <v>11551</v>
      </c>
      <c r="D79" s="25">
        <v>11552</v>
      </c>
      <c r="E79" s="25">
        <v>11597</v>
      </c>
      <c r="F79" s="25">
        <v>11702</v>
      </c>
      <c r="G79" s="25">
        <v>11689</v>
      </c>
      <c r="H79" s="25">
        <v>11691</v>
      </c>
      <c r="I79" s="25">
        <v>11700</v>
      </c>
      <c r="J79" s="25">
        <v>11691</v>
      </c>
      <c r="K79" s="25">
        <v>11683</v>
      </c>
      <c r="L79" s="25">
        <v>11724</v>
      </c>
      <c r="M79" s="25">
        <v>11684</v>
      </c>
      <c r="N79" s="25">
        <v>11699</v>
      </c>
      <c r="O79" s="25">
        <v>11692</v>
      </c>
      <c r="P79" s="25">
        <f>SUM(D79:O79)</f>
        <v>140104</v>
      </c>
    </row>
    <row r="80" spans="1:16">
      <c r="A80" t="s">
        <v>60</v>
      </c>
      <c r="B80" s="37" t="s">
        <v>61</v>
      </c>
      <c r="C80" s="25">
        <v>95</v>
      </c>
      <c r="D80" s="25">
        <v>93</v>
      </c>
      <c r="E80" s="25">
        <v>92</v>
      </c>
      <c r="F80" s="25">
        <v>93</v>
      </c>
      <c r="G80" s="25">
        <v>92</v>
      </c>
      <c r="H80" s="25">
        <v>90</v>
      </c>
      <c r="I80" s="25">
        <v>90</v>
      </c>
      <c r="J80" s="25">
        <v>87</v>
      </c>
      <c r="K80" s="25">
        <v>87</v>
      </c>
      <c r="L80" s="25">
        <v>86</v>
      </c>
      <c r="M80" s="25">
        <v>87</v>
      </c>
      <c r="N80" s="25">
        <v>87</v>
      </c>
      <c r="O80" s="25">
        <v>86</v>
      </c>
      <c r="P80" s="25">
        <f>SUM(D80:O80)</f>
        <v>1070</v>
      </c>
    </row>
    <row r="81" spans="1:16">
      <c r="A81" t="s">
        <v>62</v>
      </c>
      <c r="B81" s="37" t="s">
        <v>63</v>
      </c>
      <c r="C81" s="25">
        <v>24</v>
      </c>
      <c r="D81" s="25">
        <v>23</v>
      </c>
      <c r="E81" s="25">
        <v>23</v>
      </c>
      <c r="F81" s="25">
        <v>23</v>
      </c>
      <c r="G81" s="25">
        <v>23</v>
      </c>
      <c r="H81" s="25">
        <v>23</v>
      </c>
      <c r="I81" s="25">
        <v>23</v>
      </c>
      <c r="J81" s="25">
        <v>23</v>
      </c>
      <c r="K81" s="25">
        <v>23</v>
      </c>
      <c r="L81" s="25">
        <v>23</v>
      </c>
      <c r="M81" s="25">
        <v>24</v>
      </c>
      <c r="N81" s="25">
        <v>24</v>
      </c>
      <c r="O81" s="25">
        <v>25</v>
      </c>
      <c r="P81" s="25">
        <f>SUM(D81:O81)</f>
        <v>280</v>
      </c>
    </row>
    <row r="82" spans="1:16">
      <c r="A82" t="s">
        <v>50</v>
      </c>
      <c r="B82"/>
      <c r="C82" s="13">
        <f t="shared" ref="C82:P82" si="21">SUM(C78:C81)</f>
        <v>139568</v>
      </c>
      <c r="D82" s="13">
        <f t="shared" si="21"/>
        <v>140039</v>
      </c>
      <c r="E82" s="13">
        <f t="shared" si="21"/>
        <v>140930</v>
      </c>
      <c r="F82" s="13">
        <f t="shared" si="21"/>
        <v>141242</v>
      </c>
      <c r="G82" s="13">
        <f t="shared" si="21"/>
        <v>141580</v>
      </c>
      <c r="H82" s="13">
        <f t="shared" si="21"/>
        <v>141745</v>
      </c>
      <c r="I82" s="13">
        <f t="shared" si="21"/>
        <v>141763</v>
      </c>
      <c r="J82" s="13">
        <f t="shared" si="21"/>
        <v>141662</v>
      </c>
      <c r="K82" s="13">
        <f t="shared" si="21"/>
        <v>141566</v>
      </c>
      <c r="L82" s="13">
        <f t="shared" si="21"/>
        <v>141413</v>
      </c>
      <c r="M82" s="13">
        <f t="shared" si="21"/>
        <v>141354</v>
      </c>
      <c r="N82" s="13">
        <f t="shared" si="21"/>
        <v>141399</v>
      </c>
      <c r="O82" s="13">
        <f t="shared" si="21"/>
        <v>141829</v>
      </c>
      <c r="P82" s="13">
        <f t="shared" si="21"/>
        <v>1696522</v>
      </c>
    </row>
    <row r="83" spans="1:16">
      <c r="A83" s="68"/>
      <c r="B83" s="68"/>
      <c r="C83" s="68"/>
      <c r="D83" s="68"/>
      <c r="E83" s="68"/>
      <c r="F83" s="68"/>
      <c r="G83" s="68"/>
      <c r="H83" s="68"/>
      <c r="I83" s="68"/>
      <c r="J83" s="68"/>
      <c r="K83" s="68"/>
      <c r="L83" s="68"/>
      <c r="M83" s="68"/>
      <c r="N83" s="68"/>
      <c r="O83" s="68"/>
      <c r="P83" s="68"/>
    </row>
    <row r="84" spans="1:16">
      <c r="A84" s="68"/>
      <c r="B84" s="68"/>
      <c r="C84" s="68"/>
      <c r="D84" s="68"/>
      <c r="E84" s="68"/>
      <c r="F84" s="68"/>
      <c r="G84" s="68"/>
      <c r="H84" s="68"/>
      <c r="I84" s="68"/>
      <c r="J84" s="68"/>
      <c r="K84" s="68"/>
      <c r="L84" s="68"/>
      <c r="M84" s="68"/>
      <c r="N84" s="68"/>
      <c r="O84" s="68"/>
      <c r="P84" s="68"/>
    </row>
    <row r="85" spans="1:16">
      <c r="A85" s="159" t="s">
        <v>165</v>
      </c>
      <c r="B85" s="159"/>
      <c r="C85" s="159"/>
      <c r="D85" s="159"/>
      <c r="E85" s="159"/>
      <c r="F85" s="159"/>
      <c r="G85" s="159"/>
      <c r="H85" s="159"/>
      <c r="I85" s="159"/>
      <c r="J85" s="159"/>
      <c r="K85" s="159"/>
      <c r="L85" s="159"/>
      <c r="M85" s="159"/>
      <c r="N85" s="159"/>
      <c r="O85" s="159"/>
      <c r="P85" s="159"/>
    </row>
    <row r="86" spans="1:16">
      <c r="A86" s="11" t="s">
        <v>138</v>
      </c>
      <c r="B86" s="68"/>
      <c r="C86" s="68"/>
      <c r="D86" s="68"/>
      <c r="E86" s="68"/>
      <c r="F86" s="68"/>
      <c r="G86" s="68"/>
      <c r="H86" s="68"/>
      <c r="I86" s="68"/>
      <c r="J86" s="68"/>
      <c r="K86" s="68"/>
      <c r="L86" s="68"/>
      <c r="M86" s="68"/>
      <c r="N86" s="68"/>
      <c r="O86" s="68"/>
      <c r="P86" s="68"/>
    </row>
    <row r="87" spans="1:16">
      <c r="A87" s="90" t="s">
        <v>139</v>
      </c>
      <c r="B87" s="91"/>
      <c r="C87" s="91"/>
      <c r="D87" s="91"/>
      <c r="E87" s="91"/>
      <c r="F87" s="91"/>
      <c r="G87" s="91"/>
      <c r="H87" s="91"/>
      <c r="I87" s="91"/>
      <c r="J87" s="91"/>
      <c r="K87" s="91"/>
      <c r="L87" s="91"/>
      <c r="M87" s="91"/>
      <c r="N87" s="91"/>
      <c r="O87" s="91"/>
      <c r="P87" s="91"/>
    </row>
    <row r="88" spans="1:16">
      <c r="A88" s="91"/>
      <c r="B88" s="91"/>
      <c r="C88" s="91"/>
      <c r="D88" s="91"/>
      <c r="E88" s="91"/>
      <c r="F88" s="91"/>
      <c r="G88" s="91"/>
      <c r="H88" s="91"/>
      <c r="I88" s="91"/>
      <c r="J88" s="91"/>
      <c r="K88" s="91"/>
      <c r="L88" s="91"/>
      <c r="M88" s="91"/>
      <c r="N88" s="91"/>
      <c r="O88" s="91"/>
      <c r="P88" s="91"/>
    </row>
    <row r="89" spans="1:16">
      <c r="A89" s="92" t="s">
        <v>35</v>
      </c>
      <c r="B89" s="91"/>
      <c r="C89" s="91"/>
      <c r="D89" s="91"/>
      <c r="E89" s="91"/>
      <c r="F89" s="91"/>
      <c r="G89" s="91"/>
      <c r="H89" s="91"/>
      <c r="I89" s="91"/>
      <c r="J89" s="91"/>
      <c r="K89" s="91"/>
      <c r="L89" s="91"/>
      <c r="M89" s="91"/>
      <c r="N89" s="91"/>
      <c r="O89" s="91"/>
      <c r="P89" s="91"/>
    </row>
    <row r="90" spans="1:16">
      <c r="A90" s="91"/>
      <c r="B90" s="91"/>
      <c r="C90" s="91"/>
      <c r="D90" s="93">
        <v>40544</v>
      </c>
      <c r="E90" s="93">
        <v>40575</v>
      </c>
      <c r="F90" s="93">
        <v>40603</v>
      </c>
      <c r="G90" s="93">
        <v>40634</v>
      </c>
      <c r="H90" s="93">
        <v>40664</v>
      </c>
      <c r="I90" s="93">
        <v>40695</v>
      </c>
      <c r="J90" s="93">
        <v>40725</v>
      </c>
      <c r="K90" s="93">
        <v>40756</v>
      </c>
      <c r="L90" s="93">
        <v>40787</v>
      </c>
      <c r="M90" s="93">
        <v>40817</v>
      </c>
      <c r="N90" s="93">
        <v>40848</v>
      </c>
      <c r="O90" s="93">
        <v>40513</v>
      </c>
      <c r="P90" s="94" t="s">
        <v>17</v>
      </c>
    </row>
    <row r="91" spans="1:16">
      <c r="A91" s="95" t="s">
        <v>140</v>
      </c>
      <c r="B91" s="91"/>
      <c r="C91" s="91"/>
      <c r="D91" s="96">
        <v>1120</v>
      </c>
      <c r="E91" s="96">
        <v>913</v>
      </c>
      <c r="F91" s="96">
        <v>776</v>
      </c>
      <c r="G91" s="96">
        <v>542</v>
      </c>
      <c r="H91" s="96">
        <v>323</v>
      </c>
      <c r="I91" s="96">
        <v>143</v>
      </c>
      <c r="J91" s="96">
        <v>35</v>
      </c>
      <c r="K91" s="96">
        <v>34</v>
      </c>
      <c r="L91" s="96">
        <v>185</v>
      </c>
      <c r="M91" s="96">
        <v>540</v>
      </c>
      <c r="N91" s="96">
        <v>889</v>
      </c>
      <c r="O91" s="96">
        <v>1157</v>
      </c>
      <c r="P91" s="96">
        <f>SUM(D91:O91)</f>
        <v>6657</v>
      </c>
    </row>
    <row r="92" spans="1:16">
      <c r="A92" s="91" t="s">
        <v>37</v>
      </c>
      <c r="B92" s="91"/>
      <c r="C92" s="91"/>
      <c r="D92" s="96">
        <v>1120</v>
      </c>
      <c r="E92" s="96">
        <v>913</v>
      </c>
      <c r="F92" s="96">
        <v>776</v>
      </c>
      <c r="G92" s="96">
        <v>542</v>
      </c>
      <c r="H92" s="96">
        <v>323</v>
      </c>
      <c r="I92" s="96">
        <v>143</v>
      </c>
      <c r="J92" s="96">
        <v>35</v>
      </c>
      <c r="K92" s="96">
        <v>34</v>
      </c>
      <c r="L92" s="96">
        <v>185</v>
      </c>
      <c r="M92" s="96">
        <v>540</v>
      </c>
      <c r="N92" s="96">
        <v>889</v>
      </c>
      <c r="O92" s="96">
        <v>1096</v>
      </c>
      <c r="P92" s="96">
        <f>SUM(D92:O92)</f>
        <v>6596</v>
      </c>
    </row>
    <row r="93" spans="1:16">
      <c r="A93" s="90" t="s">
        <v>141</v>
      </c>
      <c r="B93" s="91"/>
      <c r="C93" s="91"/>
      <c r="D93" s="97">
        <f>D91-D92</f>
        <v>0</v>
      </c>
      <c r="E93" s="97">
        <f>E91-E92</f>
        <v>0</v>
      </c>
      <c r="F93" s="97">
        <f>F91-F92</f>
        <v>0</v>
      </c>
      <c r="G93" s="97">
        <f>G91-G92</f>
        <v>0</v>
      </c>
      <c r="H93" s="97">
        <f t="shared" ref="H93:O93" si="22">H91-H92</f>
        <v>0</v>
      </c>
      <c r="I93" s="97">
        <f t="shared" si="22"/>
        <v>0</v>
      </c>
      <c r="J93" s="97">
        <f t="shared" si="22"/>
        <v>0</v>
      </c>
      <c r="K93" s="97">
        <f t="shared" si="22"/>
        <v>0</v>
      </c>
      <c r="L93" s="97">
        <f t="shared" si="22"/>
        <v>0</v>
      </c>
      <c r="M93" s="97">
        <f t="shared" si="22"/>
        <v>0</v>
      </c>
      <c r="N93" s="97">
        <f t="shared" si="22"/>
        <v>0</v>
      </c>
      <c r="O93" s="97">
        <f t="shared" si="22"/>
        <v>61</v>
      </c>
      <c r="P93" s="97">
        <f>SUM(D93:O93)</f>
        <v>61</v>
      </c>
    </row>
    <row r="94" spans="1:16">
      <c r="A94" s="90"/>
      <c r="B94" s="98"/>
      <c r="C94" s="99" t="s">
        <v>39</v>
      </c>
      <c r="D94" s="91"/>
      <c r="E94" s="91"/>
      <c r="F94" s="91"/>
      <c r="G94" s="91"/>
      <c r="H94" s="91"/>
      <c r="I94" s="91"/>
      <c r="J94" s="91"/>
      <c r="K94" s="91"/>
      <c r="L94" s="91"/>
      <c r="M94" s="91"/>
      <c r="N94" s="91"/>
      <c r="O94" s="91"/>
      <c r="P94" s="91"/>
    </row>
    <row r="95" spans="1:16">
      <c r="A95" s="91" t="s">
        <v>40</v>
      </c>
      <c r="B95" s="91"/>
      <c r="C95" s="94" t="s">
        <v>142</v>
      </c>
      <c r="D95" s="100">
        <v>0.1002</v>
      </c>
      <c r="E95" s="100">
        <v>0.1002</v>
      </c>
      <c r="F95" s="100">
        <v>0.1002</v>
      </c>
      <c r="G95" s="100">
        <v>8.77E-2</v>
      </c>
      <c r="H95" s="100">
        <v>8.77E-2</v>
      </c>
      <c r="I95" s="100">
        <v>8.77E-2</v>
      </c>
      <c r="J95" s="100">
        <v>0</v>
      </c>
      <c r="K95" s="100">
        <v>0</v>
      </c>
      <c r="L95" s="100">
        <v>0</v>
      </c>
      <c r="M95" s="100">
        <v>8.77E-2</v>
      </c>
      <c r="N95" s="100">
        <v>8.77E-2</v>
      </c>
      <c r="O95" s="100">
        <v>0.1002</v>
      </c>
      <c r="P95" s="91"/>
    </row>
    <row r="96" spans="1:16">
      <c r="A96" s="91" t="s">
        <v>42</v>
      </c>
      <c r="B96" s="91"/>
      <c r="C96" s="94" t="s">
        <v>142</v>
      </c>
      <c r="D96" s="100">
        <v>0.2467</v>
      </c>
      <c r="E96" s="100">
        <v>0.2467</v>
      </c>
      <c r="F96" s="100">
        <v>0.2467</v>
      </c>
      <c r="G96" s="100">
        <v>0.16700000000000001</v>
      </c>
      <c r="H96" s="100">
        <v>0.16700000000000001</v>
      </c>
      <c r="I96" s="100">
        <v>0.16700000000000001</v>
      </c>
      <c r="J96" s="100">
        <v>0</v>
      </c>
      <c r="K96" s="100">
        <v>0</v>
      </c>
      <c r="L96" s="100">
        <v>0</v>
      </c>
      <c r="M96" s="100">
        <v>0.16700000000000001</v>
      </c>
      <c r="N96" s="100">
        <v>0.16700000000000001</v>
      </c>
      <c r="O96" s="100">
        <v>0.2467</v>
      </c>
      <c r="P96" s="91"/>
    </row>
    <row r="97" spans="1:16">
      <c r="A97" s="91" t="s">
        <v>43</v>
      </c>
      <c r="B97" s="91"/>
      <c r="C97" s="94" t="s">
        <v>142</v>
      </c>
      <c r="D97" s="100">
        <v>0.42659999999999998</v>
      </c>
      <c r="E97" s="100">
        <v>0.42659999999999998</v>
      </c>
      <c r="F97" s="100">
        <v>0.42659999999999998</v>
      </c>
      <c r="G97" s="100">
        <v>0.29609999999999997</v>
      </c>
      <c r="H97" s="100">
        <v>0.29609999999999997</v>
      </c>
      <c r="I97" s="100">
        <v>0.29609999999999997</v>
      </c>
      <c r="J97" s="100">
        <v>0</v>
      </c>
      <c r="K97" s="100">
        <v>0</v>
      </c>
      <c r="L97" s="100">
        <v>0</v>
      </c>
      <c r="M97" s="100">
        <v>0.29609999999999997</v>
      </c>
      <c r="N97" s="100">
        <v>0.29609999999999997</v>
      </c>
      <c r="O97" s="100">
        <v>0.42659999999999998</v>
      </c>
      <c r="P97" s="91"/>
    </row>
    <row r="98" spans="1:16">
      <c r="A98" s="91"/>
      <c r="B98" s="101"/>
      <c r="C98" s="91"/>
      <c r="D98" s="91"/>
      <c r="E98" s="91"/>
      <c r="F98" s="91"/>
      <c r="G98" s="91"/>
      <c r="H98" s="91"/>
      <c r="I98" s="91"/>
      <c r="J98" s="91"/>
      <c r="K98" s="91"/>
      <c r="L98" s="91"/>
      <c r="M98" s="91"/>
      <c r="N98" s="91"/>
      <c r="O98" s="91"/>
      <c r="P98" s="91"/>
    </row>
    <row r="99" spans="1:16">
      <c r="A99" s="92" t="s">
        <v>44</v>
      </c>
      <c r="B99" s="101"/>
      <c r="C99" s="101"/>
      <c r="D99" s="91"/>
      <c r="E99" s="91"/>
      <c r="F99" s="91"/>
      <c r="G99" s="91"/>
      <c r="H99" s="91"/>
      <c r="I99" s="91"/>
      <c r="J99" s="91"/>
      <c r="K99" s="91"/>
      <c r="L99" s="91"/>
      <c r="M99" s="91"/>
      <c r="N99" s="91"/>
      <c r="O99" s="91"/>
      <c r="P99" s="91"/>
    </row>
    <row r="100" spans="1:16">
      <c r="A100" s="91" t="s">
        <v>40</v>
      </c>
      <c r="B100" s="91"/>
      <c r="C100" s="91"/>
      <c r="D100" s="102">
        <f>ROUND(D$93*D95*D107,0)</f>
        <v>0</v>
      </c>
      <c r="E100" s="102">
        <f t="shared" ref="E100:O100" si="23">ROUND(E$93*E95*E107,0)</f>
        <v>0</v>
      </c>
      <c r="F100" s="102">
        <f t="shared" si="23"/>
        <v>0</v>
      </c>
      <c r="G100" s="102">
        <f t="shared" si="23"/>
        <v>0</v>
      </c>
      <c r="H100" s="102">
        <f t="shared" si="23"/>
        <v>0</v>
      </c>
      <c r="I100" s="102">
        <f t="shared" si="23"/>
        <v>0</v>
      </c>
      <c r="J100" s="102">
        <f t="shared" si="23"/>
        <v>0</v>
      </c>
      <c r="K100" s="102">
        <f t="shared" si="23"/>
        <v>0</v>
      </c>
      <c r="L100" s="102">
        <f t="shared" si="23"/>
        <v>0</v>
      </c>
      <c r="M100" s="102">
        <f t="shared" si="23"/>
        <v>0</v>
      </c>
      <c r="N100" s="102">
        <f t="shared" si="23"/>
        <v>0</v>
      </c>
      <c r="O100" s="102">
        <f t="shared" si="23"/>
        <v>809310</v>
      </c>
      <c r="P100" s="102">
        <f>SUM(D100:O100)</f>
        <v>809310</v>
      </c>
    </row>
    <row r="101" spans="1:16">
      <c r="A101" s="91" t="s">
        <v>42</v>
      </c>
      <c r="B101" s="91"/>
      <c r="C101" s="91"/>
      <c r="D101" s="102">
        <f t="shared" ref="D101:O102" si="24">ROUND(D$93*D96*D108,0)</f>
        <v>0</v>
      </c>
      <c r="E101" s="102">
        <f t="shared" si="24"/>
        <v>0</v>
      </c>
      <c r="F101" s="102">
        <f t="shared" si="24"/>
        <v>0</v>
      </c>
      <c r="G101" s="102">
        <f t="shared" si="24"/>
        <v>0</v>
      </c>
      <c r="H101" s="102">
        <f t="shared" si="24"/>
        <v>0</v>
      </c>
      <c r="I101" s="102">
        <f t="shared" si="24"/>
        <v>0</v>
      </c>
      <c r="J101" s="102">
        <f t="shared" si="24"/>
        <v>0</v>
      </c>
      <c r="K101" s="102">
        <f t="shared" si="24"/>
        <v>0</v>
      </c>
      <c r="L101" s="102">
        <f t="shared" si="24"/>
        <v>0</v>
      </c>
      <c r="M101" s="102">
        <f t="shared" si="24"/>
        <v>0</v>
      </c>
      <c r="N101" s="102">
        <f t="shared" si="24"/>
        <v>0</v>
      </c>
      <c r="O101" s="102">
        <f t="shared" si="24"/>
        <v>178207</v>
      </c>
      <c r="P101" s="102">
        <f>SUM(D101:O101)</f>
        <v>178207</v>
      </c>
    </row>
    <row r="102" spans="1:16">
      <c r="A102" s="91" t="s">
        <v>43</v>
      </c>
      <c r="B102" s="91"/>
      <c r="C102" s="91"/>
      <c r="D102" s="102">
        <f t="shared" si="24"/>
        <v>0</v>
      </c>
      <c r="E102" s="102">
        <f t="shared" si="24"/>
        <v>0</v>
      </c>
      <c r="F102" s="102">
        <f t="shared" si="24"/>
        <v>0</v>
      </c>
      <c r="G102" s="102">
        <f t="shared" si="24"/>
        <v>0</v>
      </c>
      <c r="H102" s="102">
        <f t="shared" si="24"/>
        <v>0</v>
      </c>
      <c r="I102" s="102">
        <f t="shared" si="24"/>
        <v>0</v>
      </c>
      <c r="J102" s="102">
        <f t="shared" si="24"/>
        <v>0</v>
      </c>
      <c r="K102" s="102">
        <f t="shared" si="24"/>
        <v>0</v>
      </c>
      <c r="L102" s="102">
        <f t="shared" si="24"/>
        <v>0</v>
      </c>
      <c r="M102" s="102">
        <f t="shared" si="24"/>
        <v>0</v>
      </c>
      <c r="N102" s="102">
        <f t="shared" si="24"/>
        <v>0</v>
      </c>
      <c r="O102" s="102">
        <f t="shared" si="24"/>
        <v>2238</v>
      </c>
      <c r="P102" s="102">
        <f>SUM(D102:O102)</f>
        <v>2238</v>
      </c>
    </row>
    <row r="103" spans="1:16">
      <c r="A103" s="91" t="s">
        <v>45</v>
      </c>
      <c r="B103" s="91"/>
      <c r="C103" s="91"/>
      <c r="D103" s="103">
        <f>SUM(D100:D102)</f>
        <v>0</v>
      </c>
      <c r="E103" s="103">
        <f>SUM(E100:E102)</f>
        <v>0</v>
      </c>
      <c r="F103" s="103">
        <f>SUM(F100:F102)</f>
        <v>0</v>
      </c>
      <c r="G103" s="103">
        <f t="shared" ref="G103:P103" si="25">SUM(G100:G102)</f>
        <v>0</v>
      </c>
      <c r="H103" s="103">
        <f t="shared" si="25"/>
        <v>0</v>
      </c>
      <c r="I103" s="103">
        <f t="shared" si="25"/>
        <v>0</v>
      </c>
      <c r="J103" s="103">
        <f t="shared" si="25"/>
        <v>0</v>
      </c>
      <c r="K103" s="103">
        <f t="shared" si="25"/>
        <v>0</v>
      </c>
      <c r="L103" s="103">
        <f t="shared" si="25"/>
        <v>0</v>
      </c>
      <c r="M103" s="103">
        <f t="shared" si="25"/>
        <v>0</v>
      </c>
      <c r="N103" s="103">
        <f t="shared" si="25"/>
        <v>0</v>
      </c>
      <c r="O103" s="103">
        <f t="shared" si="25"/>
        <v>989755</v>
      </c>
      <c r="P103" s="103">
        <f t="shared" si="25"/>
        <v>989755</v>
      </c>
    </row>
    <row r="104" spans="1:16">
      <c r="A104" s="91"/>
      <c r="B104" s="91"/>
      <c r="C104" s="91"/>
      <c r="D104" s="104"/>
      <c r="E104" s="104"/>
      <c r="F104" s="104"/>
      <c r="G104" s="104"/>
      <c r="H104" s="104"/>
      <c r="I104" s="104"/>
      <c r="J104" s="104"/>
      <c r="K104" s="104"/>
      <c r="L104" s="104"/>
      <c r="M104" s="104"/>
      <c r="N104" s="104"/>
      <c r="O104" s="104"/>
      <c r="P104" s="104"/>
    </row>
    <row r="105" spans="1:16">
      <c r="A105" s="90" t="s">
        <v>53</v>
      </c>
      <c r="B105" s="91"/>
      <c r="C105" s="91"/>
      <c r="D105" s="91"/>
      <c r="E105" s="91"/>
      <c r="F105" s="91"/>
      <c r="G105" s="91"/>
      <c r="H105" s="91"/>
      <c r="I105" s="91"/>
      <c r="J105" s="91"/>
      <c r="K105" s="91"/>
      <c r="L105" s="91"/>
      <c r="M105" s="91"/>
      <c r="N105" s="91"/>
      <c r="O105" s="91"/>
      <c r="P105" s="91"/>
    </row>
    <row r="106" spans="1:16">
      <c r="A106" s="90"/>
      <c r="B106" s="91" t="s">
        <v>54</v>
      </c>
      <c r="C106" s="105"/>
      <c r="D106" s="105">
        <v>39814</v>
      </c>
      <c r="E106" s="105">
        <v>39845</v>
      </c>
      <c r="F106" s="105">
        <v>39873</v>
      </c>
      <c r="G106" s="105">
        <v>39904</v>
      </c>
      <c r="H106" s="105">
        <v>39934</v>
      </c>
      <c r="I106" s="105">
        <v>39965</v>
      </c>
      <c r="J106" s="105">
        <v>39995</v>
      </c>
      <c r="K106" s="105">
        <v>40026</v>
      </c>
      <c r="L106" s="105">
        <v>40057</v>
      </c>
      <c r="M106" s="105">
        <v>40087</v>
      </c>
      <c r="N106" s="105">
        <v>40118</v>
      </c>
      <c r="O106" s="105">
        <v>40148</v>
      </c>
      <c r="P106" s="106" t="s">
        <v>70</v>
      </c>
    </row>
    <row r="107" spans="1:16">
      <c r="A107" s="91" t="s">
        <v>56</v>
      </c>
      <c r="B107" s="107" t="s">
        <v>57</v>
      </c>
      <c r="C107" s="108" t="s">
        <v>143</v>
      </c>
      <c r="D107" s="102">
        <v>131823</v>
      </c>
      <c r="E107" s="102">
        <v>131816</v>
      </c>
      <c r="F107" s="102">
        <v>131750</v>
      </c>
      <c r="G107" s="102">
        <v>131579</v>
      </c>
      <c r="H107" s="102">
        <v>131420</v>
      </c>
      <c r="I107" s="102">
        <v>131217</v>
      </c>
      <c r="J107" s="102">
        <v>131144</v>
      </c>
      <c r="K107" s="102">
        <v>131208</v>
      </c>
      <c r="L107" s="102">
        <v>131483</v>
      </c>
      <c r="M107" s="102">
        <v>131710</v>
      </c>
      <c r="N107" s="102">
        <v>132145</v>
      </c>
      <c r="O107" s="102">
        <v>132409</v>
      </c>
      <c r="P107" s="102">
        <f>SUM(D107:O107)</f>
        <v>1579704</v>
      </c>
    </row>
    <row r="108" spans="1:16">
      <c r="A108" s="91" t="s">
        <v>58</v>
      </c>
      <c r="B108" s="107" t="s">
        <v>59</v>
      </c>
      <c r="C108" s="108" t="s">
        <v>143</v>
      </c>
      <c r="D108" s="102">
        <v>11811</v>
      </c>
      <c r="E108" s="102">
        <v>11804</v>
      </c>
      <c r="F108" s="102">
        <v>11787</v>
      </c>
      <c r="G108" s="102">
        <v>11774</v>
      </c>
      <c r="H108" s="102">
        <v>11768</v>
      </c>
      <c r="I108" s="102">
        <v>11773</v>
      </c>
      <c r="J108" s="102">
        <v>11757</v>
      </c>
      <c r="K108" s="102">
        <v>11776</v>
      </c>
      <c r="L108" s="102">
        <v>11805</v>
      </c>
      <c r="M108" s="102">
        <v>11808</v>
      </c>
      <c r="N108" s="102">
        <v>11866</v>
      </c>
      <c r="O108" s="102">
        <v>11842</v>
      </c>
      <c r="P108" s="102">
        <f>SUM(D108:O108)</f>
        <v>141571</v>
      </c>
    </row>
    <row r="109" spans="1:16">
      <c r="A109" s="91" t="s">
        <v>60</v>
      </c>
      <c r="B109" s="107" t="s">
        <v>61</v>
      </c>
      <c r="C109" s="108" t="s">
        <v>143</v>
      </c>
      <c r="D109" s="102">
        <v>86</v>
      </c>
      <c r="E109" s="102">
        <v>88</v>
      </c>
      <c r="F109" s="102">
        <v>86</v>
      </c>
      <c r="G109" s="102">
        <v>83</v>
      </c>
      <c r="H109" s="102">
        <v>85</v>
      </c>
      <c r="I109" s="102">
        <v>85</v>
      </c>
      <c r="J109" s="102">
        <v>85</v>
      </c>
      <c r="K109" s="102">
        <v>86</v>
      </c>
      <c r="L109" s="102">
        <v>87</v>
      </c>
      <c r="M109" s="102">
        <v>86</v>
      </c>
      <c r="N109" s="102">
        <v>83</v>
      </c>
      <c r="O109" s="102">
        <v>86</v>
      </c>
      <c r="P109" s="102">
        <f>SUM(D109:O109)</f>
        <v>1026</v>
      </c>
    </row>
    <row r="110" spans="1:16">
      <c r="A110" s="91" t="s">
        <v>62</v>
      </c>
      <c r="B110" s="107" t="s">
        <v>63</v>
      </c>
      <c r="C110" s="108" t="s">
        <v>143</v>
      </c>
      <c r="D110" s="102">
        <v>27</v>
      </c>
      <c r="E110" s="102">
        <v>26</v>
      </c>
      <c r="F110" s="102">
        <v>26</v>
      </c>
      <c r="G110" s="102">
        <v>26</v>
      </c>
      <c r="H110" s="102">
        <v>26</v>
      </c>
      <c r="I110" s="102">
        <v>26</v>
      </c>
      <c r="J110" s="102">
        <v>26</v>
      </c>
      <c r="K110" s="102">
        <v>26</v>
      </c>
      <c r="L110" s="102">
        <v>26</v>
      </c>
      <c r="M110" s="102">
        <v>26</v>
      </c>
      <c r="N110" s="102">
        <v>26</v>
      </c>
      <c r="O110" s="102">
        <v>26</v>
      </c>
      <c r="P110" s="102">
        <f>SUM(D110:O110)</f>
        <v>313</v>
      </c>
    </row>
    <row r="111" spans="1:16">
      <c r="A111" s="91" t="s">
        <v>50</v>
      </c>
      <c r="B111" s="91"/>
      <c r="C111" s="108"/>
      <c r="D111" s="109">
        <f>SUM(D107:D110)</f>
        <v>143747</v>
      </c>
      <c r="E111" s="109">
        <f>SUM(E107:E110)</f>
        <v>143734</v>
      </c>
      <c r="F111" s="109">
        <f>SUM(F107:F110)</f>
        <v>143649</v>
      </c>
      <c r="G111" s="109">
        <f>SUM(G107:G110)</f>
        <v>143462</v>
      </c>
      <c r="H111" s="109">
        <f t="shared" ref="H111:P111" si="26">SUM(H107:H110)</f>
        <v>143299</v>
      </c>
      <c r="I111" s="109">
        <f t="shared" si="26"/>
        <v>143101</v>
      </c>
      <c r="J111" s="109">
        <f t="shared" si="26"/>
        <v>143012</v>
      </c>
      <c r="K111" s="109">
        <f t="shared" si="26"/>
        <v>143096</v>
      </c>
      <c r="L111" s="109">
        <f t="shared" si="26"/>
        <v>143401</v>
      </c>
      <c r="M111" s="109">
        <f t="shared" si="26"/>
        <v>143630</v>
      </c>
      <c r="N111" s="109">
        <f t="shared" si="26"/>
        <v>144120</v>
      </c>
      <c r="O111" s="109">
        <f t="shared" si="26"/>
        <v>144363</v>
      </c>
      <c r="P111" s="109">
        <f t="shared" si="26"/>
        <v>1722614</v>
      </c>
    </row>
    <row r="112" spans="1:16">
      <c r="A112" s="91"/>
      <c r="B112" s="91"/>
      <c r="C112" s="91"/>
      <c r="D112" s="91"/>
      <c r="E112" s="91"/>
      <c r="F112" s="91"/>
      <c r="G112" s="91"/>
      <c r="H112" s="91"/>
      <c r="I112" s="91"/>
      <c r="J112" s="91"/>
      <c r="K112" s="91"/>
      <c r="L112" s="91"/>
      <c r="M112" s="91"/>
      <c r="N112" s="91"/>
      <c r="O112" s="91"/>
      <c r="P112" s="91"/>
    </row>
    <row r="113" spans="1:16">
      <c r="A113" s="92" t="s">
        <v>46</v>
      </c>
      <c r="B113" s="91"/>
      <c r="C113" s="91"/>
      <c r="D113" s="104"/>
      <c r="E113" s="91"/>
      <c r="F113" s="91"/>
      <c r="G113" s="91"/>
      <c r="H113" s="91"/>
      <c r="I113" s="91"/>
      <c r="J113" s="91"/>
      <c r="K113" s="91"/>
      <c r="L113" s="91"/>
      <c r="M113" s="91"/>
      <c r="N113" s="91"/>
      <c r="O113" s="91"/>
      <c r="P113" s="91"/>
    </row>
    <row r="114" spans="1:16">
      <c r="A114" s="110"/>
      <c r="B114" s="91"/>
      <c r="C114" s="91"/>
      <c r="D114" s="105"/>
      <c r="E114" s="105"/>
      <c r="F114" s="105"/>
      <c r="G114" s="105"/>
      <c r="H114" s="105">
        <v>40483</v>
      </c>
      <c r="I114" s="105">
        <v>40513</v>
      </c>
      <c r="J114" s="105">
        <v>40544</v>
      </c>
      <c r="K114" s="105">
        <v>40575</v>
      </c>
      <c r="L114" s="105">
        <v>40603</v>
      </c>
      <c r="M114" s="105">
        <v>40634</v>
      </c>
      <c r="N114" s="105">
        <v>40664</v>
      </c>
      <c r="O114" s="105">
        <v>40695</v>
      </c>
      <c r="P114" s="68"/>
    </row>
    <row r="115" spans="1:16">
      <c r="A115" s="111"/>
      <c r="B115" s="111"/>
      <c r="C115" s="111"/>
      <c r="D115" s="68"/>
      <c r="E115" s="68"/>
      <c r="F115" s="112"/>
      <c r="G115" s="111"/>
      <c r="H115" s="112"/>
      <c r="I115" s="113"/>
      <c r="J115" s="112"/>
      <c r="K115" s="112"/>
      <c r="L115" s="112"/>
      <c r="M115" s="112"/>
      <c r="N115" s="112"/>
      <c r="O115" s="112"/>
      <c r="P115" s="68"/>
    </row>
    <row r="116" spans="1:16">
      <c r="A116" s="111" t="s">
        <v>144</v>
      </c>
      <c r="B116" s="111"/>
      <c r="C116" s="114"/>
      <c r="D116" s="68"/>
      <c r="E116" s="68"/>
      <c r="F116" s="115"/>
      <c r="G116" s="115"/>
      <c r="H116" s="115">
        <v>12739525</v>
      </c>
      <c r="I116" s="116">
        <v>14293952</v>
      </c>
      <c r="J116" s="116"/>
      <c r="K116" s="116"/>
      <c r="L116" s="116"/>
      <c r="M116" s="116"/>
      <c r="N116" s="116"/>
      <c r="O116" s="116"/>
      <c r="P116" s="68"/>
    </row>
    <row r="117" spans="1:16">
      <c r="A117" s="68" t="s">
        <v>145</v>
      </c>
      <c r="B117" s="68"/>
      <c r="C117" s="68"/>
      <c r="D117" s="68"/>
      <c r="E117" s="68"/>
      <c r="F117" s="68"/>
      <c r="G117" s="68"/>
      <c r="H117" s="115">
        <v>145338</v>
      </c>
      <c r="I117" s="115">
        <v>145837</v>
      </c>
      <c r="J117" s="115">
        <v>1</v>
      </c>
      <c r="K117" s="115">
        <v>1</v>
      </c>
      <c r="L117" s="115">
        <v>1</v>
      </c>
      <c r="M117" s="115">
        <v>1</v>
      </c>
      <c r="N117" s="115">
        <v>1</v>
      </c>
      <c r="O117" s="115">
        <v>1</v>
      </c>
      <c r="P117" s="68"/>
    </row>
    <row r="118" spans="1:16">
      <c r="A118" s="68" t="s">
        <v>146</v>
      </c>
      <c r="B118" s="68"/>
      <c r="C118" s="68"/>
      <c r="D118" s="68"/>
      <c r="E118" s="68"/>
      <c r="F118" s="68"/>
      <c r="G118" s="68"/>
      <c r="H118" s="117">
        <f>H116/H117</f>
        <v>87.65446751709807</v>
      </c>
      <c r="I118" s="117">
        <f>I116/I117</f>
        <v>98.013206525093082</v>
      </c>
      <c r="J118" s="117">
        <f t="shared" ref="J118:O118" si="27">J116/J117</f>
        <v>0</v>
      </c>
      <c r="K118" s="117">
        <f t="shared" si="27"/>
        <v>0</v>
      </c>
      <c r="L118" s="117">
        <f t="shared" si="27"/>
        <v>0</v>
      </c>
      <c r="M118" s="117">
        <f t="shared" si="27"/>
        <v>0</v>
      </c>
      <c r="N118" s="117">
        <f t="shared" si="27"/>
        <v>0</v>
      </c>
      <c r="O118" s="117">
        <f t="shared" si="27"/>
        <v>0</v>
      </c>
      <c r="P118" s="68"/>
    </row>
    <row r="119" spans="1:16">
      <c r="A119" s="68"/>
      <c r="B119" s="68"/>
      <c r="C119" s="68"/>
      <c r="D119" s="68"/>
      <c r="E119" s="68"/>
      <c r="F119" s="68"/>
      <c r="G119" s="68"/>
      <c r="H119" s="68"/>
      <c r="I119" s="68"/>
      <c r="J119" s="68"/>
      <c r="K119" s="68"/>
      <c r="L119" s="68"/>
      <c r="M119" s="68"/>
      <c r="N119" s="68"/>
      <c r="O119" s="68"/>
      <c r="P119" s="68"/>
    </row>
    <row r="120" spans="1:16">
      <c r="A120" s="68" t="s">
        <v>147</v>
      </c>
      <c r="B120" s="68"/>
      <c r="C120" s="68"/>
      <c r="D120" s="68"/>
      <c r="E120" s="68"/>
      <c r="F120" s="68"/>
      <c r="G120" s="68"/>
      <c r="H120" s="77">
        <f>ROUND(H118*N111,0)</f>
        <v>12632762</v>
      </c>
      <c r="I120" s="77">
        <f>ROUND(I118*O111,0)</f>
        <v>14149481</v>
      </c>
      <c r="J120" s="77">
        <f t="shared" ref="J120:O120" si="28">ROUND(J118*P111,0)</f>
        <v>0</v>
      </c>
      <c r="K120" s="77">
        <f t="shared" si="28"/>
        <v>0</v>
      </c>
      <c r="L120" s="77">
        <f t="shared" si="28"/>
        <v>0</v>
      </c>
      <c r="M120" s="77">
        <f t="shared" si="28"/>
        <v>0</v>
      </c>
      <c r="N120" s="77">
        <f t="shared" si="28"/>
        <v>0</v>
      </c>
      <c r="O120" s="77">
        <f t="shared" si="28"/>
        <v>0</v>
      </c>
      <c r="P120" s="68"/>
    </row>
    <row r="121" spans="1:16">
      <c r="A121" s="68"/>
      <c r="B121" s="68"/>
      <c r="C121" s="68"/>
      <c r="D121" s="68"/>
      <c r="E121" s="68"/>
      <c r="F121" s="68"/>
      <c r="G121" s="68"/>
      <c r="H121" s="68"/>
      <c r="I121" s="68"/>
      <c r="J121" s="68"/>
      <c r="K121" s="68"/>
      <c r="L121" s="68"/>
      <c r="M121" s="68"/>
      <c r="N121" s="68"/>
      <c r="O121" s="68"/>
      <c r="P121" s="68"/>
    </row>
  </sheetData>
  <mergeCells count="10">
    <mergeCell ref="A38:P38"/>
    <mergeCell ref="A85:P85"/>
    <mergeCell ref="A34:P34"/>
    <mergeCell ref="A1:P1"/>
    <mergeCell ref="A2:P2"/>
    <mergeCell ref="A3:P3"/>
    <mergeCell ref="A4:P4"/>
    <mergeCell ref="A5:P5"/>
    <mergeCell ref="A6:P6"/>
    <mergeCell ref="A7:P7"/>
  </mergeCells>
  <printOptions horizontalCentered="1" verticalCentered="1"/>
  <pageMargins left="0.25" right="0.25" top="1" bottom="0.5" header="0.75" footer="0.5"/>
  <pageSetup scale="65" orientation="landscape" r:id="rId1"/>
  <headerFooter alignWithMargins="0">
    <oddHeader>&amp;C&amp;20Avista Corporation Natural Gas Decoupling Mechanism
Washington Jurisdiction
Quarterly Report for 4th Quarter 2010</oddHeader>
    <oddFooter>&amp;C&amp;16file: &amp;F / &amp;A&amp;R&amp;16Page &amp;P of &amp;N</oddFooter>
  </headerFooter>
  <rowBreaks count="2" manualBreakCount="2">
    <brk id="36" max="16383" man="1"/>
    <brk id="83" max="16383" man="1"/>
  </rowBreaks>
  <legacyDrawing r:id="rId2"/>
</worksheet>
</file>

<file path=xl/worksheets/sheet4.xml><?xml version="1.0" encoding="utf-8"?>
<worksheet xmlns="http://schemas.openxmlformats.org/spreadsheetml/2006/main" xmlns:r="http://schemas.openxmlformats.org/officeDocument/2006/relationships">
  <dimension ref="A1:E81"/>
  <sheetViews>
    <sheetView tabSelected="1" zoomScaleNormal="100" workbookViewId="0">
      <selection activeCell="P15" sqref="P15:P16"/>
    </sheetView>
  </sheetViews>
  <sheetFormatPr defaultRowHeight="12.75"/>
  <cols>
    <col min="1" max="1" width="11.5703125" customWidth="1"/>
    <col min="2" max="2" width="49.28515625" customWidth="1"/>
    <col min="3" max="3" width="11.7109375" customWidth="1"/>
    <col min="4" max="4" width="13.42578125" customWidth="1"/>
    <col min="5" max="5" width="10" customWidth="1"/>
  </cols>
  <sheetData>
    <row r="1" spans="1:5">
      <c r="A1" s="161" t="s">
        <v>102</v>
      </c>
      <c r="B1" s="161"/>
      <c r="C1" s="161"/>
      <c r="D1" s="161"/>
      <c r="E1" s="161"/>
    </row>
    <row r="3" spans="1:5">
      <c r="A3" s="53" t="s">
        <v>124</v>
      </c>
      <c r="B3" s="53"/>
      <c r="C3" s="53"/>
      <c r="D3" s="53"/>
    </row>
    <row r="4" spans="1:5">
      <c r="A4" s="53"/>
      <c r="B4" s="53"/>
      <c r="C4" s="53"/>
      <c r="D4" s="53"/>
    </row>
    <row r="5" spans="1:5" ht="27" customHeight="1">
      <c r="A5" s="54" t="s">
        <v>103</v>
      </c>
      <c r="B5" s="55" t="s">
        <v>104</v>
      </c>
      <c r="C5" s="56" t="s">
        <v>105</v>
      </c>
      <c r="D5" s="56" t="s">
        <v>106</v>
      </c>
    </row>
    <row r="6" spans="1:5">
      <c r="A6" s="53"/>
      <c r="B6" s="53"/>
      <c r="C6" s="53"/>
      <c r="D6" s="53"/>
    </row>
    <row r="7" spans="1:5" ht="25.5">
      <c r="A7" s="67" t="s">
        <v>107</v>
      </c>
      <c r="B7" s="63" t="s">
        <v>108</v>
      </c>
      <c r="C7" s="67" t="s">
        <v>109</v>
      </c>
      <c r="D7" s="67" t="s">
        <v>110</v>
      </c>
    </row>
    <row r="8" spans="1:5">
      <c r="A8" s="57" t="s">
        <v>125</v>
      </c>
      <c r="B8" s="58">
        <v>-24661</v>
      </c>
      <c r="C8" s="59">
        <v>-55638</v>
      </c>
      <c r="D8" s="58">
        <v>-80299</v>
      </c>
    </row>
    <row r="9" spans="1:5">
      <c r="A9" s="57" t="s">
        <v>126</v>
      </c>
      <c r="B9" s="58">
        <v>-80299</v>
      </c>
      <c r="C9" s="59">
        <v>-5901</v>
      </c>
      <c r="D9" s="58">
        <v>-86200</v>
      </c>
    </row>
    <row r="10" spans="1:5">
      <c r="A10" s="57" t="s">
        <v>127</v>
      </c>
      <c r="B10" s="58">
        <v>-86200</v>
      </c>
      <c r="C10" s="59">
        <v>41424</v>
      </c>
      <c r="D10" s="58">
        <v>-44776</v>
      </c>
    </row>
    <row r="11" spans="1:5">
      <c r="A11" s="60"/>
      <c r="B11" s="61"/>
      <c r="C11" s="62" t="s">
        <v>128</v>
      </c>
      <c r="D11" s="61"/>
    </row>
    <row r="12" spans="1:5">
      <c r="A12" s="64"/>
      <c r="B12" s="65"/>
      <c r="C12" s="66"/>
      <c r="D12" s="65"/>
    </row>
    <row r="14" spans="1:5">
      <c r="A14" s="53" t="s">
        <v>124</v>
      </c>
      <c r="B14" s="53"/>
      <c r="C14" s="53"/>
      <c r="D14" s="53"/>
    </row>
    <row r="15" spans="1:5">
      <c r="A15" s="53"/>
      <c r="B15" s="53"/>
      <c r="C15" s="53"/>
      <c r="D15" s="53"/>
    </row>
    <row r="16" spans="1:5" ht="25.5">
      <c r="A16" s="54" t="s">
        <v>111</v>
      </c>
      <c r="B16" s="55" t="s">
        <v>112</v>
      </c>
      <c r="C16" s="56" t="s">
        <v>105</v>
      </c>
      <c r="D16" s="56" t="s">
        <v>106</v>
      </c>
    </row>
    <row r="17" spans="1:5">
      <c r="A17" s="53"/>
      <c r="B17" s="53"/>
      <c r="C17" s="53"/>
      <c r="D17" s="53"/>
    </row>
    <row r="18" spans="1:5" ht="25.5">
      <c r="A18" s="67" t="s">
        <v>107</v>
      </c>
      <c r="B18" s="63" t="s">
        <v>108</v>
      </c>
      <c r="C18" s="67" t="s">
        <v>109</v>
      </c>
      <c r="D18" s="67" t="s">
        <v>110</v>
      </c>
    </row>
    <row r="19" spans="1:5">
      <c r="A19" s="57" t="s">
        <v>125</v>
      </c>
      <c r="B19" s="58">
        <v>88838.34</v>
      </c>
      <c r="C19" s="59">
        <v>-31208.13</v>
      </c>
      <c r="D19" s="58">
        <v>57630.21</v>
      </c>
      <c r="E19" s="68" t="s">
        <v>166</v>
      </c>
    </row>
    <row r="20" spans="1:5">
      <c r="A20" s="57" t="s">
        <v>126</v>
      </c>
      <c r="B20" s="58">
        <v>57630.21</v>
      </c>
      <c r="C20" s="59">
        <v>506396.09</v>
      </c>
      <c r="D20" s="58">
        <v>564026.30000000005</v>
      </c>
    </row>
    <row r="21" spans="1:5">
      <c r="A21" s="57" t="s">
        <v>127</v>
      </c>
      <c r="B21" s="58">
        <v>564026.30000000005</v>
      </c>
      <c r="C21" s="59">
        <v>-92367.77</v>
      </c>
      <c r="D21" s="58">
        <v>471658.53</v>
      </c>
    </row>
    <row r="22" spans="1:5">
      <c r="A22" s="60"/>
      <c r="B22" s="61"/>
      <c r="C22" s="62" t="s">
        <v>129</v>
      </c>
      <c r="D22" s="61"/>
    </row>
    <row r="23" spans="1:5">
      <c r="A23" s="64"/>
      <c r="B23" s="65"/>
      <c r="C23" s="66"/>
      <c r="D23" s="65"/>
    </row>
    <row r="25" spans="1:5">
      <c r="A25" s="53" t="s">
        <v>124</v>
      </c>
      <c r="B25" s="53"/>
      <c r="C25" s="53"/>
      <c r="D25" s="53"/>
    </row>
    <row r="26" spans="1:5">
      <c r="A26" s="53"/>
      <c r="B26" s="53"/>
      <c r="C26" s="53"/>
      <c r="D26" s="53"/>
    </row>
    <row r="27" spans="1:5" ht="25.5">
      <c r="A27" s="54" t="s">
        <v>113</v>
      </c>
      <c r="B27" s="55" t="s">
        <v>114</v>
      </c>
      <c r="C27" s="56" t="s">
        <v>105</v>
      </c>
      <c r="D27" s="56" t="s">
        <v>106</v>
      </c>
    </row>
    <row r="28" spans="1:5">
      <c r="A28" s="53"/>
      <c r="B28" s="53"/>
      <c r="C28" s="53"/>
      <c r="D28" s="53"/>
    </row>
    <row r="29" spans="1:5" ht="25.5">
      <c r="A29" s="67" t="s">
        <v>107</v>
      </c>
      <c r="B29" s="63" t="s">
        <v>108</v>
      </c>
      <c r="C29" s="67" t="s">
        <v>109</v>
      </c>
      <c r="D29" s="67" t="s">
        <v>110</v>
      </c>
    </row>
    <row r="30" spans="1:5">
      <c r="A30" s="57" t="s">
        <v>125</v>
      </c>
      <c r="B30" s="58">
        <v>577061</v>
      </c>
      <c r="C30" s="59">
        <v>0</v>
      </c>
      <c r="D30" s="58">
        <v>577061</v>
      </c>
    </row>
    <row r="31" spans="1:5">
      <c r="A31" s="57" t="s">
        <v>126</v>
      </c>
      <c r="B31" s="58">
        <v>577061</v>
      </c>
      <c r="C31" s="59">
        <v>-577061</v>
      </c>
      <c r="D31" s="58">
        <v>0</v>
      </c>
    </row>
    <row r="32" spans="1:5">
      <c r="A32" s="57" t="s">
        <v>127</v>
      </c>
      <c r="B32" s="58">
        <v>0</v>
      </c>
      <c r="C32" s="59">
        <v>0</v>
      </c>
      <c r="D32" s="58">
        <v>0</v>
      </c>
    </row>
    <row r="33" spans="1:5">
      <c r="A33" s="60"/>
      <c r="B33" s="61"/>
      <c r="C33" s="62" t="s">
        <v>130</v>
      </c>
      <c r="D33" s="61"/>
    </row>
    <row r="34" spans="1:5">
      <c r="A34" s="64"/>
      <c r="B34" s="65"/>
      <c r="C34" s="66"/>
      <c r="D34" s="65"/>
    </row>
    <row r="36" spans="1:5">
      <c r="A36" s="53" t="s">
        <v>124</v>
      </c>
      <c r="B36" s="53"/>
      <c r="C36" s="53"/>
      <c r="D36" s="53"/>
    </row>
    <row r="37" spans="1:5">
      <c r="A37" s="53"/>
      <c r="B37" s="53"/>
      <c r="C37" s="53"/>
      <c r="D37" s="53"/>
    </row>
    <row r="38" spans="1:5" ht="25.5">
      <c r="A38" s="54" t="s">
        <v>115</v>
      </c>
      <c r="B38" s="55" t="s">
        <v>116</v>
      </c>
      <c r="C38" s="56" t="s">
        <v>105</v>
      </c>
      <c r="D38" s="56" t="s">
        <v>106</v>
      </c>
    </row>
    <row r="39" spans="1:5">
      <c r="A39" s="53"/>
      <c r="B39" s="53"/>
      <c r="C39" s="53"/>
      <c r="D39" s="53"/>
    </row>
    <row r="40" spans="1:5" ht="25.5">
      <c r="A40" s="67" t="s">
        <v>107</v>
      </c>
      <c r="B40" s="63" t="s">
        <v>108</v>
      </c>
      <c r="C40" s="67" t="s">
        <v>109</v>
      </c>
      <c r="D40" s="67" t="s">
        <v>110</v>
      </c>
    </row>
    <row r="41" spans="1:5">
      <c r="A41" s="57" t="s">
        <v>125</v>
      </c>
      <c r="B41" s="58">
        <v>-224433.48</v>
      </c>
      <c r="C41" s="59">
        <v>30396.15</v>
      </c>
      <c r="D41" s="58">
        <v>-194037.33000000002</v>
      </c>
    </row>
    <row r="42" spans="1:5">
      <c r="A42" s="57" t="s">
        <v>126</v>
      </c>
      <c r="B42" s="58">
        <v>-194037.33000000002</v>
      </c>
      <c r="C42" s="59">
        <v>26798.07</v>
      </c>
      <c r="D42" s="58">
        <v>-167239.26</v>
      </c>
    </row>
    <row r="43" spans="1:5">
      <c r="A43" s="57" t="s">
        <v>127</v>
      </c>
      <c r="B43" s="58">
        <v>-167239.26</v>
      </c>
      <c r="C43" s="59">
        <v>17830.32</v>
      </c>
      <c r="D43" s="58">
        <v>-149408.94</v>
      </c>
    </row>
    <row r="44" spans="1:5">
      <c r="A44" s="60"/>
      <c r="B44" s="61"/>
      <c r="C44" s="62" t="s">
        <v>131</v>
      </c>
      <c r="D44" s="61"/>
    </row>
    <row r="46" spans="1:5">
      <c r="A46" s="161" t="s">
        <v>117</v>
      </c>
      <c r="B46" s="161"/>
      <c r="C46" s="161"/>
      <c r="D46" s="161"/>
      <c r="E46" s="161"/>
    </row>
    <row r="48" spans="1:5">
      <c r="A48" s="53" t="s">
        <v>124</v>
      </c>
      <c r="B48" s="53"/>
      <c r="C48" s="53"/>
      <c r="D48" s="53"/>
    </row>
    <row r="49" spans="1:4">
      <c r="A49" s="53"/>
      <c r="B49" s="53"/>
      <c r="C49" s="53"/>
      <c r="D49" s="53"/>
    </row>
    <row r="50" spans="1:4" ht="25.5">
      <c r="A50" s="54" t="s">
        <v>118</v>
      </c>
      <c r="B50" s="55" t="s">
        <v>119</v>
      </c>
      <c r="C50" s="56" t="s">
        <v>105</v>
      </c>
      <c r="D50" s="56" t="s">
        <v>106</v>
      </c>
    </row>
    <row r="51" spans="1:4">
      <c r="A51" s="53"/>
      <c r="B51" s="53"/>
      <c r="C51" s="53"/>
      <c r="D51" s="53"/>
    </row>
    <row r="52" spans="1:4" ht="25.5">
      <c r="A52" s="67" t="s">
        <v>107</v>
      </c>
      <c r="B52" s="63" t="s">
        <v>108</v>
      </c>
      <c r="C52" s="67" t="s">
        <v>109</v>
      </c>
      <c r="D52" s="67" t="s">
        <v>110</v>
      </c>
    </row>
    <row r="53" spans="1:4">
      <c r="A53" s="57" t="s">
        <v>125</v>
      </c>
      <c r="B53" s="58">
        <v>-388189</v>
      </c>
      <c r="C53" s="59">
        <v>0</v>
      </c>
      <c r="D53" s="58">
        <v>-388189</v>
      </c>
    </row>
    <row r="54" spans="1:4">
      <c r="A54" s="57" t="s">
        <v>126</v>
      </c>
      <c r="B54" s="58">
        <v>-388189</v>
      </c>
      <c r="C54" s="59">
        <v>0</v>
      </c>
      <c r="D54" s="58">
        <v>-388189</v>
      </c>
    </row>
    <row r="55" spans="1:4">
      <c r="A55" s="57" t="s">
        <v>127</v>
      </c>
      <c r="B55" s="58">
        <v>-388189</v>
      </c>
      <c r="C55" s="59">
        <v>-41424</v>
      </c>
      <c r="D55" s="58">
        <v>-429613</v>
      </c>
    </row>
    <row r="56" spans="1:4">
      <c r="A56" s="60"/>
      <c r="B56" s="61"/>
      <c r="C56" s="62" t="s">
        <v>132</v>
      </c>
      <c r="D56" s="61"/>
    </row>
    <row r="59" spans="1:4">
      <c r="A59" s="53" t="s">
        <v>124</v>
      </c>
      <c r="B59" s="53"/>
      <c r="C59" s="53"/>
      <c r="D59" s="53"/>
    </row>
    <row r="60" spans="1:4">
      <c r="A60" s="53"/>
      <c r="B60" s="53"/>
      <c r="C60" s="53"/>
      <c r="D60" s="53"/>
    </row>
    <row r="61" spans="1:4" ht="25.5">
      <c r="A61" s="54" t="s">
        <v>120</v>
      </c>
      <c r="B61" s="55" t="s">
        <v>121</v>
      </c>
      <c r="C61" s="56" t="s">
        <v>105</v>
      </c>
      <c r="D61" s="56" t="s">
        <v>106</v>
      </c>
    </row>
    <row r="62" spans="1:4">
      <c r="A62" s="53"/>
      <c r="B62" s="53"/>
      <c r="C62" s="53"/>
      <c r="D62" s="53"/>
    </row>
    <row r="63" spans="1:4" ht="25.5">
      <c r="A63" s="67" t="s">
        <v>107</v>
      </c>
      <c r="B63" s="63" t="s">
        <v>108</v>
      </c>
      <c r="C63" s="54" t="s">
        <v>109</v>
      </c>
      <c r="D63" s="54" t="s">
        <v>110</v>
      </c>
    </row>
    <row r="64" spans="1:4">
      <c r="A64" s="57" t="s">
        <v>125</v>
      </c>
      <c r="B64" s="58">
        <v>90403</v>
      </c>
      <c r="C64" s="59">
        <v>55638</v>
      </c>
      <c r="D64" s="58">
        <v>146041</v>
      </c>
    </row>
    <row r="65" spans="1:4">
      <c r="A65" s="57" t="s">
        <v>126</v>
      </c>
      <c r="B65" s="58">
        <v>146041</v>
      </c>
      <c r="C65" s="59">
        <v>5901</v>
      </c>
      <c r="D65" s="58">
        <v>151942</v>
      </c>
    </row>
    <row r="66" spans="1:4">
      <c r="A66" s="57" t="s">
        <v>127</v>
      </c>
      <c r="B66" s="58">
        <v>151942</v>
      </c>
      <c r="C66" s="59">
        <v>0</v>
      </c>
      <c r="D66" s="58">
        <v>151942</v>
      </c>
    </row>
    <row r="67" spans="1:4">
      <c r="A67" s="60"/>
      <c r="B67" s="61"/>
      <c r="C67" s="62" t="s">
        <v>133</v>
      </c>
      <c r="D67" s="61"/>
    </row>
    <row r="70" spans="1:4">
      <c r="A70" s="53" t="s">
        <v>124</v>
      </c>
      <c r="B70" s="53"/>
      <c r="C70" s="53"/>
      <c r="D70" s="53"/>
    </row>
    <row r="71" spans="1:4">
      <c r="A71" s="53"/>
      <c r="B71" s="53"/>
      <c r="C71" s="53"/>
      <c r="D71" s="53"/>
    </row>
    <row r="72" spans="1:4" ht="25.5">
      <c r="A72" s="54" t="s">
        <v>122</v>
      </c>
      <c r="B72" s="55" t="s">
        <v>123</v>
      </c>
      <c r="C72" s="56" t="s">
        <v>105</v>
      </c>
      <c r="D72" s="56" t="s">
        <v>106</v>
      </c>
    </row>
    <row r="73" spans="1:4">
      <c r="A73" s="53"/>
      <c r="B73" s="53"/>
      <c r="C73" s="53"/>
      <c r="D73" s="53"/>
    </row>
    <row r="74" spans="1:4" ht="25.5">
      <c r="A74" s="67" t="s">
        <v>107</v>
      </c>
      <c r="B74" s="63" t="s">
        <v>108</v>
      </c>
      <c r="C74" s="54" t="s">
        <v>109</v>
      </c>
      <c r="D74" s="54" t="s">
        <v>110</v>
      </c>
    </row>
    <row r="75" spans="1:4">
      <c r="A75" s="57" t="s">
        <v>125</v>
      </c>
      <c r="B75" s="58">
        <v>296618.72000000003</v>
      </c>
      <c r="C75" s="59">
        <v>31406.2</v>
      </c>
      <c r="D75" s="58">
        <v>328024.92</v>
      </c>
    </row>
    <row r="76" spans="1:4">
      <c r="A76" s="57" t="s">
        <v>126</v>
      </c>
      <c r="B76" s="58">
        <v>328024.92</v>
      </c>
      <c r="C76" s="59">
        <v>72285.98</v>
      </c>
      <c r="D76" s="58">
        <v>400310.9</v>
      </c>
    </row>
    <row r="77" spans="1:4">
      <c r="A77" s="57" t="s">
        <v>127</v>
      </c>
      <c r="B77" s="58">
        <v>400310.9</v>
      </c>
      <c r="C77" s="59">
        <v>93768.36</v>
      </c>
      <c r="D77" s="58">
        <v>494079.26</v>
      </c>
    </row>
    <row r="78" spans="1:4">
      <c r="A78" s="60"/>
      <c r="B78" s="61"/>
      <c r="C78" s="62" t="s">
        <v>134</v>
      </c>
      <c r="D78" s="61"/>
    </row>
    <row r="81" spans="1:4" ht="155.25" customHeight="1">
      <c r="A81" s="146" t="s">
        <v>167</v>
      </c>
      <c r="B81" s="162" t="s">
        <v>168</v>
      </c>
      <c r="C81" s="163"/>
      <c r="D81" s="163"/>
    </row>
  </sheetData>
  <mergeCells count="3">
    <mergeCell ref="B81:D81"/>
    <mergeCell ref="A46:E46"/>
    <mergeCell ref="A1:E1"/>
  </mergeCells>
  <printOptions horizontalCentered="1"/>
  <pageMargins left="0.7" right="0.7" top="1" bottom="0.5" header="0.5" footer="0.5"/>
  <pageSetup scale="96" orientation="portrait" r:id="rId1"/>
  <headerFooter>
    <oddHeader>&amp;CAvista Corporation Natural Gas Decoupling Mechanism
Washington Jurisdiction
Quarterly Report for 4th Quarter 2010</oddHeader>
    <oddFooter>&amp;Cfile: &amp;F / &amp;A&amp;RPage &amp;P of &amp;N</oddFooter>
  </headerFooter>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8C9261AECE84F42AEE70ECFF659B923" ma:contentTypeVersion="136" ma:contentTypeDescription="" ma:contentTypeScope="" ma:versionID="3e95fbabc3455d832f219d273500a5d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IsConfidential xmlns="dc463f71-b30c-4ab2-9473-d307f9d35888">false</IsConfidential>
    <AgendaOrder xmlns="dc463f71-b30c-4ab2-9473-d307f9d35888">false</AgendaOrder>
    <CaseType xmlns="dc463f71-b30c-4ab2-9473-d307f9d35888">Petition</CaseType>
    <IndustryCode xmlns="dc463f71-b30c-4ab2-9473-d307f9d35888">150</IndustryCode>
    <CaseStatus xmlns="dc463f71-b30c-4ab2-9473-d307f9d35888">Closed</CaseStatus>
    <OpenedDate xmlns="dc463f71-b30c-4ab2-9473-d307f9d35888">2006-04-05T07:00:00+00:00</OpenedDate>
    <Date1 xmlns="dc463f71-b30c-4ab2-9473-d307f9d35888">2011-02-07T08:00:00+00:00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060518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5FEFC165-8AA8-4906-B419-27694605B4D6}"/>
</file>

<file path=customXml/itemProps2.xml><?xml version="1.0" encoding="utf-8"?>
<ds:datastoreItem xmlns:ds="http://schemas.openxmlformats.org/officeDocument/2006/customXml" ds:itemID="{96EF5794-CE5D-4CF0-995F-A93A39A8359B}"/>
</file>

<file path=customXml/itemProps3.xml><?xml version="1.0" encoding="utf-8"?>
<ds:datastoreItem xmlns:ds="http://schemas.openxmlformats.org/officeDocument/2006/customXml" ds:itemID="{9DF2F2BA-155B-4662-98A3-97CD7D7F3A4F}"/>
</file>

<file path=customXml/itemProps4.xml><?xml version="1.0" encoding="utf-8"?>
<ds:datastoreItem xmlns:ds="http://schemas.openxmlformats.org/officeDocument/2006/customXml" ds:itemID="{01B4D679-AAC8-409C-8960-4BB200106E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01.01.10 Base</vt:lpstr>
      <vt:lpstr>UG-100468 Base</vt:lpstr>
      <vt:lpstr>2011</vt:lpstr>
      <vt:lpstr>GL Accounts</vt:lpstr>
      <vt:lpstr>'GL Accounts'!Print_Area</vt:lpstr>
      <vt:lpstr>'01.01.10 Base'!Print_Titles</vt:lpstr>
      <vt:lpstr>'UG-100468 Base'!Print_Titles</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gzhkw6</dc:creator>
  <cp:lastModifiedBy>gzhkw6</cp:lastModifiedBy>
  <cp:lastPrinted>2011-02-04T21:36:58Z</cp:lastPrinted>
  <dcterms:created xsi:type="dcterms:W3CDTF">2010-08-02T16:29:29Z</dcterms:created>
  <dcterms:modified xsi:type="dcterms:W3CDTF">2011-02-04T21:37:04Z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0x0101006E56B4D1795A2E4DB2F0B01679ED314A0038C9261AECE84F42AEE70ECFF659B923</vt:lpwstr>
  </property>
  <property fmtid="{D5CDD505-2E9C-101B-9397-08002B2CF9AE}" pid="3" name="_docset_NoMedatataSyncRequired">
    <vt:lpwstr>False</vt:lpwstr>
  </property>
</Properties>
</file>